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827"/>
  <workbookPr codeName="ThisWorkbook"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CE1D81FD-9D78-4074-B462-BC9B51237EE1}" revIDLastSave="0" xr10:uidLastSave="{00000000-0000-0000-0000-000000000000}" xr6:coauthVersionLast="47" xr6:coauthVersionMax="47"/>
  <bookViews>
    <workbookView windowHeight="10080" windowWidth="19420" xWindow="-110" xr2:uid="{00000000-000D-0000-FFFF-FFFF00000000}" yWindow="-110" activeTab="0"/>
  </bookViews>
  <sheets>
    <sheet name="Data" r:id="rId2" sheetId="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<sst xmlns="http://schemas.openxmlformats.org/spreadsheetml/2006/main" count="238" uniqueCount="62">
  <si>
    <t>PSEO</t>
  </si>
  <si>
    <t>Tuition</t>
  </si>
  <si>
    <t>% of Students</t>
  </si>
  <si>
    <t>% of Tuition/Fee Revenue</t>
  </si>
  <si>
    <t xml:space="preserve">               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</si>
  <si>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</si>
  <si>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</si>
  <si>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</si>
  <si>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</si>
  <si>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</si>
  <si>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</si>
  <si>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</si>
  <si>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</si>
  <si>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</si>
  <si>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</si>
  <si>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</si>
  <si>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</si>
  <si>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</si>
  <si>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</si>
  <si>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</si>
  <si>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Joint Enrollment consists of three types of enrollment:</t>
  </si>
  <si>
    <t>Contracted</t>
  </si>
  <si>
    <t>Department/Source</t>
  </si>
  <si>
    <t>Annual</t>
  </si>
  <si>
    <t>Source if Website - URL</t>
  </si>
  <si>
    <t>Frequency Released</t>
  </si>
  <si>
    <t>Notes</t>
  </si>
  <si>
    <t>FiscalYear</t>
  </si>
  <si>
    <t>CommCollegeNumber</t>
  </si>
  <si>
    <t>CommCollege</t>
  </si>
  <si>
    <t>PercentOfStudents</t>
  </si>
  <si>
    <t>TotalRevfromTuition/Fees</t>
  </si>
  <si>
    <t>JointEnrollmentRevenue</t>
  </si>
  <si>
    <t>PercentOfTuition/FeeRevenue</t>
  </si>
  <si>
    <t>Total</t>
  </si>
  <si>
    <t>Students</t>
  </si>
  <si>
    <t>Joint Enrollment</t>
  </si>
  <si>
    <t>Average%ofStudents</t>
  </si>
  <si>
    <t>Average%ofTuition</t>
  </si>
  <si>
    <t>may be more or less than the actual cost to the school district.</t>
  </si>
  <si>
    <t>https://www.educateiowa.gov/adult-career-and-community-college/publications#Joint_Enrollment</t>
  </si>
  <si>
    <t>Dept. of Ed - Community College Division</t>
  </si>
  <si>
    <t>Published in April, so Factbook runs a year behind</t>
  </si>
  <si>
    <t>JointEnrollmentRevenue = Total rev for Concurrent + PSEO</t>
  </si>
  <si>
    <t>https://www.educateiowa.gov/adult-career-and-community-college/publications#Condition_of_Community_Colleges</t>
  </si>
  <si>
    <t>Students = from the Enrollment and Credit Hours by Offering Arrangement table in the Joint Enrollment Report</t>
  </si>
  <si>
    <t>TotalRevfromTuition/Fees = from the financial tables (Nominal Revenue by Source and College) in the Annual Condition of Community Colleges Report:</t>
  </si>
  <si>
    <t>Joint Enrollment of High School Students at Community Colleges</t>
  </si>
  <si>
    <t>and community colleges; not included in the college's offerings to adult students.  Cost to the school district is determined under the agreement.  School districts receive additional funding for these students, generated by a weighting in the school aid formula, to offset the additional cost.  The funding may be more or less than the actual cost to the school district.</t>
  </si>
  <si>
    <t>if the class is not offered at the high school.  The cost to the school district is $250.</t>
  </si>
  <si>
    <t>There is no cost to the school district.</t>
  </si>
  <si>
    <t>Updatable in May</t>
  </si>
  <si>
    <t>2)   Postsecondary Enrollment Options (PSEO) — A high school student may take a class at a community college</t>
  </si>
  <si>
    <t>1)  Contracted (or concurrent) — Offered under negotiated agreements, generally between individual high schools</t>
  </si>
  <si>
    <t>3)  Tuition — A high school student may take a class at a community college by paying the regular rate of tuition.</t>
  </si>
  <si>
    <t>Last Updated</t>
  </si>
  <si>
    <r>
      <rPr>
        <b/>
        <sz val="11"/>
        <color theme="1"/>
        <rFont val="Calibri"/>
        <family val="2"/>
        <scheme val="minor"/>
      </rPr>
      <t>Column D</t>
    </r>
    <r>
      <rPr>
        <sz val="11"/>
        <color theme="1"/>
        <rFont val="Calibri"/>
        <family val="2"/>
        <scheme val="minor"/>
      </rPr>
      <t xml:space="preserve"> Joint Enrollment as a percentage of all students and credit hours from Joint Enrollment Report Table 4</t>
    </r>
  </si>
  <si>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from Annual Condition of Iowa's Community Colleges Table 10.1 Nominal Revenue by Source and College</t>
    </r>
  </si>
  <si>
    <t>https://educateiowa.gov/adult-career-comm-college/publications-community-colleges-and-workforce-preparation#Condition_of_Community_Colleges</t>
  </si>
  <si>
    <r>
      <rPr>
        <b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 xml:space="preserve"> from Jont Enrollment Annual Report Table 7 ENROLLMENT AND REVENUE OF CONCURRENT ENROLLMENT</t>
    </r>
  </si>
  <si>
    <r>
      <rPr>
        <b/>
        <sz val="11"/>
        <color theme="1"/>
        <rFont val="Calibri"/>
        <family val="2"/>
        <scheme val="minor"/>
      </rPr>
      <t>Column G</t>
    </r>
    <r>
      <rPr>
        <sz val="11"/>
        <color theme="1"/>
        <rFont val="Calibri"/>
        <family val="2"/>
        <scheme val="minor"/>
      </rPr>
      <t xml:space="preserve"> is a calculation</t>
    </r>
  </si>
  <si>
    <r>
      <rPr>
        <b/>
        <sz val="11"/>
        <color theme="1"/>
        <rFont val="Calibri"/>
        <family val="2"/>
        <scheme val="minor"/>
      </rPr>
      <t>Contracted, PESO, and Contracted</t>
    </r>
    <r>
      <rPr>
        <sz val="11"/>
        <color theme="1"/>
        <rFont val="Calibri"/>
        <family val="2"/>
        <scheme val="minor"/>
      </rPr>
      <t xml:space="preserve"> from Joint Enrollment Allnual Report - Joint Enrollment Offering Arrangements text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</si>
</sst>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&quot;%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  <xf applyAlignment="0" applyBorder="0" applyFill="0" applyNumberFormat="0" applyProtection="0" borderId="0" fillId="0" fontId="8" numFmtId="0"/>
    <xf applyAlignment="0" applyBorder="0" applyFill="0" applyFont="0" applyProtection="0" borderId="0" fillId="0" fontId="9" numFmtId="43"/>
  </cellStyleXfs>
  <cellXfs count="36">
    <xf borderId="0" fillId="0" fontId="0" numFmtId="0" xfId="0"/>
    <xf applyFont="1" applyNumberFormat="1" borderId="0" fillId="0" fontId="1" numFmtId="165" xfId="1"/>
    <xf applyFont="1" borderId="0" fillId="0" fontId="2" numFmtId="0" xfId="0"/>
    <xf applyFont="1" borderId="0" fillId="0" fontId="3" numFmtId="0" xfId="0"/>
    <xf applyAlignment="1" applyFont="1" borderId="0" fillId="0" fontId="3" numFmtId="0" xfId="0">
      <alignment vertical="top"/>
    </xf>
    <xf applyAlignment="1" applyFont="1" borderId="0" fillId="0" fontId="3" numFmtId="0" xfId="0">
      <alignment wrapText="1"/>
    </xf>
    <xf applyAlignment="1" applyFont="1" applyNumberFormat="1" borderId="0" fillId="0" fontId="3" numFmtId="1" xfId="0">
      <alignment horizontal="left" vertical="top" wrapText="1"/>
    </xf>
    <xf applyAlignment="1" borderId="0" fillId="0" fontId="0" numFmtId="0" xfId="0">
      <alignment horizontal="center"/>
    </xf>
    <xf applyBorder="1" applyFont="1" applyNumberFormat="1" borderId="0" fillId="0" fontId="1" numFmtId="164" xfId="2"/>
    <xf applyBorder="1" applyFont="1" applyNumberFormat="1" borderId="0" fillId="0" fontId="1" numFmtId="165" xfId="1"/>
    <xf applyBorder="1" applyFill="1" applyFont="1" applyNumberFormat="1" borderId="0" fillId="0" fontId="1" numFmtId="164" xfId="2"/>
    <xf applyFont="1" applyNumberFormat="1" borderId="0" fillId="0" fontId="0" numFmtId="3" xfId="2"/>
    <xf applyAlignment="1" borderId="0" fillId="0" fontId="0" numFmtId="0" xfId="0">
      <alignment horizontal="center" wrapText="1"/>
    </xf>
    <xf applyAlignment="1" applyFont="1" borderId="0" fillId="0" fontId="5" numFmtId="0" xfId="0">
      <alignment horizontal="left" readingOrder="1" vertical="center"/>
    </xf>
    <xf applyFont="1" applyNumberFormat="1" borderId="0" fillId="0" fontId="0" numFmtId="167" xfId="2"/>
    <xf applyBorder="1" applyFill="1" applyFont="1" applyNumberFormat="1" borderId="0" fillId="0" fontId="1" numFmtId="166" xfId="2"/>
    <xf applyBorder="1" applyFill="1" applyFont="1" applyNumberFormat="1" borderId="0" fillId="0" fontId="1" numFmtId="165" xfId="1"/>
    <xf applyFill="1" applyFont="1" applyNumberFormat="1" borderId="0" fillId="0" fontId="1" numFmtId="165" xfId="1"/>
    <xf applyFont="1" applyNumberFormat="1" borderId="0" fillId="0" fontId="0" numFmtId="165" xfId="1"/>
    <xf applyAlignment="1" applyFont="1" borderId="0" fillId="0" fontId="7" numFmtId="0" xfId="0">
      <alignment horizontal="left" readingOrder="1" vertical="center"/>
    </xf>
    <xf applyAlignment="1" borderId="0" fillId="0" fontId="8" numFmtId="0" xfId="3">
      <alignment wrapText="1"/>
    </xf>
    <xf applyAlignment="1" borderId="0" fillId="0" fontId="0" numFmtId="0" xfId="0">
      <alignment vertical="top"/>
    </xf>
    <xf applyFill="1" applyFont="1" applyNumberFormat="1" borderId="0" fillId="0" fontId="10" numFmtId="165" xfId="1"/>
    <xf applyAlignment="1" applyNumberFormat="1" borderId="0" fillId="0" fontId="0" numFmtId="166" xfId="0">
      <alignment horizontal="center"/>
    </xf>
    <xf applyNumberFormat="1" borderId="0" fillId="0" fontId="0" numFmtId="166" xfId="0"/>
    <xf applyBorder="1" applyFill="1" applyFont="1" applyNumberFormat="1" borderId="0" fillId="0" fontId="0" numFmtId="165" xfId="1"/>
    <xf applyNumberFormat="1" borderId="0" fillId="0" fontId="0" numFmtId="3" xfId="0"/>
    <xf applyAlignment="1" applyFont="1" applyNumberFormat="1" borderId="0" fillId="0" fontId="3" numFmtId="14" xfId="0">
      <alignment horizontal="left" wrapText="1"/>
    </xf>
    <xf applyAlignment="1" applyFont="1" applyNumberFormat="1" borderId="0" fillId="0" fontId="11" numFmtId="1" xfId="0">
      <alignment horizontal="left" vertical="top" wrapText="1"/>
    </xf>
    <xf applyAlignment="1" applyBorder="1" applyFill="1" applyFont="1" applyNumberFormat="1" borderId="0" fillId="0" fontId="12" numFmtId="1" xfId="3">
      <alignment horizontal="left" vertical="top" wrapText="1"/>
    </xf>
    <xf borderId="0" fillId="0" fontId="8" numFmtId="0" xfId="3"/>
    <xf applyAlignment="1" applyFont="1" borderId="0" fillId="0" fontId="6" numFmtId="0" xfId="0">
      <alignment horizontal="left" wrapText="1"/>
    </xf>
    <xf applyAlignment="1" applyFont="1" borderId="0" fillId="0" fontId="4" numFmtId="0" xfId="0">
      <alignment horizontal="left" vertical="center"/>
    </xf>
    <xf applyAlignment="1" applyFont="1" borderId="0" fillId="0" fontId="3" numFmtId="0" xfId="0">
      <alignment horizontal="left" vertical="top"/>
    </xf>
    <xf applyAlignment="1" applyFont="1" borderId="0" fillId="0" fontId="3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</cellXfs>
  <cellStyles count="5">
    <cellStyle builtinId="3" name="Comma" xfId="1"/>
    <cellStyle name="Comma 2" xfId="4" xr:uid="{00000000-0005-0000-0000-000001000000}"/>
    <cellStyle builtinId="8" name="Hyperlink" xfId="3"/>
    <cellStyle builtinId="0" name="Normal" xfId="0"/>
    <cellStyle builtinId="5" name="Percent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Factbook!$P$28</c:f>
              <c:strCache>
                <c:ptCount val="1"/>
                <c:pt idx="0">
                  <c:v>% of Students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Factbook!$O$29:$O$43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Factbook!$P$29:$P$43</c:f>
              <c:numCache>
                <c:formatCode>0.0"%"</c:formatCode>
                <c:ptCount val="15"/>
                <c:pt idx="0">
                  <c:v>52.1</c:v>
                </c:pt>
                <c:pt idx="1">
                  <c:v>43.3</c:v>
                </c:pt>
                <c:pt idx="2">
                  <c:v>42.8</c:v>
                </c:pt>
                <c:pt idx="3">
                  <c:v>43.8</c:v>
                </c:pt>
                <c:pt idx="4">
                  <c:v>38.700000000000003</c:v>
                </c:pt>
                <c:pt idx="5">
                  <c:v>45.6</c:v>
                </c:pt>
                <c:pt idx="6">
                  <c:v>46.5</c:v>
                </c:pt>
                <c:pt idx="7">
                  <c:v>43.3</c:v>
                </c:pt>
                <c:pt idx="8">
                  <c:v>33.5</c:v>
                </c:pt>
                <c:pt idx="9">
                  <c:v>46.6</c:v>
                </c:pt>
                <c:pt idx="10">
                  <c:v>46.6</c:v>
                </c:pt>
                <c:pt idx="11">
                  <c:v>31.9</c:v>
                </c:pt>
                <c:pt idx="12">
                  <c:v>47.3</c:v>
                </c:pt>
                <c:pt idx="13">
                  <c:v>45.6</c:v>
                </c:pt>
                <c:pt idx="14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4-4654-95A7-4A3C34F5774D}"/>
            </c:ext>
          </c:extLst>
        </c:ser>
        <c:ser>
          <c:idx val="1"/>
          <c:order val="1"/>
          <c:tx>
            <c:strRef>
              <c:f>Factbook!$Q$28</c:f>
              <c:strCache>
                <c:ptCount val="1"/>
                <c:pt idx="0">
                  <c:v>% of Tuition/Fee Revenue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Factbook!$O$29:$O$43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Factbook!$Q$29:$Q$43</c:f>
              <c:numCache>
                <c:formatCode>0.0"%"</c:formatCode>
                <c:ptCount val="15"/>
                <c:pt idx="0">
                  <c:v>12.452874997549765</c:v>
                </c:pt>
                <c:pt idx="1">
                  <c:v>19.491376320313414</c:v>
                </c:pt>
                <c:pt idx="2">
                  <c:v>14.773721942660734</c:v>
                </c:pt>
                <c:pt idx="3">
                  <c:v>18.289618814286499</c:v>
                </c:pt>
                <c:pt idx="4">
                  <c:v>6.148822676764178</c:v>
                </c:pt>
                <c:pt idx="5">
                  <c:v>19.514580994860285</c:v>
                </c:pt>
                <c:pt idx="6">
                  <c:v>8.6135775733200912</c:v>
                </c:pt>
                <c:pt idx="7">
                  <c:v>13.733796258829706</c:v>
                </c:pt>
                <c:pt idx="8">
                  <c:v>10.923455947762301</c:v>
                </c:pt>
                <c:pt idx="9">
                  <c:v>15.344943010776795</c:v>
                </c:pt>
                <c:pt idx="10">
                  <c:v>1.571120614371369</c:v>
                </c:pt>
                <c:pt idx="11">
                  <c:v>13.25513373278279</c:v>
                </c:pt>
                <c:pt idx="12">
                  <c:v>24.109338267978366</c:v>
                </c:pt>
                <c:pt idx="13">
                  <c:v>19.706949013494047</c:v>
                </c:pt>
                <c:pt idx="14">
                  <c:v>8.3978939811542066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4-4654-95A7-4A3C34F5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59136"/>
        <c:axId val="311669120"/>
      </c:barChart>
      <c:lineChart>
        <c:grouping val="standard"/>
        <c:varyColors val="0"/>
        <c:ser>
          <c:idx val="2"/>
          <c:order val="2"/>
          <c:tx>
            <c:v>Average % of Students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val>
            <c:numRef>
              <c:f>Factbook!$S$29:$S$43</c:f>
              <c:numCache>
                <c:formatCode>0.0"%"</c:formatCode>
                <c:ptCount val="15"/>
                <c:pt idx="0">
                  <c:v>42.993333333333332</c:v>
                </c:pt>
                <c:pt idx="1">
                  <c:v>42.993333333333332</c:v>
                </c:pt>
                <c:pt idx="2">
                  <c:v>42.993333333333332</c:v>
                </c:pt>
                <c:pt idx="3">
                  <c:v>42.993333333333332</c:v>
                </c:pt>
                <c:pt idx="4">
                  <c:v>42.993333333333332</c:v>
                </c:pt>
                <c:pt idx="5">
                  <c:v>42.993333333333332</c:v>
                </c:pt>
                <c:pt idx="6">
                  <c:v>42.993333333333332</c:v>
                </c:pt>
                <c:pt idx="7">
                  <c:v>42.993333333333332</c:v>
                </c:pt>
                <c:pt idx="8">
                  <c:v>42.993333333333332</c:v>
                </c:pt>
                <c:pt idx="9">
                  <c:v>42.993333333333332</c:v>
                </c:pt>
                <c:pt idx="10">
                  <c:v>42.993333333333332</c:v>
                </c:pt>
                <c:pt idx="11">
                  <c:v>42.993333333333332</c:v>
                </c:pt>
                <c:pt idx="12">
                  <c:v>42.993333333333332</c:v>
                </c:pt>
                <c:pt idx="13">
                  <c:v>42.993333333333332</c:v>
                </c:pt>
                <c:pt idx="14">
                  <c:v>42.993333333333332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4-4654-95A7-4A3C34F5774D}"/>
            </c:ext>
          </c:extLst>
        </c:ser>
        <c:ser>
          <c:idx val="3"/>
          <c:order val="3"/>
          <c:tx>
            <c:v>Average % of Revenue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Factbook!$T$29:$T$43</c:f>
              <c:numCache>
                <c:formatCode>0.0"%"</c:formatCode>
                <c:ptCount val="15"/>
                <c:pt idx="0">
                  <c:v>13.755146943126968</c:v>
                </c:pt>
                <c:pt idx="1">
                  <c:v>13.755146943126968</c:v>
                </c:pt>
                <c:pt idx="2">
                  <c:v>13.755146943126968</c:v>
                </c:pt>
                <c:pt idx="3">
                  <c:v>13.755146943126968</c:v>
                </c:pt>
                <c:pt idx="4">
                  <c:v>13.755146943126968</c:v>
                </c:pt>
                <c:pt idx="5">
                  <c:v>13.755146943126968</c:v>
                </c:pt>
                <c:pt idx="6">
                  <c:v>13.755146943126968</c:v>
                </c:pt>
                <c:pt idx="7">
                  <c:v>13.755146943126968</c:v>
                </c:pt>
                <c:pt idx="8">
                  <c:v>13.755146943126968</c:v>
                </c:pt>
                <c:pt idx="9">
                  <c:v>13.755146943126968</c:v>
                </c:pt>
                <c:pt idx="10">
                  <c:v>13.755146943126968</c:v>
                </c:pt>
                <c:pt idx="11">
                  <c:v>13.755146943126968</c:v>
                </c:pt>
                <c:pt idx="12">
                  <c:v>13.755146943126968</c:v>
                </c:pt>
                <c:pt idx="13">
                  <c:v>13.755146943126968</c:v>
                </c:pt>
                <c:pt idx="14">
                  <c:v>13.755146943126968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E4-4654-95A7-4A3C34F5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59136"/>
        <c:axId val="311669120"/>
      </c:lineChart>
      <c:catAx>
        <c:axId val="311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11669120"/>
        <c:crosses val="autoZero"/>
        <c:auto val="1"/>
        <c:lblAlgn val="ctr"/>
        <c:lblOffset val="100"/>
        <c:noMultiLvlLbl val="0"/>
      </c:catAx>
      <c:valAx>
        <c:axId val="3116691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.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65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35177520818672"/>
          <c:y val="0.59620581879561874"/>
          <c:w val="0.24482475471757487"/>
          <c:h val="0.34057637671616137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48810082662949E-2"/>
          <c:y val="0.1672523467317677"/>
          <c:w val="0.97212464174710089"/>
          <c:h val="0.748771388739612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Factbook!$O$44</c:f>
              <c:strCache>
                <c:ptCount val="1"/>
                <c:pt idx="0">
                  <c:v>Contracted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DF2-4911-B7A6-5E2EB3E64CB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DF2-4911-B7A6-5E2EB3E64CB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DF2-4911-B7A6-5E2EB3E64C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Factbook!$R$44</c:f>
              <c:numCache>
                <c:formatCode>_(* #,##0_);_(* \(#,##0\);_(* "-"??_);_(@_)</c:formatCode>
                <c:ptCount val="1"/>
                <c:pt idx="0">
                  <c:v>50038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2-4911-B7A6-5E2EB3E64CB4}"/>
            </c:ext>
          </c:extLst>
        </c:ser>
        <c:ser>
          <c:idx val="1"/>
          <c:order val="1"/>
          <c:tx>
            <c:strRef>
              <c:f>Factbook!$O$45</c:f>
              <c:strCache>
                <c:ptCount val="1"/>
                <c:pt idx="0">
                  <c:v>PSEO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597543496433528E-3"/>
                  <c:y val="-0.38142786736810735"/>
                </c:manualLayout>
              </c:layout>
              <c:numFmt formatCode="_(* #,##0_);_(* \(#,##0\);_(* &quot;0&quot;??_);_(@_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4887596826296799E-2"/>
                      <c:h val="0.14756937042258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DF2-4911-B7A6-5E2EB3E64CB4}"/>
                </c:ext>
              </c:extLst>
            </c:dLbl>
            <c:numFmt formatCode="_(* #,##0_);_(* \(#,##0\);_(* &quot;0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Factbook!$R$45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F2-4911-B7A6-5E2EB3E64CB4}"/>
            </c:ext>
          </c:extLst>
        </c:ser>
        <c:ser>
          <c:idx val="2"/>
          <c:order val="2"/>
          <c:tx>
            <c:strRef>
              <c:f>Factbook!$O$46</c:f>
              <c:strCache>
                <c:ptCount val="1"/>
                <c:pt idx="0">
                  <c:v>Tuition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68975297880545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F2-4911-B7A6-5E2EB3E64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Factbook!$R$46</c:f>
              <c:numCache>
                <c:formatCode>_(* #,##0_);_(* \(#,##0\);_(* "-"??_);_(@_)</c:formatCode>
                <c:ptCount val="1"/>
                <c:pt idx="0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F2-4911-B7A6-5E2EB3E6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2244480"/>
        <c:axId val="312242944"/>
      </c:barChart>
      <c:valAx>
        <c:axId val="312242944"/>
        <c:scaling>
          <c:orientation val="minMax"/>
          <c:max val="54000"/>
          <c:min val="0"/>
        </c:scaling>
        <c:delete val="1"/>
        <c:axPos val="b"/>
        <c:numFmt formatCode="_(* #,##0_);_(* \(#,##0\);_(* &quot;-&quot;??_);_(@_)" sourceLinked="1"/>
        <c:majorTickMark val="none"/>
        <c:minorTickMark val="none"/>
        <c:tickLblPos val="nextTo"/>
        <c:crossAx val="312244480"/>
        <c:crosses val="autoZero"/>
        <c:crossBetween val="between"/>
      </c:valAx>
      <c:catAx>
        <c:axId val="312244480"/>
        <c:scaling>
          <c:orientation val="minMax"/>
        </c:scaling>
        <c:delete val="1"/>
        <c:axPos val="l"/>
        <c:majorTickMark val="none"/>
        <c:minorTickMark val="none"/>
        <c:tickLblPos val="nextTo"/>
        <c:crossAx val="31224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0.7656</cdr:x>
      <cdr:y>0.37285</cdr:y>
    </cdr:from>
    <cdr:to>
      <cdr:x>0.88504</cdr:x>
      <cdr:y>0.48836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64618" y="1206068"/>
          <a:ext cx="774523" cy="373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Statewide Averages</a:t>
          </a:r>
        </a:p>
      </cdr:txBody>
    </cdr:sp>
  </cdr:relSizeAnchor>
  <cdr:relSizeAnchor xmlns:cdr="http://schemas.openxmlformats.org/drawingml/2006/chartDrawing">
    <cdr:from>
      <cdr:x>0.69253</cdr:x>
      <cdr:y>0.22515</cdr:y>
    </cdr:from>
    <cdr:to>
      <cdr:x>0.77086</cdr:x>
      <cdr:y>0.41567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1EC04B1-2EDB-4F76-91AB-F6F89623FF2C}"/>
            </a:ext>
          </a:extLst>
        </cdr:cNvPr>
        <cdr:cNvCxnSpPr/>
      </cdr:nvCxnSpPr>
      <cdr:spPr>
        <a:xfrm xmlns:a="http://schemas.openxmlformats.org/drawingml/2006/main" flipH="1" flipV="1">
          <a:off x="4591050" y="733425"/>
          <a:ext cx="519289" cy="62064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0.69732</cdr:x>
      <cdr:y>0.41567</cdr:y>
    </cdr:from>
    <cdr:to>
      <cdr:x>0.76968</cdr:x>
      <cdr:y>0.50195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37AC3043-320B-47CA-A0EB-97E7AFC2B6CB}"/>
            </a:ext>
          </a:extLst>
        </cdr:cNvPr>
        <cdr:cNvCxnSpPr/>
      </cdr:nvCxnSpPr>
      <cdr:spPr>
        <a:xfrm xmlns:a="http://schemas.openxmlformats.org/drawingml/2006/main" flipH="1">
          <a:off x="4622800" y="1354066"/>
          <a:ext cx="479717" cy="281059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72"/>
  <sheetViews>
    <sheetView workbookViewId="0">
      <pane activePane="bottomLeft" state="frozen" topLeftCell="A150" ySplit="1"/>
      <selection activeCell="A154" pane="bottomLeft" sqref="A154:H172"/>
    </sheetView>
  </sheetViews>
  <sheetFormatPr defaultColWidth="8.81640625" defaultRowHeight="14.5" x14ac:dyDescent="0.35"/>
  <cols>
    <col min="1" max="1" bestFit="true" customWidth="true" width="9.7265625" collapsed="false"/>
    <col min="2" max="2" bestFit="true" customWidth="true" width="21.0" collapsed="false"/>
    <col min="3" max="3" bestFit="true" customWidth="true" width="18.1796875" collapsed="false"/>
    <col min="4" max="4" bestFit="true" customWidth="true" style="24" width="18.1796875" collapsed="false"/>
    <col min="5" max="5" bestFit="true" customWidth="true" width="24.7265625" collapsed="false"/>
    <col min="6" max="6" bestFit="true" customWidth="true" width="23.453125" collapsed="false"/>
    <col min="7" max="7" bestFit="true" customWidth="true" style="24" width="28.81640625" collapsed="false"/>
    <col min="10" max="10" bestFit="true" customWidth="true" width="11.0" collapsed="false"/>
  </cols>
  <sheetData>
    <row r="1" spans="1:8" x14ac:dyDescent="0.35">
      <c r="A1" t="s">
        <v>27</v>
      </c>
      <c r="B1" t="s">
        <v>28</v>
      </c>
      <c r="C1" t="s">
        <v>29</v>
      </c>
      <c r="D1" s="23" t="s">
        <v>30</v>
      </c>
      <c r="E1" s="7" t="s">
        <v>31</v>
      </c>
      <c r="F1" s="7" t="s">
        <v>32</v>
      </c>
      <c r="G1" s="23" t="s">
        <v>33</v>
      </c>
      <c r="H1" s="7" t="s">
        <v>35</v>
      </c>
    </row>
    <row r="2" spans="1:8" x14ac:dyDescent="0.35">
      <c r="A2">
        <v>2014</v>
      </c>
      <c r="B2">
        <v>1</v>
      </c>
      <c r="C2" t="s">
        <v>5</v>
      </c>
      <c r="D2" s="15">
        <v>38.4</v>
      </c>
      <c r="E2" s="16">
        <v>15877034</v>
      </c>
      <c r="F2" s="16">
        <f>1272256+142215</f>
        <v>1414471</v>
      </c>
      <c r="G2" s="15">
        <f>IF(E2&gt;0,F2/E2*100,"")</f>
        <v>8.9089120801781991</v>
      </c>
    </row>
    <row r="3" spans="1:8" x14ac:dyDescent="0.35">
      <c r="A3">
        <v>2014</v>
      </c>
      <c r="B3">
        <v>2</v>
      </c>
      <c r="C3" t="s">
        <v>6</v>
      </c>
      <c r="D3" s="15">
        <v>32.300000000000004</v>
      </c>
      <c r="E3" s="16">
        <v>11255459</v>
      </c>
      <c r="F3" s="16">
        <f>894416+206074</f>
        <v>1100490</v>
      </c>
      <c r="G3" s="15">
        <f ref="G3:G35" si="0" t="shared">IF(E3&gt;0,F3/E3*100,"")</f>
        <v>9.7773889096837365</v>
      </c>
    </row>
    <row r="4" spans="1:8" x14ac:dyDescent="0.35">
      <c r="A4">
        <v>2014</v>
      </c>
      <c r="B4">
        <v>3</v>
      </c>
      <c r="C4" t="s">
        <v>7</v>
      </c>
      <c r="D4" s="15">
        <v>32.800000000000004</v>
      </c>
      <c r="E4" s="16">
        <v>8678987</v>
      </c>
      <c r="F4" s="16">
        <f>557969+610309</f>
        <v>1168278</v>
      </c>
      <c r="G4" s="15">
        <f si="0" t="shared"/>
        <v>13.460994929477369</v>
      </c>
    </row>
    <row r="5" spans="1:8" x14ac:dyDescent="0.35">
      <c r="A5">
        <v>2014</v>
      </c>
      <c r="B5">
        <v>4</v>
      </c>
      <c r="C5" t="s">
        <v>8</v>
      </c>
      <c r="D5" s="15">
        <v>34.4</v>
      </c>
      <c r="E5" s="16">
        <v>5708745</v>
      </c>
      <c r="F5" s="16">
        <f>727161+0</f>
        <v>727161</v>
      </c>
      <c r="G5" s="15">
        <f si="0" t="shared"/>
        <v>12.737668261588142</v>
      </c>
    </row>
    <row r="6" spans="1:8" x14ac:dyDescent="0.35">
      <c r="A6">
        <v>2014</v>
      </c>
      <c r="B6">
        <v>5</v>
      </c>
      <c r="C6" t="s">
        <v>9</v>
      </c>
      <c r="D6" s="15">
        <v>32.200000000000003</v>
      </c>
      <c r="E6" s="16">
        <v>22561542</v>
      </c>
      <c r="F6" s="16">
        <f>1000959+22425</f>
        <v>1023384</v>
      </c>
      <c r="G6" s="15">
        <f si="0" t="shared"/>
        <v>4.5359665576049721</v>
      </c>
    </row>
    <row r="7" spans="1:8" x14ac:dyDescent="0.35">
      <c r="A7">
        <v>2014</v>
      </c>
      <c r="B7">
        <v>6</v>
      </c>
      <c r="C7" t="s">
        <v>10</v>
      </c>
      <c r="D7" s="15">
        <v>30</v>
      </c>
      <c r="E7" s="16">
        <v>12068460</v>
      </c>
      <c r="F7" s="16">
        <f>1181513+17799</f>
        <v>1199312</v>
      </c>
      <c r="G7" s="15">
        <f si="0" t="shared"/>
        <v>9.9375728137641417</v>
      </c>
    </row>
    <row r="8" spans="1:8" x14ac:dyDescent="0.35">
      <c r="A8">
        <v>2014</v>
      </c>
      <c r="B8">
        <v>7</v>
      </c>
      <c r="C8" t="s">
        <v>11</v>
      </c>
      <c r="D8" s="15">
        <v>22.900000000000002</v>
      </c>
      <c r="E8" s="16">
        <v>19168703</v>
      </c>
      <c r="F8" s="16">
        <f>551153+128885</f>
        <v>680038</v>
      </c>
      <c r="G8" s="15">
        <f si="0" t="shared"/>
        <v>3.5476474334231169</v>
      </c>
    </row>
    <row r="9" spans="1:8" x14ac:dyDescent="0.35">
      <c r="A9">
        <v>2014</v>
      </c>
      <c r="B9">
        <v>9</v>
      </c>
      <c r="C9" t="s">
        <v>12</v>
      </c>
      <c r="D9" s="15">
        <v>33.300000000000004</v>
      </c>
      <c r="E9" s="16">
        <v>22196287</v>
      </c>
      <c r="F9" s="16">
        <f>788295+145463</f>
        <v>933758</v>
      </c>
      <c r="G9" s="15">
        <f si="0" t="shared"/>
        <v>4.2068207173569165</v>
      </c>
    </row>
    <row r="10" spans="1:8" x14ac:dyDescent="0.35">
      <c r="A10">
        <v>2014</v>
      </c>
      <c r="B10">
        <v>10</v>
      </c>
      <c r="C10" t="s">
        <v>13</v>
      </c>
      <c r="D10" s="15">
        <v>19.900000000000002</v>
      </c>
      <c r="E10" s="16">
        <v>51147187</v>
      </c>
      <c r="F10" s="16">
        <f>2067412+261150</f>
        <v>2328562</v>
      </c>
      <c r="G10" s="15">
        <f si="0" t="shared"/>
        <v>4.5526687518513969</v>
      </c>
    </row>
    <row r="11" spans="1:8" x14ac:dyDescent="0.35">
      <c r="A11">
        <v>2014</v>
      </c>
      <c r="B11">
        <v>11</v>
      </c>
      <c r="C11" t="s">
        <v>14</v>
      </c>
      <c r="D11" s="15">
        <v>37.799999999999997</v>
      </c>
      <c r="E11" s="16">
        <v>56661293</v>
      </c>
      <c r="F11" s="16">
        <f>5776078+253862</f>
        <v>6029940</v>
      </c>
      <c r="G11" s="15">
        <f si="0" t="shared"/>
        <v>10.642079770399874</v>
      </c>
    </row>
    <row r="12" spans="1:8" x14ac:dyDescent="0.35">
      <c r="A12">
        <v>2014</v>
      </c>
      <c r="B12">
        <v>12</v>
      </c>
      <c r="C12" t="s">
        <v>15</v>
      </c>
      <c r="D12" s="15">
        <v>29.299999999999997</v>
      </c>
      <c r="E12" s="16">
        <v>15804118</v>
      </c>
      <c r="F12" s="16">
        <f>1541775+90603</f>
        <v>1632378</v>
      </c>
      <c r="G12" s="15">
        <f si="0" t="shared"/>
        <v>10.328814300171638</v>
      </c>
    </row>
    <row r="13" spans="1:8" x14ac:dyDescent="0.35">
      <c r="A13">
        <v>2014</v>
      </c>
      <c r="B13">
        <v>13</v>
      </c>
      <c r="C13" t="s">
        <v>16</v>
      </c>
      <c r="D13" s="15">
        <v>21.4</v>
      </c>
      <c r="E13" s="16">
        <v>21948712</v>
      </c>
      <c r="F13" s="16">
        <f>1429340+99750</f>
        <v>1529090</v>
      </c>
      <c r="G13" s="15">
        <f si="0" t="shared"/>
        <v>6.9666502526435261</v>
      </c>
    </row>
    <row r="14" spans="1:8" x14ac:dyDescent="0.35">
      <c r="A14">
        <v>2014</v>
      </c>
      <c r="B14">
        <v>14</v>
      </c>
      <c r="C14" t="s">
        <v>17</v>
      </c>
      <c r="D14" s="15">
        <v>36.5</v>
      </c>
      <c r="E14" s="16">
        <v>5201481</v>
      </c>
      <c r="F14" s="16">
        <f>820739+33250</f>
        <v>853989</v>
      </c>
      <c r="G14" s="15">
        <f si="0" t="shared"/>
        <v>16.418189357992464</v>
      </c>
    </row>
    <row r="15" spans="1:8" x14ac:dyDescent="0.35">
      <c r="A15">
        <v>2014</v>
      </c>
      <c r="B15">
        <v>15</v>
      </c>
      <c r="C15" t="s">
        <v>18</v>
      </c>
      <c r="D15" s="15">
        <v>28.599999999999998</v>
      </c>
      <c r="E15" s="16">
        <v>17579936</v>
      </c>
      <c r="F15" s="16">
        <f>1544121+9184</f>
        <v>1553305</v>
      </c>
      <c r="G15" s="15">
        <f si="0" t="shared"/>
        <v>8.8356692538584891</v>
      </c>
    </row>
    <row r="16" spans="1:8" x14ac:dyDescent="0.35">
      <c r="A16">
        <v>2014</v>
      </c>
      <c r="B16">
        <v>16</v>
      </c>
      <c r="C16" t="s">
        <v>19</v>
      </c>
      <c r="D16" s="15">
        <v>28.4</v>
      </c>
      <c r="E16" s="16">
        <v>9177615</v>
      </c>
      <c r="F16" s="16">
        <f>1225390+0</f>
        <v>1225390</v>
      </c>
      <c r="G16" s="15">
        <f si="0" t="shared"/>
        <v>13.351943832902121</v>
      </c>
    </row>
    <row r="17" spans="1:8" x14ac:dyDescent="0.35">
      <c r="A17">
        <v>2014</v>
      </c>
      <c r="C17" t="s">
        <v>34</v>
      </c>
      <c r="D17" s="15">
        <v>30.4</v>
      </c>
      <c r="E17" s="16">
        <f>IF(E2&gt;0,SUM(E2:E16),"")</f>
        <v>295035559</v>
      </c>
      <c r="F17" s="16">
        <f>IF(F2&gt;0,SUM(F2:F16),"")</f>
        <v>23399546</v>
      </c>
      <c r="G17" s="15">
        <f si="0" t="shared"/>
        <v>7.9310934855821902</v>
      </c>
    </row>
    <row r="18" spans="1:8" x14ac:dyDescent="0.35">
      <c r="A18">
        <v>2014</v>
      </c>
      <c r="C18" t="s">
        <v>21</v>
      </c>
      <c r="G18" s="15" t="str">
        <f si="0" t="shared"/>
        <v/>
      </c>
      <c r="H18" s="16">
        <v>39884</v>
      </c>
    </row>
    <row r="19" spans="1:8" x14ac:dyDescent="0.35">
      <c r="A19">
        <v>2014</v>
      </c>
      <c r="C19" t="s">
        <v>0</v>
      </c>
      <c r="F19" s="16"/>
      <c r="G19" s="15" t="str">
        <f si="0" t="shared"/>
        <v/>
      </c>
      <c r="H19" s="16">
        <v>3335</v>
      </c>
    </row>
    <row r="20" spans="1:8" x14ac:dyDescent="0.35">
      <c r="A20">
        <v>2014</v>
      </c>
      <c r="C20" t="s">
        <v>1</v>
      </c>
      <c r="G20" s="15" t="str">
        <f si="0" t="shared"/>
        <v/>
      </c>
      <c r="H20" s="16">
        <v>2041</v>
      </c>
    </row>
    <row r="21" spans="1:8" x14ac:dyDescent="0.35">
      <c r="A21">
        <v>2015</v>
      </c>
      <c r="B21">
        <v>1</v>
      </c>
      <c r="C21" t="s">
        <v>5</v>
      </c>
      <c r="D21" s="15">
        <v>39.200000000000003</v>
      </c>
      <c r="E21" s="17">
        <v>15251109</v>
      </c>
      <c r="F21" s="17">
        <v>1490370</v>
      </c>
      <c r="G21" s="15">
        <f si="0" t="shared"/>
        <v>9.7722073850498337</v>
      </c>
    </row>
    <row r="22" spans="1:8" x14ac:dyDescent="0.35">
      <c r="A22">
        <v>2015</v>
      </c>
      <c r="B22">
        <v>2</v>
      </c>
      <c r="C22" t="s">
        <v>6</v>
      </c>
      <c r="D22" s="15">
        <v>30.8</v>
      </c>
      <c r="E22" s="17">
        <v>10837543</v>
      </c>
      <c r="F22" s="17">
        <v>1102656</v>
      </c>
      <c r="G22" s="15">
        <f si="0" t="shared"/>
        <v>10.174409457937099</v>
      </c>
    </row>
    <row r="23" spans="1:8" x14ac:dyDescent="0.35">
      <c r="A23">
        <v>2015</v>
      </c>
      <c r="B23">
        <v>3</v>
      </c>
      <c r="C23" t="s">
        <v>7</v>
      </c>
      <c r="D23" s="15">
        <v>32.4</v>
      </c>
      <c r="E23" s="17">
        <v>8435523</v>
      </c>
      <c r="F23" s="17">
        <v>1079892</v>
      </c>
      <c r="G23" s="15">
        <f si="0" t="shared"/>
        <v>12.801719585140129</v>
      </c>
    </row>
    <row r="24" spans="1:8" x14ac:dyDescent="0.35">
      <c r="A24">
        <v>2015</v>
      </c>
      <c r="B24">
        <v>4</v>
      </c>
      <c r="C24" t="s">
        <v>8</v>
      </c>
      <c r="D24" s="15">
        <v>35.200000000000003</v>
      </c>
      <c r="E24" s="17">
        <v>5502534</v>
      </c>
      <c r="F24" s="17">
        <v>730586</v>
      </c>
      <c r="G24" s="15">
        <f si="0" t="shared"/>
        <v>13.277264620264045</v>
      </c>
    </row>
    <row r="25" spans="1:8" x14ac:dyDescent="0.35">
      <c r="A25">
        <v>2015</v>
      </c>
      <c r="B25">
        <v>5</v>
      </c>
      <c r="C25" t="s">
        <v>9</v>
      </c>
      <c r="D25" s="15">
        <v>29.5</v>
      </c>
      <c r="E25" s="17">
        <v>22913177</v>
      </c>
      <c r="F25" s="17">
        <v>1064411</v>
      </c>
      <c r="G25" s="15">
        <f si="0" t="shared"/>
        <v>4.6454099315865278</v>
      </c>
    </row>
    <row r="26" spans="1:8" x14ac:dyDescent="0.35">
      <c r="A26">
        <v>2015</v>
      </c>
      <c r="B26">
        <v>6</v>
      </c>
      <c r="C26" t="s">
        <v>10</v>
      </c>
      <c r="D26" s="15">
        <v>31.8</v>
      </c>
      <c r="E26" s="17">
        <v>11685182</v>
      </c>
      <c r="F26" s="17">
        <v>1239166</v>
      </c>
      <c r="G26" s="15">
        <f si="0" t="shared"/>
        <v>10.604593064960392</v>
      </c>
    </row>
    <row r="27" spans="1:8" x14ac:dyDescent="0.35">
      <c r="A27">
        <v>2015</v>
      </c>
      <c r="B27">
        <v>7</v>
      </c>
      <c r="C27" t="s">
        <v>11</v>
      </c>
      <c r="D27" s="15">
        <v>22.5</v>
      </c>
      <c r="E27" s="17">
        <v>17732024</v>
      </c>
      <c r="F27" s="17">
        <v>741693</v>
      </c>
      <c r="G27" s="15">
        <f si="0" t="shared"/>
        <v>4.1827881577421735</v>
      </c>
    </row>
    <row r="28" spans="1:8" x14ac:dyDescent="0.35">
      <c r="A28">
        <v>2015</v>
      </c>
      <c r="B28">
        <v>9</v>
      </c>
      <c r="C28" t="s">
        <v>12</v>
      </c>
      <c r="D28" s="15">
        <v>32.700000000000003</v>
      </c>
      <c r="E28" s="17">
        <v>20955038</v>
      </c>
      <c r="F28" s="17">
        <v>696937</v>
      </c>
      <c r="G28" s="15">
        <f si="0" t="shared"/>
        <v>3.3258684617990197</v>
      </c>
    </row>
    <row r="29" spans="1:8" x14ac:dyDescent="0.35">
      <c r="A29">
        <v>2015</v>
      </c>
      <c r="B29">
        <v>10</v>
      </c>
      <c r="C29" t="s">
        <v>13</v>
      </c>
      <c r="D29" s="15">
        <v>21.5</v>
      </c>
      <c r="E29" s="17">
        <v>48590955</v>
      </c>
      <c r="F29" s="17">
        <v>3026615</v>
      </c>
      <c r="G29" s="15">
        <f si="0" t="shared"/>
        <v>6.2287621224979013</v>
      </c>
    </row>
    <row r="30" spans="1:8" x14ac:dyDescent="0.35">
      <c r="A30">
        <v>2015</v>
      </c>
      <c r="B30">
        <v>11</v>
      </c>
      <c r="C30" t="s">
        <v>14</v>
      </c>
      <c r="D30" s="15">
        <v>38.9</v>
      </c>
      <c r="E30" s="17">
        <v>54629627</v>
      </c>
      <c r="F30" s="17">
        <v>6200183</v>
      </c>
      <c r="G30" s="15">
        <f si="0" t="shared"/>
        <v>11.349488071738071</v>
      </c>
    </row>
    <row r="31" spans="1:8" x14ac:dyDescent="0.35">
      <c r="A31">
        <v>2015</v>
      </c>
      <c r="B31">
        <v>12</v>
      </c>
      <c r="C31" t="s">
        <v>15</v>
      </c>
      <c r="D31" s="15">
        <v>28.7</v>
      </c>
      <c r="E31" s="17">
        <v>16045309</v>
      </c>
      <c r="F31" s="17">
        <v>1486995</v>
      </c>
      <c r="G31" s="15">
        <f si="0" t="shared"/>
        <v>9.2674749984559348</v>
      </c>
    </row>
    <row r="32" spans="1:8" x14ac:dyDescent="0.35">
      <c r="A32">
        <v>2015</v>
      </c>
      <c r="B32">
        <v>13</v>
      </c>
      <c r="C32" t="s">
        <v>16</v>
      </c>
      <c r="D32" s="15">
        <v>19.899999999999999</v>
      </c>
      <c r="E32" s="17">
        <v>22678431</v>
      </c>
      <c r="F32" s="17">
        <v>1519798</v>
      </c>
      <c r="G32" s="15">
        <f si="0" t="shared"/>
        <v>6.7015129926757275</v>
      </c>
    </row>
    <row r="33" spans="1:8" x14ac:dyDescent="0.35">
      <c r="A33">
        <v>2015</v>
      </c>
      <c r="B33">
        <v>14</v>
      </c>
      <c r="C33" t="s">
        <v>17</v>
      </c>
      <c r="D33" s="15">
        <v>33.200000000000003</v>
      </c>
      <c r="E33" s="17">
        <v>5713799</v>
      </c>
      <c r="F33" s="17">
        <v>904094</v>
      </c>
      <c r="G33" s="15">
        <f si="0" t="shared"/>
        <v>15.822992723405216</v>
      </c>
    </row>
    <row r="34" spans="1:8" x14ac:dyDescent="0.35">
      <c r="A34">
        <v>2015</v>
      </c>
      <c r="B34">
        <v>15</v>
      </c>
      <c r="C34" t="s">
        <v>18</v>
      </c>
      <c r="D34" s="15">
        <v>27.1</v>
      </c>
      <c r="E34" s="17">
        <v>19395524</v>
      </c>
      <c r="F34" s="17">
        <v>1504398</v>
      </c>
      <c r="G34" s="15">
        <f si="0" t="shared"/>
        <v>7.7564184396358664</v>
      </c>
    </row>
    <row r="35" spans="1:8" x14ac:dyDescent="0.35">
      <c r="A35">
        <v>2015</v>
      </c>
      <c r="B35">
        <v>16</v>
      </c>
      <c r="C35" t="s">
        <v>19</v>
      </c>
      <c r="D35" s="15">
        <v>31.5</v>
      </c>
      <c r="E35" s="16">
        <v>10196136</v>
      </c>
      <c r="F35" s="16">
        <v>1369006</v>
      </c>
      <c r="G35" s="15">
        <f si="0" t="shared"/>
        <v>13.426713806092819</v>
      </c>
    </row>
    <row r="36" spans="1:8" x14ac:dyDescent="0.35">
      <c r="A36">
        <v>2015</v>
      </c>
      <c r="C36" t="s">
        <v>34</v>
      </c>
      <c r="D36" s="15">
        <v>30.7</v>
      </c>
      <c r="E36" s="16">
        <f>IF(E21&gt;0,SUM(E21:E35),"")</f>
        <v>290561911</v>
      </c>
      <c r="F36" s="16">
        <f>IF(F21&gt;0,SUM(F21:F35),"")</f>
        <v>24156800</v>
      </c>
      <c r="G36" s="15">
        <f>IF(E36&gt;0,F36/E36*100,"")</f>
        <v>8.3138219723506719</v>
      </c>
    </row>
    <row r="37" spans="1:8" x14ac:dyDescent="0.35">
      <c r="A37">
        <v>2015</v>
      </c>
      <c r="C37" t="s">
        <v>21</v>
      </c>
      <c r="G37" s="15" t="str">
        <f ref="G37:G55" si="1" t="shared">IF(E37&gt;0,F37/E37*100,"")</f>
        <v/>
      </c>
      <c r="H37" s="16">
        <v>41248</v>
      </c>
    </row>
    <row r="38" spans="1:8" x14ac:dyDescent="0.35">
      <c r="A38">
        <v>2015</v>
      </c>
      <c r="C38" t="s">
        <v>0</v>
      </c>
      <c r="F38" s="16"/>
      <c r="G38" s="15" t="str">
        <f si="1" t="shared"/>
        <v/>
      </c>
      <c r="H38" s="16">
        <v>3371</v>
      </c>
    </row>
    <row r="39" spans="1:8" x14ac:dyDescent="0.35">
      <c r="A39">
        <v>2015</v>
      </c>
      <c r="C39" t="s">
        <v>1</v>
      </c>
      <c r="G39" s="15" t="str">
        <f si="1" t="shared"/>
        <v/>
      </c>
      <c r="H39" s="16">
        <v>2241</v>
      </c>
    </row>
    <row r="40" spans="1:8" x14ac:dyDescent="0.35">
      <c r="A40">
        <v>2016</v>
      </c>
      <c r="B40">
        <v>1</v>
      </c>
      <c r="C40" t="s">
        <v>5</v>
      </c>
      <c r="D40" s="15">
        <v>46.3</v>
      </c>
      <c r="E40" s="16">
        <v>14541378</v>
      </c>
      <c r="F40" s="16">
        <f>1488556+155893</f>
        <v>1644449</v>
      </c>
      <c r="G40" s="15">
        <f>IF(E40&gt;0,F40/E40*100,"")</f>
        <v>11.308756295311214</v>
      </c>
    </row>
    <row r="41" spans="1:8" x14ac:dyDescent="0.35">
      <c r="A41">
        <v>2016</v>
      </c>
      <c r="B41">
        <v>2</v>
      </c>
      <c r="C41" t="s">
        <v>6</v>
      </c>
      <c r="D41" s="15">
        <v>36.200000000000003</v>
      </c>
      <c r="E41" s="16">
        <v>10632388</v>
      </c>
      <c r="F41" s="25">
        <f>1346364+246601</f>
        <v>1592965</v>
      </c>
      <c r="G41" s="15">
        <f si="1" t="shared"/>
        <v>14.982194028284146</v>
      </c>
    </row>
    <row r="42" spans="1:8" x14ac:dyDescent="0.35">
      <c r="A42">
        <v>2016</v>
      </c>
      <c r="B42">
        <v>3</v>
      </c>
      <c r="C42" t="s">
        <v>7</v>
      </c>
      <c r="D42" s="15">
        <v>40</v>
      </c>
      <c r="E42" s="16">
        <v>8145013</v>
      </c>
      <c r="F42" s="16">
        <f>466853</f>
        <v>466853</v>
      </c>
      <c r="G42" s="15">
        <f si="1" t="shared"/>
        <v>5.7317649462315163</v>
      </c>
    </row>
    <row r="43" spans="1:8" x14ac:dyDescent="0.35">
      <c r="A43">
        <v>2016</v>
      </c>
      <c r="B43">
        <v>4</v>
      </c>
      <c r="C43" t="s">
        <v>8</v>
      </c>
      <c r="D43" s="15">
        <v>36.299999999999997</v>
      </c>
      <c r="E43" s="16">
        <v>5586501</v>
      </c>
      <c r="F43" s="16">
        <f>723155</f>
        <v>723155</v>
      </c>
      <c r="G43" s="15">
        <f si="1" t="shared"/>
        <v>12.944685770216454</v>
      </c>
    </row>
    <row r="44" spans="1:8" x14ac:dyDescent="0.35">
      <c r="A44">
        <v>2016</v>
      </c>
      <c r="B44">
        <v>5</v>
      </c>
      <c r="C44" t="s">
        <v>9</v>
      </c>
      <c r="D44" s="15">
        <v>32.1</v>
      </c>
      <c r="E44" s="16">
        <v>22365233</v>
      </c>
      <c r="F44" s="16">
        <f>1130523+21690</f>
        <v>1152213</v>
      </c>
      <c r="G44" s="15">
        <f si="1" t="shared"/>
        <v>5.1518041417230034</v>
      </c>
    </row>
    <row r="45" spans="1:8" x14ac:dyDescent="0.35">
      <c r="A45">
        <v>2016</v>
      </c>
      <c r="B45">
        <v>6</v>
      </c>
      <c r="C45" t="s">
        <v>10</v>
      </c>
      <c r="D45" s="15">
        <v>37.1</v>
      </c>
      <c r="E45" s="16">
        <v>11087155</v>
      </c>
      <c r="F45" s="16">
        <f>1299882+5000</f>
        <v>1304882</v>
      </c>
      <c r="G45" s="15">
        <f si="1" t="shared"/>
        <v>11.769313227784766</v>
      </c>
    </row>
    <row r="46" spans="1:8" x14ac:dyDescent="0.35">
      <c r="A46">
        <v>2016</v>
      </c>
      <c r="B46">
        <v>7</v>
      </c>
      <c r="C46" t="s">
        <v>11</v>
      </c>
      <c r="D46" s="15">
        <v>27.6</v>
      </c>
      <c r="E46" s="16">
        <v>18461054</v>
      </c>
      <c r="F46" s="16">
        <f>723795+178789</f>
        <v>902584</v>
      </c>
      <c r="G46" s="15">
        <f si="1" t="shared"/>
        <v>4.8891249654543012</v>
      </c>
    </row>
    <row r="47" spans="1:8" x14ac:dyDescent="0.35">
      <c r="A47">
        <v>2016</v>
      </c>
      <c r="B47">
        <v>9</v>
      </c>
      <c r="C47" t="s">
        <v>12</v>
      </c>
      <c r="D47" s="15">
        <v>37.6</v>
      </c>
      <c r="E47" s="16">
        <v>20950881</v>
      </c>
      <c r="F47" s="16">
        <f>1292507+77150</f>
        <v>1369657</v>
      </c>
      <c r="G47" s="15">
        <f si="1" t="shared"/>
        <v>6.5374673265529983</v>
      </c>
    </row>
    <row r="48" spans="1:8" x14ac:dyDescent="0.35">
      <c r="A48">
        <v>2016</v>
      </c>
      <c r="B48">
        <v>10</v>
      </c>
      <c r="C48" t="s">
        <v>13</v>
      </c>
      <c r="D48" s="15">
        <v>23.9</v>
      </c>
      <c r="E48" s="16">
        <v>49102409</v>
      </c>
      <c r="F48" s="16">
        <f>3287712+334638</f>
        <v>3622350</v>
      </c>
      <c r="G48" s="15">
        <f si="1" t="shared"/>
        <v>7.3771329630690827</v>
      </c>
    </row>
    <row r="49" spans="1:8" x14ac:dyDescent="0.35">
      <c r="A49">
        <v>2016</v>
      </c>
      <c r="B49">
        <v>11</v>
      </c>
      <c r="C49" t="s">
        <v>14</v>
      </c>
      <c r="D49" s="15">
        <v>45.2</v>
      </c>
      <c r="E49" s="16">
        <v>55192904</v>
      </c>
      <c r="F49" s="16">
        <f>6452299+272470</f>
        <v>6724769</v>
      </c>
      <c r="G49" s="15">
        <f si="1" t="shared"/>
        <v>12.184118813534434</v>
      </c>
    </row>
    <row r="50" spans="1:8" x14ac:dyDescent="0.35">
      <c r="A50">
        <v>2016</v>
      </c>
      <c r="B50">
        <v>12</v>
      </c>
      <c r="C50" t="s">
        <v>15</v>
      </c>
      <c r="D50" s="15">
        <v>33</v>
      </c>
      <c r="E50" s="16">
        <v>17838595</v>
      </c>
      <c r="F50" s="16">
        <f>1379167+140224</f>
        <v>1519391</v>
      </c>
      <c r="G50" s="15">
        <f si="1" t="shared"/>
        <v>8.5174364909344025</v>
      </c>
    </row>
    <row r="51" spans="1:8" x14ac:dyDescent="0.35">
      <c r="A51">
        <v>2016</v>
      </c>
      <c r="B51">
        <v>13</v>
      </c>
      <c r="C51" t="s">
        <v>16</v>
      </c>
      <c r="D51" s="15">
        <v>21.8</v>
      </c>
      <c r="E51" s="16">
        <v>23232180</v>
      </c>
      <c r="F51" s="16">
        <f>1488779+211750</f>
        <v>1700529</v>
      </c>
      <c r="G51" s="15">
        <f si="1" t="shared"/>
        <v>7.3197134319723762</v>
      </c>
    </row>
    <row r="52" spans="1:8" x14ac:dyDescent="0.35">
      <c r="A52">
        <v>2016</v>
      </c>
      <c r="B52">
        <v>14</v>
      </c>
      <c r="C52" t="s">
        <v>17</v>
      </c>
      <c r="D52" s="15">
        <v>36</v>
      </c>
      <c r="E52" s="16">
        <v>5842971</v>
      </c>
      <c r="F52" s="16">
        <f>925021+76500</f>
        <v>1001521</v>
      </c>
      <c r="G52" s="15">
        <f si="1" t="shared"/>
        <v>17.1406121988283</v>
      </c>
    </row>
    <row r="53" spans="1:8" x14ac:dyDescent="0.35">
      <c r="A53">
        <v>2016</v>
      </c>
      <c r="B53">
        <v>15</v>
      </c>
      <c r="C53" t="s">
        <v>18</v>
      </c>
      <c r="D53" s="15">
        <v>34</v>
      </c>
      <c r="E53" s="16">
        <v>20784274</v>
      </c>
      <c r="F53" s="16">
        <f>1893142+23875</f>
        <v>1917017</v>
      </c>
      <c r="G53" s="15">
        <f si="1" t="shared"/>
        <v>9.2234013081236323</v>
      </c>
    </row>
    <row r="54" spans="1:8" x14ac:dyDescent="0.35">
      <c r="A54">
        <v>2016</v>
      </c>
      <c r="B54">
        <v>16</v>
      </c>
      <c r="C54" t="s">
        <v>19</v>
      </c>
      <c r="D54" s="15">
        <v>33.9</v>
      </c>
      <c r="E54" s="16">
        <v>9992780</v>
      </c>
      <c r="F54" s="16">
        <f>1342291</f>
        <v>1342291</v>
      </c>
      <c r="G54" s="15">
        <f si="1" t="shared"/>
        <v>13.432608343223807</v>
      </c>
    </row>
    <row r="55" spans="1:8" x14ac:dyDescent="0.35">
      <c r="A55">
        <v>2016</v>
      </c>
      <c r="C55" t="s">
        <v>34</v>
      </c>
      <c r="D55" s="15">
        <v>35.299999999999997</v>
      </c>
      <c r="E55" s="16">
        <f>IF(E40&gt;0,SUM(E40:E54),"")</f>
        <v>293755716</v>
      </c>
      <c r="F55" s="16">
        <f>IF(F40&gt;0,SUM(F40:F54),"")</f>
        <v>26984626</v>
      </c>
      <c r="G55" s="15">
        <f si="1" t="shared"/>
        <v>9.1860769102447026</v>
      </c>
    </row>
    <row r="56" spans="1:8" x14ac:dyDescent="0.35">
      <c r="A56">
        <v>2016</v>
      </c>
      <c r="C56" t="s">
        <v>21</v>
      </c>
      <c r="G56" s="15" t="str">
        <f ref="G56:G58" si="2" t="shared">IF(E56&gt;0,F56/E56*100,"")</f>
        <v/>
      </c>
      <c r="H56" s="16">
        <v>44957</v>
      </c>
    </row>
    <row r="57" spans="1:8" x14ac:dyDescent="0.35">
      <c r="A57">
        <v>2016</v>
      </c>
      <c r="C57" t="s">
        <v>0</v>
      </c>
      <c r="F57" s="16"/>
      <c r="G57" s="15" t="str">
        <f si="2" t="shared"/>
        <v/>
      </c>
      <c r="H57" s="16">
        <v>3900</v>
      </c>
    </row>
    <row r="58" spans="1:8" x14ac:dyDescent="0.35">
      <c r="A58">
        <v>2016</v>
      </c>
      <c r="C58" t="s">
        <v>1</v>
      </c>
      <c r="G58" s="15" t="str">
        <f si="2" t="shared"/>
        <v/>
      </c>
      <c r="H58" s="16">
        <v>2301</v>
      </c>
    </row>
    <row r="59" spans="1:8" x14ac:dyDescent="0.35">
      <c r="A59">
        <v>2017</v>
      </c>
      <c r="B59">
        <v>1</v>
      </c>
      <c r="C59" t="s">
        <v>5</v>
      </c>
      <c r="D59" s="15">
        <v>48.8</v>
      </c>
      <c r="E59" s="16">
        <v>14149660</v>
      </c>
      <c r="F59" s="16">
        <f>1563170+150770</f>
        <v>1713940</v>
      </c>
      <c r="G59" s="15">
        <f>IF(E59&gt;0,F59/E59*100,"")</f>
        <v>12.112941229683258</v>
      </c>
    </row>
    <row r="60" spans="1:8" x14ac:dyDescent="0.35">
      <c r="A60">
        <v>2017</v>
      </c>
      <c r="B60">
        <v>2</v>
      </c>
      <c r="C60" t="s">
        <v>6</v>
      </c>
      <c r="D60" s="15">
        <v>38.5</v>
      </c>
      <c r="E60" s="16">
        <v>11240576</v>
      </c>
      <c r="F60" s="16">
        <f>1590543+256390</f>
        <v>1846933</v>
      </c>
      <c r="G60" s="15">
        <f ref="G60:G77" si="3" t="shared">IF(E60&gt;0,F60/E60*100,"")</f>
        <v>16.430946243324186</v>
      </c>
    </row>
    <row r="61" spans="1:8" x14ac:dyDescent="0.35">
      <c r="A61">
        <v>2017</v>
      </c>
      <c r="B61">
        <v>3</v>
      </c>
      <c r="C61" t="s">
        <v>7</v>
      </c>
      <c r="D61" s="15">
        <v>39.299999999999997</v>
      </c>
      <c r="E61" s="16">
        <v>8207402</v>
      </c>
      <c r="F61" s="16">
        <f>547044+31861</f>
        <v>578905</v>
      </c>
      <c r="G61" s="15">
        <f si="3" t="shared"/>
        <v>7.0534500442405532</v>
      </c>
    </row>
    <row r="62" spans="1:8" x14ac:dyDescent="0.35">
      <c r="A62">
        <v>2017</v>
      </c>
      <c r="B62">
        <v>4</v>
      </c>
      <c r="C62" t="s">
        <v>8</v>
      </c>
      <c r="D62" s="15">
        <v>34.299999999999997</v>
      </c>
      <c r="E62" s="16">
        <v>5949628</v>
      </c>
      <c r="F62" s="16">
        <f>800210</f>
        <v>800210</v>
      </c>
      <c r="G62" s="15">
        <f si="3" t="shared"/>
        <v>13.44974845486138</v>
      </c>
    </row>
    <row r="63" spans="1:8" x14ac:dyDescent="0.35">
      <c r="A63">
        <v>2017</v>
      </c>
      <c r="B63">
        <v>5</v>
      </c>
      <c r="C63" t="s">
        <v>9</v>
      </c>
      <c r="D63" s="15">
        <v>32.9</v>
      </c>
      <c r="E63" s="16">
        <v>22735039</v>
      </c>
      <c r="F63" s="16">
        <f>1218549+14157</f>
        <v>1232706</v>
      </c>
      <c r="G63" s="15">
        <f si="3" t="shared"/>
        <v>5.422053597532865</v>
      </c>
    </row>
    <row r="64" spans="1:8" x14ac:dyDescent="0.35">
      <c r="A64">
        <v>2017</v>
      </c>
      <c r="B64">
        <v>6</v>
      </c>
      <c r="C64" t="s">
        <v>10</v>
      </c>
      <c r="D64" s="15">
        <v>39</v>
      </c>
      <c r="E64" s="16">
        <v>11300597</v>
      </c>
      <c r="F64" s="16">
        <f>1552948+3250</f>
        <v>1556198</v>
      </c>
      <c r="G64" s="15">
        <f si="3" t="shared"/>
        <v>13.770936172664152</v>
      </c>
    </row>
    <row r="65" spans="1:10" x14ac:dyDescent="0.35">
      <c r="A65">
        <v>2017</v>
      </c>
      <c r="B65">
        <v>7</v>
      </c>
      <c r="C65" t="s">
        <v>11</v>
      </c>
      <c r="D65" s="15">
        <v>31.3</v>
      </c>
      <c r="E65" s="16">
        <v>19314723</v>
      </c>
      <c r="F65" s="16">
        <f>947453+238492</f>
        <v>1185945</v>
      </c>
      <c r="G65" s="15">
        <f si="3" t="shared"/>
        <v>6.1401087657327516</v>
      </c>
    </row>
    <row r="66" spans="1:10" x14ac:dyDescent="0.35">
      <c r="A66">
        <v>2017</v>
      </c>
      <c r="B66">
        <v>9</v>
      </c>
      <c r="C66" t="s">
        <v>12</v>
      </c>
      <c r="D66" s="15">
        <v>37.9</v>
      </c>
      <c r="E66" s="16">
        <v>22479534</v>
      </c>
      <c r="F66" s="16">
        <f>1495837+81250</f>
        <v>1577087</v>
      </c>
      <c r="G66" s="15">
        <f si="3" t="shared"/>
        <v>7.0156569971601721</v>
      </c>
    </row>
    <row r="67" spans="1:10" x14ac:dyDescent="0.35">
      <c r="A67">
        <v>2017</v>
      </c>
      <c r="B67">
        <v>10</v>
      </c>
      <c r="C67" t="s">
        <v>13</v>
      </c>
      <c r="D67" s="15">
        <v>25.5</v>
      </c>
      <c r="E67" s="16">
        <v>49355306</v>
      </c>
      <c r="F67" s="16">
        <f>3272715+451500</f>
        <v>3724215</v>
      </c>
      <c r="G67" s="15">
        <f si="3" t="shared"/>
        <v>7.5457236553249203</v>
      </c>
    </row>
    <row r="68" spans="1:10" x14ac:dyDescent="0.35">
      <c r="A68">
        <v>2017</v>
      </c>
      <c r="B68">
        <v>11</v>
      </c>
      <c r="C68" t="s">
        <v>14</v>
      </c>
      <c r="D68" s="15">
        <v>47.5</v>
      </c>
      <c r="E68" s="16">
        <v>55811384</v>
      </c>
      <c r="F68" s="16">
        <f>7230206+255163</f>
        <v>7485369</v>
      </c>
      <c r="G68" s="15">
        <f si="3" t="shared"/>
        <v>13.411903564333757</v>
      </c>
    </row>
    <row r="69" spans="1:10" x14ac:dyDescent="0.35">
      <c r="A69">
        <v>2017</v>
      </c>
      <c r="B69">
        <v>12</v>
      </c>
      <c r="C69" t="s">
        <v>15</v>
      </c>
      <c r="D69" s="15">
        <v>40.200000000000003</v>
      </c>
      <c r="E69" s="16">
        <v>16711573</v>
      </c>
      <c r="F69" s="16">
        <f>1466865+129544</f>
        <v>1596409</v>
      </c>
      <c r="G69" s="15">
        <f si="3" t="shared"/>
        <v>9.5527153548023289</v>
      </c>
    </row>
    <row r="70" spans="1:10" x14ac:dyDescent="0.35">
      <c r="A70">
        <v>2017</v>
      </c>
      <c r="B70">
        <v>13</v>
      </c>
      <c r="C70" t="s">
        <v>16</v>
      </c>
      <c r="D70" s="15">
        <v>24.5</v>
      </c>
      <c r="E70" s="16">
        <v>23097686</v>
      </c>
      <c r="F70" s="16">
        <f>1682581+945000</f>
        <v>2627581</v>
      </c>
      <c r="G70" s="15">
        <f si="3" t="shared"/>
        <v>11.375949088579695</v>
      </c>
    </row>
    <row r="71" spans="1:10" x14ac:dyDescent="0.35">
      <c r="A71">
        <v>2017</v>
      </c>
      <c r="B71">
        <v>14</v>
      </c>
      <c r="C71" t="s">
        <v>17</v>
      </c>
      <c r="D71" s="15">
        <v>38.5</v>
      </c>
      <c r="E71" s="16">
        <v>5983244</v>
      </c>
      <c r="F71" s="16">
        <f>1036427+80125</f>
        <v>1116552</v>
      </c>
      <c r="G71" s="15">
        <f si="3" t="shared"/>
        <v>18.661314831887182</v>
      </c>
    </row>
    <row r="72" spans="1:10" x14ac:dyDescent="0.35">
      <c r="A72">
        <v>2017</v>
      </c>
      <c r="B72">
        <v>15</v>
      </c>
      <c r="C72" t="s">
        <v>18</v>
      </c>
      <c r="D72" s="15">
        <v>37.6</v>
      </c>
      <c r="E72" s="16">
        <v>18728254</v>
      </c>
      <c r="F72" s="16">
        <f>2081962+24445</f>
        <v>2106407</v>
      </c>
      <c r="G72" s="15">
        <f si="3" t="shared"/>
        <v>11.247215036703368</v>
      </c>
    </row>
    <row r="73" spans="1:10" x14ac:dyDescent="0.35">
      <c r="A73">
        <v>2017</v>
      </c>
      <c r="B73">
        <v>16</v>
      </c>
      <c r="C73" t="s">
        <v>19</v>
      </c>
      <c r="D73" s="15">
        <v>36</v>
      </c>
      <c r="E73" s="16">
        <v>9742188</v>
      </c>
      <c r="F73" s="16">
        <f>641608</f>
        <v>641608</v>
      </c>
      <c r="G73" s="15">
        <f si="3" t="shared"/>
        <v>6.5858716748229451</v>
      </c>
    </row>
    <row r="74" spans="1:10" x14ac:dyDescent="0.35">
      <c r="A74">
        <v>2017</v>
      </c>
      <c r="C74" t="s">
        <v>34</v>
      </c>
      <c r="D74" s="15">
        <v>37.6</v>
      </c>
      <c r="E74" s="16">
        <f>IF(E59&gt;0,SUM(E59:E73),"")</f>
        <v>294806794</v>
      </c>
      <c r="F74" s="16">
        <f>IF(F59&gt;0,SUM(F59:F73),"")</f>
        <v>29790065</v>
      </c>
      <c r="G74" s="15">
        <f si="3" t="shared"/>
        <v>10.104945206927626</v>
      </c>
      <c r="J74" s="16"/>
    </row>
    <row r="75" spans="1:10" x14ac:dyDescent="0.35">
      <c r="A75">
        <v>2017</v>
      </c>
      <c r="C75" t="s">
        <v>21</v>
      </c>
      <c r="G75" s="15" t="str">
        <f si="3" t="shared"/>
        <v/>
      </c>
      <c r="H75" s="16">
        <v>46795</v>
      </c>
    </row>
    <row r="76" spans="1:10" x14ac:dyDescent="0.35">
      <c r="A76">
        <v>2017</v>
      </c>
      <c r="C76" t="s">
        <v>0</v>
      </c>
      <c r="F76" s="16"/>
      <c r="G76" s="15" t="str">
        <f si="3" t="shared"/>
        <v/>
      </c>
      <c r="H76" s="16">
        <v>4123</v>
      </c>
    </row>
    <row r="77" spans="1:10" x14ac:dyDescent="0.35">
      <c r="A77">
        <v>2017</v>
      </c>
      <c r="C77" t="s">
        <v>1</v>
      </c>
      <c r="G77" s="15" t="str">
        <f si="3" t="shared"/>
        <v/>
      </c>
      <c r="H77" s="16">
        <v>2679</v>
      </c>
    </row>
    <row r="78" spans="1:10" x14ac:dyDescent="0.35">
      <c r="A78">
        <v>2018</v>
      </c>
      <c r="B78">
        <v>1</v>
      </c>
      <c r="C78" t="s">
        <v>5</v>
      </c>
      <c r="D78" s="15">
        <v>49</v>
      </c>
      <c r="E78" s="16">
        <v>13976234</v>
      </c>
      <c r="F78" s="16">
        <v>1616722</v>
      </c>
      <c r="G78" s="15">
        <f>IF(E78&gt;0,F78/E78*100,"")</f>
        <v>11.567651199886894</v>
      </c>
    </row>
    <row r="79" spans="1:10" x14ac:dyDescent="0.35">
      <c r="A79">
        <v>2018</v>
      </c>
      <c r="B79">
        <v>2</v>
      </c>
      <c r="C79" t="s">
        <v>6</v>
      </c>
      <c r="D79" s="15">
        <v>39.299999999999997</v>
      </c>
      <c r="E79" s="16">
        <v>11958496</v>
      </c>
      <c r="F79" s="16">
        <v>1946529</v>
      </c>
      <c r="G79" s="15">
        <f ref="G79:G111" si="4" t="shared">IF(E79&gt;0,F79/E79*100,"")</f>
        <v>16.277373007441739</v>
      </c>
    </row>
    <row r="80" spans="1:10" x14ac:dyDescent="0.35">
      <c r="A80">
        <v>2018</v>
      </c>
      <c r="B80">
        <v>3</v>
      </c>
      <c r="C80" t="s">
        <v>7</v>
      </c>
      <c r="D80" s="15">
        <v>38.5</v>
      </c>
      <c r="E80" s="16">
        <v>8335343</v>
      </c>
      <c r="F80" s="16">
        <v>900185</v>
      </c>
      <c r="G80" s="15">
        <f si="4" t="shared"/>
        <v>10.799615564710415</v>
      </c>
    </row>
    <row r="81" spans="1:8" x14ac:dyDescent="0.35">
      <c r="A81">
        <v>2018</v>
      </c>
      <c r="B81">
        <v>4</v>
      </c>
      <c r="C81" t="s">
        <v>8</v>
      </c>
      <c r="D81" s="15">
        <v>35</v>
      </c>
      <c r="E81" s="16">
        <v>6048058</v>
      </c>
      <c r="F81" s="16">
        <v>849503</v>
      </c>
      <c r="G81" s="15">
        <f si="4" t="shared"/>
        <v>14.045880512389267</v>
      </c>
    </row>
    <row r="82" spans="1:8" x14ac:dyDescent="0.35">
      <c r="A82">
        <v>2018</v>
      </c>
      <c r="B82">
        <v>5</v>
      </c>
      <c r="C82" t="s">
        <v>9</v>
      </c>
      <c r="D82" s="15">
        <v>33.6</v>
      </c>
      <c r="E82" s="16">
        <v>22443948</v>
      </c>
      <c r="F82" s="16">
        <v>1304177</v>
      </c>
      <c r="G82" s="15">
        <f si="4" t="shared"/>
        <v>5.8108181323535417</v>
      </c>
    </row>
    <row r="83" spans="1:8" x14ac:dyDescent="0.35">
      <c r="A83">
        <v>2018</v>
      </c>
      <c r="B83">
        <v>6</v>
      </c>
      <c r="C83" t="s">
        <v>10</v>
      </c>
      <c r="D83" s="15">
        <v>41.2</v>
      </c>
      <c r="E83" s="16">
        <v>11315482</v>
      </c>
      <c r="F83" s="16">
        <v>1438640</v>
      </c>
      <c r="G83" s="15">
        <f si="4" t="shared"/>
        <v>12.713908254195447</v>
      </c>
    </row>
    <row r="84" spans="1:8" x14ac:dyDescent="0.35">
      <c r="A84">
        <v>2018</v>
      </c>
      <c r="B84">
        <v>7</v>
      </c>
      <c r="C84" t="s">
        <v>11</v>
      </c>
      <c r="D84" s="15">
        <v>34.6</v>
      </c>
      <c r="E84" s="16">
        <v>19083956</v>
      </c>
      <c r="F84" s="16">
        <v>1337139</v>
      </c>
      <c r="G84" s="15">
        <f si="4" t="shared"/>
        <v>7.0066133038663478</v>
      </c>
    </row>
    <row r="85" spans="1:8" x14ac:dyDescent="0.35">
      <c r="A85">
        <v>2018</v>
      </c>
      <c r="B85">
        <v>9</v>
      </c>
      <c r="C85" t="s">
        <v>12</v>
      </c>
      <c r="D85" s="15">
        <v>37.700000000000003</v>
      </c>
      <c r="E85" s="16">
        <v>23027678</v>
      </c>
      <c r="F85" s="16">
        <v>1412816</v>
      </c>
      <c r="G85" s="15">
        <f si="4" t="shared"/>
        <v>6.1352951000965019</v>
      </c>
    </row>
    <row r="86" spans="1:8" x14ac:dyDescent="0.35">
      <c r="A86">
        <v>2018</v>
      </c>
      <c r="B86">
        <v>10</v>
      </c>
      <c r="C86" t="s">
        <v>13</v>
      </c>
      <c r="D86" s="15">
        <v>27.6</v>
      </c>
      <c r="E86" s="16">
        <v>50427791</v>
      </c>
      <c r="F86" s="16">
        <v>4036948</v>
      </c>
      <c r="G86" s="15">
        <f si="4" t="shared"/>
        <v>8.0054032110984199</v>
      </c>
    </row>
    <row r="87" spans="1:8" x14ac:dyDescent="0.35">
      <c r="A87">
        <v>2018</v>
      </c>
      <c r="B87">
        <v>11</v>
      </c>
      <c r="C87" t="s">
        <v>14</v>
      </c>
      <c r="D87" s="15">
        <v>48.2</v>
      </c>
      <c r="E87" s="16">
        <v>57945490</v>
      </c>
      <c r="F87" s="16">
        <v>8650225</v>
      </c>
      <c r="G87" s="15">
        <f si="4" t="shared"/>
        <v>14.928210978973514</v>
      </c>
    </row>
    <row r="88" spans="1:8" x14ac:dyDescent="0.35">
      <c r="A88">
        <v>2018</v>
      </c>
      <c r="B88">
        <v>12</v>
      </c>
      <c r="C88" t="s">
        <v>15</v>
      </c>
      <c r="D88" s="15">
        <v>42.4</v>
      </c>
      <c r="E88" s="16">
        <v>17355829</v>
      </c>
      <c r="F88" s="16">
        <v>1804725</v>
      </c>
      <c r="G88" s="15">
        <f si="4" t="shared"/>
        <v>10.398379702865244</v>
      </c>
    </row>
    <row r="89" spans="1:8" x14ac:dyDescent="0.35">
      <c r="A89">
        <v>2018</v>
      </c>
      <c r="B89">
        <v>13</v>
      </c>
      <c r="C89" t="s">
        <v>16</v>
      </c>
      <c r="D89" s="15">
        <v>26.7</v>
      </c>
      <c r="E89" s="16">
        <v>22382202</v>
      </c>
      <c r="F89" s="16">
        <v>2174701</v>
      </c>
      <c r="G89" s="15">
        <f si="4" t="shared"/>
        <v>9.7162066538404037</v>
      </c>
    </row>
    <row r="90" spans="1:8" x14ac:dyDescent="0.35">
      <c r="A90">
        <v>2018</v>
      </c>
      <c r="B90">
        <v>14</v>
      </c>
      <c r="C90" t="s">
        <v>17</v>
      </c>
      <c r="D90" s="15">
        <v>35.700000000000003</v>
      </c>
      <c r="E90" s="16">
        <v>6187791</v>
      </c>
      <c r="F90" s="16">
        <v>1093205</v>
      </c>
      <c r="G90" s="15">
        <f si="4" t="shared"/>
        <v>17.667128705542897</v>
      </c>
    </row>
    <row r="91" spans="1:8" x14ac:dyDescent="0.35">
      <c r="A91">
        <v>2018</v>
      </c>
      <c r="B91">
        <v>15</v>
      </c>
      <c r="C91" t="s">
        <v>18</v>
      </c>
      <c r="D91" s="15">
        <v>41</v>
      </c>
      <c r="E91" s="16">
        <v>17194737</v>
      </c>
      <c r="F91" s="16">
        <v>2344713</v>
      </c>
      <c r="G91" s="15">
        <f si="4" t="shared"/>
        <v>13.636224851825299</v>
      </c>
    </row>
    <row r="92" spans="1:8" x14ac:dyDescent="0.35">
      <c r="A92">
        <v>2018</v>
      </c>
      <c r="B92">
        <v>16</v>
      </c>
      <c r="C92" t="s">
        <v>19</v>
      </c>
      <c r="D92" s="15">
        <v>36.6</v>
      </c>
      <c r="E92" s="16">
        <v>9333526</v>
      </c>
      <c r="F92" s="16">
        <v>657105</v>
      </c>
      <c r="G92" s="15">
        <f si="4" t="shared"/>
        <v>7.0402653830931641</v>
      </c>
    </row>
    <row r="93" spans="1:8" x14ac:dyDescent="0.35">
      <c r="A93">
        <v>2018</v>
      </c>
      <c r="C93" t="s">
        <v>34</v>
      </c>
      <c r="D93" s="15">
        <v>38.9</v>
      </c>
      <c r="E93" s="16">
        <f>IF(E78&gt;0,SUM(E78:E92),"")</f>
        <v>297016561</v>
      </c>
      <c r="F93" s="16">
        <f>IF(F78&gt;0,SUM(F78:F92),"")</f>
        <v>31567333</v>
      </c>
      <c r="G93" s="15">
        <f si="4" t="shared"/>
        <v>10.628139014780391</v>
      </c>
    </row>
    <row r="94" spans="1:8" x14ac:dyDescent="0.35">
      <c r="A94">
        <v>2018</v>
      </c>
      <c r="C94" t="s">
        <v>21</v>
      </c>
      <c r="G94" s="15" t="str">
        <f si="4" t="shared"/>
        <v/>
      </c>
      <c r="H94" s="16">
        <v>50082</v>
      </c>
    </row>
    <row r="95" spans="1:8" x14ac:dyDescent="0.35">
      <c r="A95">
        <v>2018</v>
      </c>
      <c r="C95" t="s">
        <v>0</v>
      </c>
      <c r="F95" s="16"/>
      <c r="G95" s="15" t="str">
        <f si="4" t="shared"/>
        <v/>
      </c>
      <c r="H95" s="16">
        <v>107</v>
      </c>
    </row>
    <row r="96" spans="1:8" x14ac:dyDescent="0.35">
      <c r="A96">
        <v>2018</v>
      </c>
      <c r="C96" t="s">
        <v>1</v>
      </c>
      <c r="G96" s="15" t="str">
        <f si="4" t="shared"/>
        <v/>
      </c>
      <c r="H96" s="16">
        <v>1653</v>
      </c>
    </row>
    <row r="97" spans="1:7" x14ac:dyDescent="0.35">
      <c r="A97">
        <v>2019</v>
      </c>
      <c r="B97">
        <v>1</v>
      </c>
      <c r="C97" t="s">
        <v>5</v>
      </c>
      <c r="D97" s="24">
        <v>50</v>
      </c>
      <c r="E97" s="22">
        <v>14509860</v>
      </c>
      <c r="F97" s="16">
        <v>1721060</v>
      </c>
      <c r="G97" s="15">
        <f>IF(E97&gt;0,F97/E97*100,"")</f>
        <v>11.861313617085209</v>
      </c>
    </row>
    <row r="98" spans="1:7" x14ac:dyDescent="0.35">
      <c r="A98">
        <v>2019</v>
      </c>
      <c r="B98">
        <v>2</v>
      </c>
      <c r="C98" t="s">
        <v>6</v>
      </c>
      <c r="D98" s="24">
        <v>39.200000000000003</v>
      </c>
      <c r="E98" s="22">
        <v>12546460</v>
      </c>
      <c r="F98" s="16">
        <v>2232528</v>
      </c>
      <c r="G98" s="15">
        <f si="4" t="shared"/>
        <v>17.794086937670066</v>
      </c>
    </row>
    <row r="99" spans="1:7" x14ac:dyDescent="0.35">
      <c r="A99">
        <v>2019</v>
      </c>
      <c r="B99">
        <v>3</v>
      </c>
      <c r="C99" t="s">
        <v>7</v>
      </c>
      <c r="D99" s="24">
        <v>40.6</v>
      </c>
      <c r="E99" s="22">
        <v>8614814</v>
      </c>
      <c r="F99" s="16">
        <v>992641</v>
      </c>
      <c r="G99" s="15">
        <f si="4" t="shared"/>
        <v>11.522489051998104</v>
      </c>
    </row>
    <row r="100" spans="1:7" x14ac:dyDescent="0.35">
      <c r="A100">
        <v>2019</v>
      </c>
      <c r="B100">
        <v>4</v>
      </c>
      <c r="C100" t="s">
        <v>8</v>
      </c>
      <c r="D100" s="24">
        <v>38</v>
      </c>
      <c r="E100" s="22">
        <v>6223529</v>
      </c>
      <c r="F100" s="16">
        <v>1038841</v>
      </c>
      <c r="G100" s="15">
        <f si="4" t="shared"/>
        <v>16.692153278308819</v>
      </c>
    </row>
    <row r="101" spans="1:7" x14ac:dyDescent="0.35">
      <c r="A101">
        <v>2019</v>
      </c>
      <c r="B101">
        <v>5</v>
      </c>
      <c r="C101" t="s">
        <v>9</v>
      </c>
      <c r="D101" s="24">
        <v>35.200000000000003</v>
      </c>
      <c r="E101" s="22">
        <v>21622692</v>
      </c>
      <c r="F101" s="16">
        <v>1162283</v>
      </c>
      <c r="G101" s="15">
        <f si="4" t="shared"/>
        <v>5.3752927711313649</v>
      </c>
    </row>
    <row r="102" spans="1:7" x14ac:dyDescent="0.35">
      <c r="A102">
        <v>2019</v>
      </c>
      <c r="B102">
        <v>6</v>
      </c>
      <c r="C102" t="s">
        <v>10</v>
      </c>
      <c r="D102" s="24">
        <v>42.8</v>
      </c>
      <c r="E102" s="22">
        <v>11288466</v>
      </c>
      <c r="F102" s="16">
        <v>1721341</v>
      </c>
      <c r="G102" s="15">
        <f si="4" t="shared"/>
        <v>15.248670634256239</v>
      </c>
    </row>
    <row r="103" spans="1:7" x14ac:dyDescent="0.35">
      <c r="A103">
        <v>2019</v>
      </c>
      <c r="B103">
        <v>7</v>
      </c>
      <c r="C103" t="s">
        <v>11</v>
      </c>
      <c r="D103" s="24">
        <v>36.9</v>
      </c>
      <c r="E103" s="22">
        <v>19188571</v>
      </c>
      <c r="F103" s="16">
        <v>1358421</v>
      </c>
      <c r="G103" s="15">
        <f si="4" t="shared"/>
        <v>7.0793234160063303</v>
      </c>
    </row>
    <row r="104" spans="1:7" x14ac:dyDescent="0.35">
      <c r="A104">
        <v>2019</v>
      </c>
      <c r="B104">
        <v>9</v>
      </c>
      <c r="C104" t="s">
        <v>12</v>
      </c>
      <c r="D104" s="24">
        <v>38.1</v>
      </c>
      <c r="E104" s="22">
        <v>23467012</v>
      </c>
      <c r="F104" s="16">
        <v>2131264</v>
      </c>
      <c r="G104" s="15">
        <f si="4" t="shared"/>
        <v>9.0819572598335068</v>
      </c>
    </row>
    <row r="105" spans="1:7" x14ac:dyDescent="0.35">
      <c r="A105">
        <v>2019</v>
      </c>
      <c r="B105">
        <v>10</v>
      </c>
      <c r="C105" t="s">
        <v>13</v>
      </c>
      <c r="D105" s="24">
        <v>28.4</v>
      </c>
      <c r="E105" s="22">
        <v>51545384</v>
      </c>
      <c r="F105" s="16">
        <v>4386138</v>
      </c>
      <c r="G105" s="15">
        <f si="4" t="shared"/>
        <v>8.5092740797119681</v>
      </c>
    </row>
    <row r="106" spans="1:7" x14ac:dyDescent="0.35">
      <c r="A106">
        <v>2019</v>
      </c>
      <c r="B106">
        <v>11</v>
      </c>
      <c r="C106" t="s">
        <v>14</v>
      </c>
      <c r="D106" s="24">
        <v>47.2</v>
      </c>
      <c r="E106" s="22">
        <v>59312458</v>
      </c>
      <c r="F106" s="16">
        <v>8258283</v>
      </c>
      <c r="G106" s="15">
        <f si="4" t="shared"/>
        <v>13.923353168064626</v>
      </c>
    </row>
    <row r="107" spans="1:7" x14ac:dyDescent="0.35">
      <c r="A107">
        <v>2019</v>
      </c>
      <c r="B107">
        <v>12</v>
      </c>
      <c r="C107" t="s">
        <v>15</v>
      </c>
      <c r="D107" s="24">
        <v>42</v>
      </c>
      <c r="E107" s="22">
        <v>17458790</v>
      </c>
      <c r="F107" s="16">
        <v>2124132</v>
      </c>
      <c r="G107" s="15">
        <f si="4" t="shared"/>
        <v>12.166547624434454</v>
      </c>
    </row>
    <row r="108" spans="1:7" x14ac:dyDescent="0.35">
      <c r="A108">
        <v>2019</v>
      </c>
      <c r="B108">
        <v>13</v>
      </c>
      <c r="C108" t="s">
        <v>16</v>
      </c>
      <c r="D108" s="24">
        <v>26.9</v>
      </c>
      <c r="E108" s="22">
        <v>23113157</v>
      </c>
      <c r="F108" s="16">
        <v>2254131</v>
      </c>
      <c r="G108" s="15">
        <f si="4" t="shared"/>
        <v>9.7525881038232889</v>
      </c>
    </row>
    <row r="109" spans="1:7" x14ac:dyDescent="0.35">
      <c r="A109">
        <v>2019</v>
      </c>
      <c r="B109">
        <v>14</v>
      </c>
      <c r="C109" t="s">
        <v>17</v>
      </c>
      <c r="D109" s="24">
        <v>39.299999999999997</v>
      </c>
      <c r="E109" s="22">
        <v>6326229</v>
      </c>
      <c r="F109" s="16">
        <v>1199623</v>
      </c>
      <c r="G109" s="15">
        <f si="4" t="shared"/>
        <v>18.962686934032895</v>
      </c>
    </row>
    <row r="110" spans="1:7" x14ac:dyDescent="0.35">
      <c r="A110">
        <v>2019</v>
      </c>
      <c r="B110">
        <v>15</v>
      </c>
      <c r="C110" t="s">
        <v>18</v>
      </c>
      <c r="D110" s="24">
        <v>44.6</v>
      </c>
      <c r="E110" s="22">
        <v>16766158</v>
      </c>
      <c r="F110" s="16">
        <v>2711095</v>
      </c>
      <c r="G110" s="15">
        <f si="4" t="shared"/>
        <v>16.170043250218686</v>
      </c>
    </row>
    <row r="111" spans="1:7" x14ac:dyDescent="0.35">
      <c r="A111">
        <v>2019</v>
      </c>
      <c r="B111">
        <v>16</v>
      </c>
      <c r="C111" t="s">
        <v>19</v>
      </c>
      <c r="D111" s="24">
        <v>34.5</v>
      </c>
      <c r="E111" s="22">
        <v>9808095</v>
      </c>
      <c r="F111" s="16">
        <v>676965</v>
      </c>
      <c r="G111" s="15">
        <f si="4" t="shared"/>
        <v>6.9021048429893872</v>
      </c>
    </row>
    <row r="112" spans="1:7" x14ac:dyDescent="0.35">
      <c r="A112">
        <v>2019</v>
      </c>
      <c r="C112" t="s">
        <v>34</v>
      </c>
      <c r="D112" s="24">
        <v>39.299999999999997</v>
      </c>
      <c r="E112" s="16">
        <f>IF(E97&gt;0,SUM(E97:E111),"")</f>
        <v>301791675</v>
      </c>
      <c r="F112" s="16">
        <f>IF(F97&gt;0,SUM(F97:F111),"")</f>
        <v>33968746</v>
      </c>
      <c r="G112" s="15">
        <f ref="G112" si="5" t="shared">IF(E112&gt;0,F112/E112*100,"")</f>
        <v>11.255693517722118</v>
      </c>
    </row>
    <row r="113" spans="1:8" x14ac:dyDescent="0.35">
      <c r="A113">
        <v>2019</v>
      </c>
      <c r="C113" t="s">
        <v>21</v>
      </c>
      <c r="H113" s="16">
        <v>49623</v>
      </c>
    </row>
    <row r="114" spans="1:8" x14ac:dyDescent="0.35">
      <c r="A114">
        <v>2019</v>
      </c>
      <c r="C114" t="s">
        <v>0</v>
      </c>
      <c r="H114" s="16">
        <v>470</v>
      </c>
    </row>
    <row r="115" spans="1:8" x14ac:dyDescent="0.35">
      <c r="A115">
        <v>2019</v>
      </c>
      <c r="C115" t="s">
        <v>1</v>
      </c>
      <c r="H115" s="16">
        <v>1210</v>
      </c>
    </row>
    <row r="116" spans="1:8" x14ac:dyDescent="0.35">
      <c r="A116">
        <v>2020</v>
      </c>
      <c r="B116">
        <v>1</v>
      </c>
      <c r="C116" t="s">
        <v>5</v>
      </c>
      <c r="D116">
        <v>49.8</v>
      </c>
      <c r="E116" s="26">
        <v>14136516</v>
      </c>
      <c r="F116" s="16">
        <v>1665732</v>
      </c>
      <c r="G116" s="15">
        <f>IF(E116&gt;0,F116/E116*100,"")</f>
        <v>11.78318618250777</v>
      </c>
    </row>
    <row r="117" spans="1:8" x14ac:dyDescent="0.35">
      <c r="A117">
        <v>2020</v>
      </c>
      <c r="B117">
        <v>2</v>
      </c>
      <c r="C117" t="s">
        <v>6</v>
      </c>
      <c r="D117">
        <v>39.4</v>
      </c>
      <c r="E117" s="26">
        <v>12426716</v>
      </c>
      <c r="F117" s="16">
        <v>2072979</v>
      </c>
      <c r="G117" s="15">
        <f ref="G117:G131" si="6" t="shared">IF(E117&gt;0,F117/E117*100,"")</f>
        <v>16.681631736011347</v>
      </c>
    </row>
    <row r="118" spans="1:8" x14ac:dyDescent="0.35">
      <c r="A118">
        <v>2020</v>
      </c>
      <c r="B118">
        <v>3</v>
      </c>
      <c r="C118" t="s">
        <v>7</v>
      </c>
      <c r="D118">
        <v>42</v>
      </c>
      <c r="E118" s="26">
        <v>8242307</v>
      </c>
      <c r="F118" s="16">
        <v>1017373</v>
      </c>
      <c r="G118" s="15">
        <f si="6" t="shared"/>
        <v>12.34330388324531</v>
      </c>
    </row>
    <row r="119" spans="1:8" x14ac:dyDescent="0.35">
      <c r="A119">
        <v>2020</v>
      </c>
      <c r="B119">
        <v>4</v>
      </c>
      <c r="C119" t="s">
        <v>8</v>
      </c>
      <c r="D119">
        <v>39.6</v>
      </c>
      <c r="E119" s="26">
        <v>6490660</v>
      </c>
      <c r="F119" s="16">
        <v>1102550.29</v>
      </c>
      <c r="G119" s="15">
        <f si="6" t="shared"/>
        <v>16.986720764914509</v>
      </c>
    </row>
    <row r="120" spans="1:8" x14ac:dyDescent="0.35">
      <c r="A120">
        <v>2020</v>
      </c>
      <c r="B120">
        <v>5</v>
      </c>
      <c r="C120" t="s">
        <v>9</v>
      </c>
      <c r="D120">
        <v>36</v>
      </c>
      <c r="E120" s="26">
        <v>20324107</v>
      </c>
      <c r="F120" s="16">
        <v>1139893</v>
      </c>
      <c r="G120" s="15">
        <f si="6" t="shared"/>
        <v>5.6085760619150449</v>
      </c>
    </row>
    <row r="121" spans="1:8" x14ac:dyDescent="0.35">
      <c r="A121">
        <v>2020</v>
      </c>
      <c r="B121">
        <v>6</v>
      </c>
      <c r="C121" t="s">
        <v>10</v>
      </c>
      <c r="D121">
        <v>44.7</v>
      </c>
      <c r="E121" s="26">
        <v>11033338</v>
      </c>
      <c r="F121" s="16">
        <v>1834192</v>
      </c>
      <c r="G121" s="15">
        <f si="6" t="shared"/>
        <v>16.624089645400151</v>
      </c>
    </row>
    <row r="122" spans="1:8" x14ac:dyDescent="0.35">
      <c r="A122">
        <v>2020</v>
      </c>
      <c r="B122">
        <v>7</v>
      </c>
      <c r="C122" t="s">
        <v>11</v>
      </c>
      <c r="D122">
        <v>41.1</v>
      </c>
      <c r="E122" s="26">
        <v>18020869</v>
      </c>
      <c r="F122" s="16">
        <v>1301896</v>
      </c>
      <c r="G122" s="15">
        <f si="6" t="shared"/>
        <v>7.2243796900138397</v>
      </c>
    </row>
    <row r="123" spans="1:8" x14ac:dyDescent="0.35">
      <c r="A123">
        <v>2020</v>
      </c>
      <c r="B123">
        <v>9</v>
      </c>
      <c r="C123" t="s">
        <v>12</v>
      </c>
      <c r="D123">
        <v>39.1</v>
      </c>
      <c r="E123" s="26">
        <v>23373709</v>
      </c>
      <c r="F123" s="16">
        <v>2388505</v>
      </c>
      <c r="G123" s="15">
        <f si="6" t="shared"/>
        <v>10.218767590543717</v>
      </c>
    </row>
    <row r="124" spans="1:8" x14ac:dyDescent="0.35">
      <c r="A124">
        <v>2020</v>
      </c>
      <c r="B124">
        <v>10</v>
      </c>
      <c r="C124" t="s">
        <v>13</v>
      </c>
      <c r="D124">
        <v>29.8</v>
      </c>
      <c r="E124" s="26">
        <v>49764218</v>
      </c>
      <c r="F124" s="16">
        <v>5010086.0999999996</v>
      </c>
      <c r="G124" s="15">
        <f si="6" t="shared"/>
        <v>10.067647601736653</v>
      </c>
    </row>
    <row r="125" spans="1:8" x14ac:dyDescent="0.35">
      <c r="A125">
        <v>2020</v>
      </c>
      <c r="B125">
        <v>11</v>
      </c>
      <c r="C125" t="s">
        <v>14</v>
      </c>
      <c r="D125">
        <v>48</v>
      </c>
      <c r="E125" s="26">
        <v>57613435</v>
      </c>
      <c r="F125" s="16">
        <v>8602852</v>
      </c>
      <c r="G125" s="15">
        <f si="6" t="shared"/>
        <v>14.932024101670036</v>
      </c>
    </row>
    <row r="126" spans="1:8" x14ac:dyDescent="0.35">
      <c r="A126">
        <v>2020</v>
      </c>
      <c r="B126">
        <v>12</v>
      </c>
      <c r="C126" t="s">
        <v>15</v>
      </c>
      <c r="D126">
        <v>44.1</v>
      </c>
      <c r="E126" s="26">
        <v>17330974</v>
      </c>
      <c r="F126" s="16">
        <v>2253704</v>
      </c>
      <c r="G126" s="15">
        <f si="6" t="shared"/>
        <v>13.003908493544564</v>
      </c>
    </row>
    <row r="127" spans="1:8" x14ac:dyDescent="0.35">
      <c r="A127">
        <v>2020</v>
      </c>
      <c r="B127">
        <v>13</v>
      </c>
      <c r="C127" t="s">
        <v>16</v>
      </c>
      <c r="D127">
        <v>28.7</v>
      </c>
      <c r="E127" s="26">
        <v>23218577</v>
      </c>
      <c r="F127" s="16">
        <v>2607849</v>
      </c>
      <c r="G127" s="15">
        <f si="6" t="shared"/>
        <v>11.23173483026113</v>
      </c>
    </row>
    <row r="128" spans="1:8" x14ac:dyDescent="0.35">
      <c r="A128">
        <v>2020</v>
      </c>
      <c r="B128">
        <v>14</v>
      </c>
      <c r="C128" t="s">
        <v>17</v>
      </c>
      <c r="D128">
        <v>44.1</v>
      </c>
      <c r="E128" s="26">
        <v>6260021</v>
      </c>
      <c r="F128" s="16">
        <v>1167066</v>
      </c>
      <c r="G128" s="15">
        <f si="6" t="shared"/>
        <v>18.643164296094213</v>
      </c>
    </row>
    <row r="129" spans="1:8" x14ac:dyDescent="0.35">
      <c r="A129">
        <v>2020</v>
      </c>
      <c r="B129">
        <v>15</v>
      </c>
      <c r="C129" t="s">
        <v>18</v>
      </c>
      <c r="D129">
        <v>44.4</v>
      </c>
      <c r="E129" s="26">
        <v>15177973</v>
      </c>
      <c r="F129" s="16">
        <v>2490925</v>
      </c>
      <c r="G129" s="15">
        <f si="6" t="shared"/>
        <v>16.411447035780075</v>
      </c>
    </row>
    <row r="130" spans="1:8" x14ac:dyDescent="0.35">
      <c r="A130">
        <v>2020</v>
      </c>
      <c r="B130">
        <v>16</v>
      </c>
      <c r="C130" t="s">
        <v>19</v>
      </c>
      <c r="D130">
        <v>35</v>
      </c>
      <c r="E130" s="26">
        <v>9442450</v>
      </c>
      <c r="F130" s="16">
        <v>726144</v>
      </c>
      <c r="G130" s="15">
        <f si="6" t="shared"/>
        <v>7.6902075202939919</v>
      </c>
    </row>
    <row r="131" spans="1:8" x14ac:dyDescent="0.35">
      <c r="A131">
        <v>2020</v>
      </c>
      <c r="C131" t="s">
        <v>34</v>
      </c>
      <c r="D131">
        <v>40.799999999999997</v>
      </c>
      <c r="E131" s="26">
        <v>292855870</v>
      </c>
      <c r="F131" s="16">
        <f>IF(F116&gt;0,SUM(F116:F130),"")</f>
        <v>35381746.390000001</v>
      </c>
      <c r="G131" s="15">
        <f si="6" t="shared"/>
        <v>12.081624448914068</v>
      </c>
    </row>
    <row r="132" spans="1:8" x14ac:dyDescent="0.35">
      <c r="A132">
        <v>2020</v>
      </c>
      <c r="C132" t="s">
        <v>21</v>
      </c>
      <c r="H132" s="16">
        <v>51182</v>
      </c>
    </row>
    <row r="133" spans="1:8" x14ac:dyDescent="0.35">
      <c r="A133">
        <v>2020</v>
      </c>
      <c r="C133" t="s">
        <v>0</v>
      </c>
      <c r="H133" s="16">
        <v>26</v>
      </c>
    </row>
    <row r="134" spans="1:8" x14ac:dyDescent="0.35">
      <c r="A134">
        <v>2020</v>
      </c>
      <c r="C134" t="s">
        <v>1</v>
      </c>
      <c r="H134" s="16">
        <v>1403</v>
      </c>
    </row>
    <row r="135" spans="1:8" x14ac:dyDescent="0.35">
      <c r="A135">
        <v>2021</v>
      </c>
      <c r="B135">
        <v>1</v>
      </c>
      <c r="C135" t="s">
        <v>5</v>
      </c>
      <c r="D135">
        <v>50.8</v>
      </c>
      <c r="E135" s="26">
        <v>13378009</v>
      </c>
      <c r="F135" s="16">
        <v>1629736</v>
      </c>
      <c r="G135" s="15">
        <f>IF(E135&gt;0,F135/E135*100,"")</f>
        <v>12.182201402316293</v>
      </c>
    </row>
    <row r="136" spans="1:8" x14ac:dyDescent="0.35">
      <c r="A136">
        <v>2021</v>
      </c>
      <c r="B136">
        <v>2</v>
      </c>
      <c r="C136" t="s">
        <v>6</v>
      </c>
      <c r="D136">
        <v>41.3</v>
      </c>
      <c r="E136" s="26">
        <v>12654981</v>
      </c>
      <c r="F136" s="16">
        <v>2190466</v>
      </c>
      <c r="G136" s="15">
        <f ref="G136:G150" si="7" t="shared">IF(E136&gt;0,F136/E136*100,"")</f>
        <v>17.309121206898688</v>
      </c>
    </row>
    <row r="137" spans="1:8" x14ac:dyDescent="0.35">
      <c r="A137">
        <v>2021</v>
      </c>
      <c r="B137">
        <v>3</v>
      </c>
      <c r="C137" t="s">
        <v>7</v>
      </c>
      <c r="D137">
        <v>44.6</v>
      </c>
      <c r="E137" s="26">
        <v>8207342</v>
      </c>
      <c r="F137" s="16">
        <v>1120641</v>
      </c>
      <c r="G137" s="15">
        <f si="7" t="shared"/>
        <v>13.654128218368383</v>
      </c>
    </row>
    <row r="138" spans="1:8" x14ac:dyDescent="0.35">
      <c r="A138">
        <v>2021</v>
      </c>
      <c r="B138">
        <v>4</v>
      </c>
      <c r="C138" t="s">
        <v>8</v>
      </c>
      <c r="D138">
        <v>42.9</v>
      </c>
      <c r="E138" s="26">
        <v>6447224</v>
      </c>
      <c r="F138" s="16">
        <v>1014278.34</v>
      </c>
      <c r="G138" s="15">
        <f si="7" t="shared"/>
        <v>15.732016446147984</v>
      </c>
    </row>
    <row r="139" spans="1:8" x14ac:dyDescent="0.35">
      <c r="A139">
        <v>2021</v>
      </c>
      <c r="B139">
        <v>5</v>
      </c>
      <c r="C139" t="s">
        <v>9</v>
      </c>
      <c r="D139">
        <v>36.200000000000003</v>
      </c>
      <c r="E139" s="26">
        <v>20135194</v>
      </c>
      <c r="F139" s="16">
        <v>1222777</v>
      </c>
      <c r="G139" s="15">
        <f si="7" t="shared"/>
        <v>6.0728344608946907</v>
      </c>
    </row>
    <row r="140" spans="1:8" x14ac:dyDescent="0.35">
      <c r="A140">
        <v>2021</v>
      </c>
      <c r="B140">
        <v>6</v>
      </c>
      <c r="C140" t="s">
        <v>10</v>
      </c>
      <c r="D140">
        <v>45.7</v>
      </c>
      <c r="E140" s="26">
        <v>10456686</v>
      </c>
      <c r="F140" s="16">
        <v>1975840</v>
      </c>
      <c r="G140" s="15">
        <f si="7" t="shared"/>
        <v>18.89547032396306</v>
      </c>
    </row>
    <row r="141" spans="1:8" x14ac:dyDescent="0.35">
      <c r="A141">
        <v>2021</v>
      </c>
      <c r="B141">
        <v>7</v>
      </c>
      <c r="C141" t="s">
        <v>11</v>
      </c>
      <c r="D141">
        <v>42.9</v>
      </c>
      <c r="E141" s="26">
        <v>18393467</v>
      </c>
      <c r="F141" s="16">
        <v>1461753</v>
      </c>
      <c r="G141" s="15">
        <f si="7" t="shared"/>
        <v>7.9471314461814071</v>
      </c>
    </row>
    <row r="142" spans="1:8" x14ac:dyDescent="0.35">
      <c r="A142">
        <v>2021</v>
      </c>
      <c r="B142">
        <v>9</v>
      </c>
      <c r="C142" t="s">
        <v>12</v>
      </c>
      <c r="D142">
        <v>40</v>
      </c>
      <c r="E142" s="26">
        <v>21556286</v>
      </c>
      <c r="F142" s="16">
        <v>2399506</v>
      </c>
      <c r="G142" s="15">
        <f si="7" t="shared"/>
        <v>11.131351662341093</v>
      </c>
    </row>
    <row r="143" spans="1:8" x14ac:dyDescent="0.35">
      <c r="A143">
        <v>2021</v>
      </c>
      <c r="B143">
        <v>10</v>
      </c>
      <c r="C143" t="s">
        <v>13</v>
      </c>
      <c r="D143">
        <v>31.6</v>
      </c>
      <c r="E143" s="26">
        <v>45864181</v>
      </c>
      <c r="F143" s="16">
        <v>4656917.3</v>
      </c>
      <c r="G143" s="15">
        <f si="7" t="shared"/>
        <v>10.153712981378648</v>
      </c>
    </row>
    <row r="144" spans="1:8" x14ac:dyDescent="0.35">
      <c r="A144">
        <v>2021</v>
      </c>
      <c r="B144">
        <v>11</v>
      </c>
      <c r="C144" t="s">
        <v>14</v>
      </c>
      <c r="D144">
        <v>44.3</v>
      </c>
      <c r="E144" s="26">
        <v>58073740</v>
      </c>
      <c r="F144" s="16">
        <v>7959640</v>
      </c>
      <c r="G144" s="15">
        <f si="7" t="shared"/>
        <v>13.706091600093263</v>
      </c>
    </row>
    <row r="145" spans="1:8" x14ac:dyDescent="0.35">
      <c r="A145">
        <v>2021</v>
      </c>
      <c r="B145">
        <v>12</v>
      </c>
      <c r="C145" t="s">
        <v>15</v>
      </c>
      <c r="D145">
        <v>42.2</v>
      </c>
      <c r="E145" s="26">
        <v>17066444</v>
      </c>
      <c r="F145" s="16">
        <v>2167057</v>
      </c>
      <c r="G145" s="15">
        <f si="7" t="shared"/>
        <v>12.697765275531328</v>
      </c>
    </row>
    <row r="146" spans="1:8" x14ac:dyDescent="0.35">
      <c r="A146">
        <v>2021</v>
      </c>
      <c r="B146">
        <v>13</v>
      </c>
      <c r="C146" t="s">
        <v>16</v>
      </c>
      <c r="D146">
        <v>31</v>
      </c>
      <c r="E146" s="26">
        <v>23114653</v>
      </c>
      <c r="F146" s="16">
        <v>2905228</v>
      </c>
      <c r="G146" s="15">
        <f si="7" t="shared"/>
        <v>12.568771852209936</v>
      </c>
    </row>
    <row r="147" spans="1:8" x14ac:dyDescent="0.35">
      <c r="A147">
        <v>2021</v>
      </c>
      <c r="B147">
        <v>14</v>
      </c>
      <c r="C147" t="s">
        <v>17</v>
      </c>
      <c r="D147">
        <v>44.6</v>
      </c>
      <c r="E147" s="26">
        <v>6106482</v>
      </c>
      <c r="F147" s="16">
        <v>1358657</v>
      </c>
      <c r="G147" s="15">
        <f si="7" t="shared"/>
        <v>22.249422826432632</v>
      </c>
    </row>
    <row r="148" spans="1:8" x14ac:dyDescent="0.35">
      <c r="A148">
        <v>2021</v>
      </c>
      <c r="B148">
        <v>15</v>
      </c>
      <c r="C148" t="s">
        <v>18</v>
      </c>
      <c r="D148">
        <v>43.7</v>
      </c>
      <c r="E148" s="26">
        <v>13926552</v>
      </c>
      <c r="F148" s="16">
        <v>2483849</v>
      </c>
      <c r="G148" s="15">
        <f si="7" t="shared"/>
        <v>17.835347902337922</v>
      </c>
    </row>
    <row r="149" spans="1:8" x14ac:dyDescent="0.35">
      <c r="A149">
        <v>2021</v>
      </c>
      <c r="B149">
        <v>16</v>
      </c>
      <c r="C149" t="s">
        <v>19</v>
      </c>
      <c r="D149">
        <v>33.5</v>
      </c>
      <c r="E149" s="26">
        <v>9279530</v>
      </c>
      <c r="F149" s="16">
        <v>720935</v>
      </c>
      <c r="G149" s="15">
        <f si="7" t="shared"/>
        <v>7.7690895982878443</v>
      </c>
    </row>
    <row r="150" spans="1:8" x14ac:dyDescent="0.35">
      <c r="A150">
        <v>2021</v>
      </c>
      <c r="C150" t="s">
        <v>34</v>
      </c>
      <c r="D150">
        <v>40.4</v>
      </c>
      <c r="E150" s="26">
        <f>SUM(E135:E149)</f>
        <v>284660771</v>
      </c>
      <c r="F150" s="16">
        <f>IF(F135&gt;0,SUM(F135:F149),"")</f>
        <v>35267280.640000001</v>
      </c>
      <c r="G150" s="15">
        <f si="7" t="shared"/>
        <v>12.389231054250184</v>
      </c>
    </row>
    <row r="151" spans="1:8" x14ac:dyDescent="0.35">
      <c r="A151">
        <v>2021</v>
      </c>
      <c r="C151" t="s">
        <v>21</v>
      </c>
      <c r="H151" s="16">
        <v>47297</v>
      </c>
    </row>
    <row r="152" spans="1:8" x14ac:dyDescent="0.35">
      <c r="A152">
        <v>2021</v>
      </c>
      <c r="C152" t="s">
        <v>0</v>
      </c>
      <c r="H152" s="16">
        <v>0</v>
      </c>
    </row>
    <row r="153" spans="1:8" x14ac:dyDescent="0.35">
      <c r="A153">
        <v>2021</v>
      </c>
      <c r="C153" t="s">
        <v>1</v>
      </c>
      <c r="H153" s="16">
        <v>1378</v>
      </c>
    </row>
    <row r="154" spans="1:8" x14ac:dyDescent="0.35">
      <c r="A154">
        <v>2022</v>
      </c>
      <c r="B154">
        <v>1</v>
      </c>
      <c r="C154" t="s">
        <v>5</v>
      </c>
      <c r="D154" s="24">
        <v>52.1</v>
      </c>
      <c r="E154">
        <v>14131299</v>
      </c>
      <c r="F154">
        <v>1759753</v>
      </c>
      <c r="G154" s="15">
        <f ref="G154:G169" si="8" t="shared">IF(E154&gt;0,F154/E154*100,"")</f>
        <v>12.452874997549765</v>
      </c>
    </row>
    <row r="155" spans="1:8" x14ac:dyDescent="0.35">
      <c r="A155">
        <v>2022</v>
      </c>
      <c r="B155">
        <v>2</v>
      </c>
      <c r="C155" t="s">
        <v>6</v>
      </c>
      <c r="D155" s="24">
        <v>43.3</v>
      </c>
      <c r="E155">
        <v>12697364</v>
      </c>
      <c r="F155">
        <v>2474891</v>
      </c>
      <c r="G155" s="15">
        <f si="8" t="shared"/>
        <v>19.491376320313414</v>
      </c>
    </row>
    <row r="156" spans="1:8" x14ac:dyDescent="0.35">
      <c r="A156">
        <v>2022</v>
      </c>
      <c r="B156">
        <v>3</v>
      </c>
      <c r="C156" t="s">
        <v>7</v>
      </c>
      <c r="D156" s="24">
        <v>42.8</v>
      </c>
      <c r="E156">
        <v>8395887</v>
      </c>
      <c r="F156">
        <v>1240385</v>
      </c>
      <c r="G156" s="15">
        <f si="8" t="shared"/>
        <v>14.773721942660734</v>
      </c>
    </row>
    <row r="157" spans="1:8" x14ac:dyDescent="0.35">
      <c r="A157">
        <v>2022</v>
      </c>
      <c r="B157">
        <v>4</v>
      </c>
      <c r="C157" t="s">
        <v>8</v>
      </c>
      <c r="D157" s="24">
        <v>43.8</v>
      </c>
      <c r="E157">
        <v>6398797</v>
      </c>
      <c r="F157">
        <v>1170315.58</v>
      </c>
      <c r="G157" s="15">
        <f si="8" t="shared"/>
        <v>18.289618814286499</v>
      </c>
    </row>
    <row r="158" spans="1:8" x14ac:dyDescent="0.35">
      <c r="A158">
        <v>2022</v>
      </c>
      <c r="B158">
        <v>5</v>
      </c>
      <c r="C158" t="s">
        <v>9</v>
      </c>
      <c r="D158" s="24">
        <v>38.700000000000003</v>
      </c>
      <c r="E158">
        <v>23628133</v>
      </c>
      <c r="F158">
        <v>1452852</v>
      </c>
      <c r="G158" s="15">
        <f si="8" t="shared"/>
        <v>6.148822676764178</v>
      </c>
    </row>
    <row r="159" spans="1:8" x14ac:dyDescent="0.35">
      <c r="A159">
        <v>2022</v>
      </c>
      <c r="B159">
        <v>6</v>
      </c>
      <c r="C159" t="s">
        <v>10</v>
      </c>
      <c r="D159" s="24">
        <v>45.6</v>
      </c>
      <c r="E159">
        <v>10833280</v>
      </c>
      <c r="F159">
        <v>2114069.2000000002</v>
      </c>
      <c r="G159" s="15">
        <f si="8" t="shared"/>
        <v>19.514580994860285</v>
      </c>
    </row>
    <row r="160" spans="1:8" x14ac:dyDescent="0.35">
      <c r="A160">
        <v>2022</v>
      </c>
      <c r="B160">
        <v>7</v>
      </c>
      <c r="C160" t="s">
        <v>11</v>
      </c>
      <c r="D160" s="24">
        <v>46.5</v>
      </c>
      <c r="E160">
        <v>19232450</v>
      </c>
      <c r="F160">
        <v>1656602</v>
      </c>
      <c r="G160" s="15">
        <f si="8" t="shared"/>
        <v>8.6135775733200912</v>
      </c>
    </row>
    <row r="161" spans="1:8" x14ac:dyDescent="0.35">
      <c r="A161">
        <v>2022</v>
      </c>
      <c r="B161">
        <v>9</v>
      </c>
      <c r="C161" t="s">
        <v>12</v>
      </c>
      <c r="D161" s="24">
        <v>43.3</v>
      </c>
      <c r="E161">
        <v>21871338</v>
      </c>
      <c r="F161">
        <v>3003765</v>
      </c>
      <c r="G161" s="15">
        <f si="8" t="shared"/>
        <v>13.733796258829706</v>
      </c>
    </row>
    <row r="162" spans="1:8" x14ac:dyDescent="0.35">
      <c r="A162">
        <v>2022</v>
      </c>
      <c r="B162">
        <v>10</v>
      </c>
      <c r="C162" t="s">
        <v>13</v>
      </c>
      <c r="D162" s="24">
        <v>33.5</v>
      </c>
      <c r="E162">
        <v>46310156</v>
      </c>
      <c r="F162">
        <v>5058669.49</v>
      </c>
      <c r="G162" s="15">
        <f si="8" t="shared"/>
        <v>10.923455947762301</v>
      </c>
    </row>
    <row r="163" spans="1:8" x14ac:dyDescent="0.35">
      <c r="A163">
        <v>2022</v>
      </c>
      <c r="B163">
        <v>11</v>
      </c>
      <c r="C163" t="s">
        <v>14</v>
      </c>
      <c r="D163" s="24">
        <v>46.6</v>
      </c>
      <c r="E163">
        <v>55705883</v>
      </c>
      <c r="F163">
        <v>8548036</v>
      </c>
      <c r="G163" s="15">
        <f si="8" t="shared"/>
        <v>15.344943010776795</v>
      </c>
    </row>
    <row r="164" spans="1:8" x14ac:dyDescent="0.35">
      <c r="A164">
        <v>2022</v>
      </c>
      <c r="B164">
        <v>12</v>
      </c>
      <c r="C164" t="s">
        <v>15</v>
      </c>
      <c r="D164" s="24">
        <v>46.6</v>
      </c>
      <c r="E164">
        <v>16890110</v>
      </c>
      <c r="F164">
        <v>265364</v>
      </c>
      <c r="G164" s="15">
        <f si="8" t="shared"/>
        <v>1.571120614371369</v>
      </c>
    </row>
    <row r="165" spans="1:8" x14ac:dyDescent="0.35">
      <c r="A165">
        <v>2022</v>
      </c>
      <c r="B165">
        <v>13</v>
      </c>
      <c r="C165" t="s">
        <v>16</v>
      </c>
      <c r="D165" s="24">
        <v>31.9</v>
      </c>
      <c r="E165">
        <v>23321432</v>
      </c>
      <c r="F165">
        <v>3091287</v>
      </c>
      <c r="G165" s="15">
        <f si="8" t="shared"/>
        <v>13.25513373278279</v>
      </c>
    </row>
    <row r="166" spans="1:8" x14ac:dyDescent="0.35">
      <c r="A166">
        <v>2022</v>
      </c>
      <c r="B166">
        <v>14</v>
      </c>
      <c r="C166" t="s">
        <v>17</v>
      </c>
      <c r="D166" s="24">
        <v>47.3</v>
      </c>
      <c r="E166">
        <v>6499353</v>
      </c>
      <c r="F166">
        <v>1566951</v>
      </c>
      <c r="G166" s="15">
        <f si="8" t="shared"/>
        <v>24.109338267978366</v>
      </c>
    </row>
    <row r="167" spans="1:8" x14ac:dyDescent="0.35">
      <c r="A167">
        <v>2022</v>
      </c>
      <c r="B167">
        <v>15</v>
      </c>
      <c r="C167" t="s">
        <v>18</v>
      </c>
      <c r="D167" s="24">
        <v>45.6</v>
      </c>
      <c r="E167">
        <v>14311571</v>
      </c>
      <c r="F167">
        <v>2820374</v>
      </c>
      <c r="G167" s="15">
        <f si="8" t="shared"/>
        <v>19.706949013494047</v>
      </c>
    </row>
    <row r="168" spans="1:8" x14ac:dyDescent="0.35">
      <c r="A168">
        <v>2022</v>
      </c>
      <c r="B168">
        <v>16</v>
      </c>
      <c r="C168" t="s">
        <v>19</v>
      </c>
      <c r="D168" s="24">
        <v>37.299999999999997</v>
      </c>
      <c r="E168">
        <v>10282719</v>
      </c>
      <c r="F168">
        <v>863531.84</v>
      </c>
      <c r="G168" s="15">
        <f si="8" t="shared"/>
        <v>8.3978939811542066</v>
      </c>
    </row>
    <row r="169" spans="1:8" x14ac:dyDescent="0.35">
      <c r="A169">
        <v>2022</v>
      </c>
      <c r="C169" t="s">
        <v>34</v>
      </c>
      <c r="D169" s="24">
        <v>42.6</v>
      </c>
      <c r="E169" s="26">
        <f>SUM(E154:E168)</f>
        <v>290509772</v>
      </c>
      <c r="F169" s="16">
        <f>IF(F154&gt;0,SUM(F154:F168),"")</f>
        <v>37086846.110000007</v>
      </c>
      <c r="G169" s="15">
        <f si="8" t="shared"/>
        <v>12.766126886086299</v>
      </c>
    </row>
    <row r="170" spans="1:8" x14ac:dyDescent="0.35">
      <c r="A170">
        <v>2022</v>
      </c>
      <c r="C170" t="s">
        <v>21</v>
      </c>
      <c r="H170">
        <v>50038</v>
      </c>
    </row>
    <row r="171" spans="1:8" x14ac:dyDescent="0.35">
      <c r="A171">
        <v>2022</v>
      </c>
      <c r="C171" t="s">
        <v>0</v>
      </c>
      <c r="H171">
        <v>0</v>
      </c>
    </row>
    <row r="172" spans="1:8" x14ac:dyDescent="0.35">
      <c r="A172">
        <v>2022</v>
      </c>
      <c r="C172" t="s">
        <v>1</v>
      </c>
      <c r="H172">
        <v>1469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2014-08-25T15:52:58Z</dcterms:created>
  <dc:creator>Madison, Robin [LEGIS]</dc:creator>
  <cp:lastModifiedBy>Broich, Adam [LEGIS]</cp:lastModifiedBy>
  <cp:lastPrinted>2022-07-19T17:20:49Z</cp:lastPrinted>
  <dcterms:modified xsi:type="dcterms:W3CDTF">2023-11-02T19:34:38Z</dcterms:modified>
</cp:coreProperties>
</file>