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Factbook!$A$1:$T$54</definedName>
  </definedNames>
  <calcPr calcId="145621"/>
</workbook>
</file>

<file path=xl/calcChain.xml><?xml version="1.0" encoding="utf-8"?>
<calcChain xmlns="http://schemas.openxmlformats.org/spreadsheetml/2006/main">
  <c i="1" l="1" r="B44"/>
  <c i="1" r="G44" s="1"/>
  <c i="1" r="B43"/>
  <c i="1" r="G43" s="1"/>
  <c i="1" r="B42"/>
  <c i="1" r="G42" s="1"/>
  <c i="1" r="B41"/>
  <c i="1" r="J41" s="1"/>
  <c i="1" r="B40"/>
  <c i="1" r="M40" s="1"/>
  <c i="1" r="B39"/>
  <c i="1" r="O39" s="1"/>
  <c i="1" r="B38"/>
  <c i="1" r="Q38" s="1"/>
  <c i="1" r="B37"/>
  <c i="1" r="G37" s="1"/>
  <c i="1" r="B36"/>
  <c i="1" r="G36" s="1"/>
  <c i="1" r="B35"/>
  <c i="1" r="G35" s="1"/>
  <c i="1" r="B34"/>
  <c i="1" r="G34" s="1"/>
  <c i="1" r="B33"/>
  <c i="1" r="J33" s="1"/>
  <c i="1" r="B32"/>
  <c i="1" r="M32" s="1"/>
  <c i="1" r="B31"/>
  <c i="1" r="O31" s="1"/>
  <c i="1" r="B30"/>
  <c i="1" r="Q30" s="1"/>
  <c i="1" r="B29"/>
  <c i="1" r="G29" s="1"/>
  <c i="1" r="B28"/>
  <c i="1" r="G28" s="1"/>
  <c i="1" r="B27"/>
  <c i="1" r="G27" s="1"/>
  <c i="1" r="B26"/>
  <c i="1" r="G26" s="1"/>
  <c i="1" r="B25"/>
  <c i="1" r="J25" s="1"/>
  <c i="1" r="B24"/>
  <c i="1" r="M24" s="1"/>
  <c i="1" r="B23"/>
  <c i="1" r="O23" s="1"/>
  <c i="1" r="B22"/>
  <c i="1" r="Q22" s="1"/>
  <c i="1" r="B21"/>
  <c i="1" r="G21" s="1"/>
  <c i="1" r="B20"/>
  <c i="1" r="G20" s="1"/>
  <c i="1" r="B19"/>
  <c i="1" r="G19" s="1"/>
  <c i="1" r="B18"/>
  <c i="1" r="G18" s="1"/>
  <c i="1" r="B17"/>
  <c i="1" r="J17" s="1"/>
  <c i="1" r="B16"/>
  <c i="1" r="M16" s="1"/>
  <c i="1" r="B15"/>
  <c i="1" r="O15" s="1"/>
  <c i="1" r="B14"/>
  <c i="1" r="Q14" s="1"/>
  <c i="1" r="B13"/>
  <c i="1" r="M13" s="1"/>
  <c i="1" r="B12"/>
  <c i="1" r="G12" s="1"/>
  <c i="1" r="B11"/>
  <c i="1" r="G11" s="1"/>
  <c i="1" r="B10"/>
  <c i="1" r="G10" s="1"/>
  <c i="1" r="B9"/>
  <c i="1" r="J9" s="1"/>
  <c i="1" r="B8"/>
  <c i="1" r="M8" s="1"/>
  <c i="1" r="B7"/>
  <c i="1" r="O7" s="1"/>
  <c i="1" r="B6"/>
  <c i="1" r="Q6" s="1"/>
  <c i="1" r="B5"/>
  <c i="1" r="Q5" s="1"/>
  <c i="1" l="1" r="J38"/>
  <c i="1" r="M35"/>
  <c i="1" r="O28"/>
  <c i="1" r="D43"/>
  <c i="1" r="J36"/>
  <c i="1" r="M28"/>
  <c i="1" r="O12"/>
  <c i="1" r="D42"/>
  <c i="1" r="J20"/>
  <c i="1" r="O44"/>
  <c i="1" r="Q27"/>
  <c i="1" r="D10"/>
  <c i="1" r="J12"/>
  <c i="1" r="O30"/>
  <c i="1" r="Q26"/>
  <c i="1" r="D19"/>
  <c i="1" r="G6"/>
  <c i="1" r="J22"/>
  <c i="1" r="M37"/>
  <c i="1" r="M19"/>
  <c i="1" r="O35"/>
  <c i="1" r="O19"/>
  <c i="1" r="Q35"/>
  <c i="1" r="D18"/>
  <c i="1" r="J44"/>
  <c i="1" r="J21"/>
  <c i="1" r="M36"/>
  <c i="1" r="M12"/>
  <c i="1" r="O34"/>
  <c i="1" r="O18"/>
  <c i="1" r="Q34"/>
  <c i="1" r="D11"/>
  <c i="1" r="M11"/>
  <c i="1" r="O14"/>
  <c i="1" r="M29"/>
  <c i="1" r="D35"/>
  <c i="1" r="D34"/>
  <c i="1" r="G30"/>
  <c i="1" r="J30"/>
  <c i="1" r="J6"/>
  <c i="1" r="M27"/>
  <c i="1" r="O42"/>
  <c i="1" r="O26"/>
  <c i="1" r="O6"/>
  <c i="1" r="Q18"/>
  <c i="1" r="J14"/>
  <c i="1" r="O43"/>
  <c i="1" r="O27"/>
  <c i="1" r="O11"/>
  <c i="1" r="Q19"/>
  <c i="1" r="D27"/>
  <c i="1" r="G22"/>
  <c i="1" r="J29"/>
  <c i="1" r="M44"/>
  <c i="1" r="M21"/>
  <c i="1" r="O38"/>
  <c i="1" r="O22"/>
  <c i="1" r="Q43"/>
  <c i="1" r="Q11"/>
  <c i="1" r="J37"/>
  <c i="1" r="G38"/>
  <c i="1" r="D26"/>
  <c i="1" r="G14"/>
  <c i="1" r="J28"/>
  <c i="1" r="M43"/>
  <c i="1" r="M20"/>
  <c i="1" r="O36"/>
  <c i="1" r="O20"/>
  <c i="1" r="Q42"/>
  <c i="1" r="Q10"/>
  <c i="1" r="D5"/>
  <c i="1" r="D37"/>
  <c i="1" r="D29"/>
  <c i="1" r="D21"/>
  <c i="1" r="D13"/>
  <c i="1" r="G5"/>
  <c i="1" r="G41"/>
  <c i="1" r="G33"/>
  <c i="1" r="G25"/>
  <c i="1" r="G17"/>
  <c i="1" r="G9"/>
  <c i="1" r="J40"/>
  <c i="1" r="J32"/>
  <c i="1" r="J24"/>
  <c i="1" r="J16"/>
  <c i="1" r="J8"/>
  <c i="1" r="M39"/>
  <c i="1" r="M31"/>
  <c i="1" r="M23"/>
  <c i="1" r="M15"/>
  <c i="1" r="M7"/>
  <c i="1" r="Q37"/>
  <c i="1" r="Q29"/>
  <c i="1" r="Q21"/>
  <c i="1" r="Q13"/>
  <c i="1" r="D44"/>
  <c i="1" r="D36"/>
  <c i="1" r="D28"/>
  <c i="1" r="D20"/>
  <c i="1" r="D12"/>
  <c i="1" r="J5"/>
  <c i="1" r="G40"/>
  <c i="1" r="G32"/>
  <c i="1" r="G24"/>
  <c i="1" r="G16"/>
  <c i="1" r="G8"/>
  <c i="1" r="J39"/>
  <c i="1" r="J31"/>
  <c i="1" r="J23"/>
  <c i="1" r="J15"/>
  <c i="1" r="J7"/>
  <c i="1" r="M38"/>
  <c i="1" r="M30"/>
  <c i="1" r="M22"/>
  <c i="1" r="M14"/>
  <c i="1" r="M6"/>
  <c i="1" r="O37"/>
  <c i="1" r="O29"/>
  <c i="1" r="O21"/>
  <c i="1" r="O13"/>
  <c i="1" r="Q44"/>
  <c i="1" r="Q36"/>
  <c i="1" r="Q28"/>
  <c i="1" r="Q20"/>
  <c i="1" r="Q12"/>
  <c i="1" r="G23"/>
  <c i="1" r="J13"/>
  <c i="1" r="D25"/>
  <c i="1" r="D40"/>
  <c i="1" r="D32"/>
  <c i="1" r="D24"/>
  <c i="1" r="D16"/>
  <c i="1" r="D8"/>
  <c i="1" r="J43"/>
  <c i="1" r="J35"/>
  <c i="1" r="J27"/>
  <c i="1" r="J19"/>
  <c i="1" r="J11"/>
  <c i="1" r="M42"/>
  <c i="1" r="M34"/>
  <c i="1" r="M26"/>
  <c i="1" r="M18"/>
  <c i="1" r="M10"/>
  <c i="1" r="O41"/>
  <c i="1" r="O33"/>
  <c i="1" r="O25"/>
  <c i="1" r="O17"/>
  <c i="1" r="O9"/>
  <c i="1" r="Q40"/>
  <c i="1" r="Q32"/>
  <c i="1" r="Q24"/>
  <c i="1" r="Q16"/>
  <c i="1" r="Q8"/>
  <c i="1" r="M5"/>
  <c i="1" r="G31"/>
  <c i="1" r="G15"/>
  <c i="1" r="G7"/>
  <c i="1" r="O5"/>
  <c i="1" r="D41"/>
  <c i="1" r="D33"/>
  <c i="1" r="D17"/>
  <c i="1" r="G13"/>
  <c i="1" r="D39"/>
  <c i="1" r="D31"/>
  <c i="1" r="D23"/>
  <c i="1" r="D15"/>
  <c i="1" r="D7"/>
  <c i="1" r="J42"/>
  <c i="1" r="J34"/>
  <c i="1" r="J26"/>
  <c i="1" r="J18"/>
  <c i="1" r="J10"/>
  <c i="1" r="M41"/>
  <c i="1" r="M33"/>
  <c i="1" r="M25"/>
  <c i="1" r="M17"/>
  <c i="1" r="M9"/>
  <c i="1" r="O40"/>
  <c i="1" r="O32"/>
  <c i="1" r="O24"/>
  <c i="1" r="O16"/>
  <c i="1" r="O8"/>
  <c i="1" r="Q39"/>
  <c i="1" r="Q31"/>
  <c i="1" r="Q23"/>
  <c i="1" r="Q15"/>
  <c i="1" r="Q7"/>
  <c i="1" r="G39"/>
  <c i="1" r="D9"/>
  <c i="1" r="O10"/>
  <c i="1" r="Q41"/>
  <c i="1" r="Q33"/>
  <c i="1" r="Q25"/>
  <c i="1" r="Q17"/>
  <c i="1" r="Q9"/>
  <c i="1" r="D38"/>
  <c i="1" r="D30"/>
  <c i="1" r="D22"/>
  <c i="1" r="D14"/>
  <c i="1" r="D6"/>
</calcChain>
</file>

<file path=xl/sharedStrings.xml><?xml version="1.0" encoding="utf-8"?>
<sst xmlns="http://schemas.openxmlformats.org/spreadsheetml/2006/main" count="128" uniqueCount="47">
  <si>
    <t>Cigarette</t>
  </si>
  <si>
    <t>Tax</t>
  </si>
  <si>
    <t>Income Tax Rate</t>
  </si>
  <si>
    <t>Sales &amp;</t>
  </si>
  <si>
    <t xml:space="preserve"> Year </t>
  </si>
  <si>
    <t>Diesel Fuel</t>
  </si>
  <si>
    <t xml:space="preserve"> </t>
  </si>
  <si>
    <t>4.0 - 8.0</t>
  </si>
  <si>
    <t xml:space="preserve"> 6.0-10.0</t>
  </si>
  <si>
    <t xml:space="preserve"> 6.0-12.0</t>
  </si>
  <si>
    <t>6.0-12.0</t>
  </si>
  <si>
    <t xml:space="preserve">  </t>
  </si>
  <si>
    <t>0.36-8.98</t>
  </si>
  <si>
    <t>0.75-3.75</t>
  </si>
  <si>
    <t>0.75-4.50</t>
  </si>
  <si>
    <t>0.75-5.25</t>
  </si>
  <si>
    <t>0.75-7.00</t>
  </si>
  <si>
    <t>0.50-13.0</t>
  </si>
  <si>
    <t>0.40-9.98</t>
  </si>
  <si>
    <t>%</t>
  </si>
  <si>
    <t>Motor Fuel</t>
  </si>
  <si>
    <t>3)   A fuel tax rate increase was effective March 1, 2015.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</si>
  <si>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</si>
  <si>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</si>
  <si>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</si>
  <si>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</si>
  <si>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</si>
  <si>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</si>
  <si>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</si>
  <si>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</si>
  <si>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TaxYear</t>
  </si>
  <si>
    <t>PersonalIncomeTax</t>
  </si>
  <si>
    <t>CorporateIncomeTax</t>
  </si>
  <si>
    <t>SalesAndUseTax</t>
  </si>
  <si>
    <t>TaxPerPack</t>
  </si>
  <si>
    <t>MotorFuelTax</t>
  </si>
  <si>
    <t>DieselFuelTax</t>
  </si>
  <si>
    <t>Tax Per Pack</t>
  </si>
  <si>
    <t>2)   Ethanol blended fuels are currently taxed at $0.290 per gallon.</t>
  </si>
  <si>
    <t>Use Tax</t>
  </si>
  <si>
    <t>Corporate</t>
  </si>
  <si>
    <t>Personal</t>
  </si>
  <si>
    <t>Fuel Tax (Per Gallon)</t>
  </si>
  <si>
    <t>Notes:</t>
  </si>
  <si>
    <t>1)   A local option sales tax of up to 1.0% was originally authorized in 1985.  An additional 1.0% local option</t>
  </si>
  <si>
    <t>sales tax for school infrastructure was approved in 1998.  The local option sales tax for school infrastructure was changed to a statewide tax effective July 1, 2008.</t>
  </si>
  <si>
    <t>Historical Overview of Iowa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</si>
</sst>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$&quot;* #,##0.00_ ;_ &quot;$&quot;* \-#,##0.00_ ;_ &quot;$&quot;* &quot;-&quot;??_ ;_ @_ "/>
    <numFmt numFmtId="164" formatCode="0.0"/>
    <numFmt numFmtId="165" formatCode="0.000"/>
    <numFmt numFmtId="166" formatCode="&quot;$&quot;* #,##0.000_);&quot;$&quot;* &quot;-&quot;#,##0.000_)"/>
    <numFmt numFmtId="167" formatCode="* #,##0.00_);* &quot;-&quot;#,##0.00_)"/>
    <numFmt numFmtId="168" formatCode="* #,##0.000_);* &quot;-&quot;#,##0.000_)"/>
    <numFmt numFmtId="169" formatCode="&quot;$&quot;* #,##0.00_);&quot;$&quot;* &quot;-&quot;#,##0.00_)"/>
  </numFmts>
  <fonts count="6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2" numFmtId="44"/>
  </cellStyleXfs>
  <cellXfs count="101">
    <xf borderId="0" fillId="0" fontId="0" numFmtId="0" xfId="0"/>
    <xf applyNumberFormat="1" borderId="0" fillId="0" fontId="0" numFmtId="164" xfId="0"/>
    <xf applyAlignment="1" applyFont="1" borderId="0" fillId="0" fontId="1" numFmtId="0" xfId="0">
      <alignment horizontal="centerContinuous"/>
    </xf>
    <xf applyFont="1" borderId="0" fillId="0" fontId="1" numFmtId="0" xfId="0"/>
    <xf applyFont="1" borderId="0" fillId="0" fontId="2" numFmtId="0" xfId="0"/>
    <xf applyAlignment="1" applyFont="1" applyNumberFormat="1" borderId="0" fillId="0" fontId="2" numFmtId="164" xfId="0">
      <alignment horizontal="center"/>
    </xf>
    <xf applyFont="1" applyNumberFormat="1" borderId="0" fillId="0" fontId="2" numFmtId="164" xfId="0"/>
    <xf applyFont="1" borderId="0" fillId="0" fontId="4" numFmtId="0" xfId="0"/>
    <xf applyAlignment="1" applyFont="1" borderId="0" fillId="0" fontId="4" numFmtId="0" xfId="0">
      <alignment horizontal="right"/>
    </xf>
    <xf applyAlignment="1" applyFont="1" borderId="0" fillId="0" fontId="4" numFmtId="0" xfId="0">
      <alignment horizontal="left"/>
    </xf>
    <xf applyAlignment="1" applyFont="1" applyNumberFormat="1" borderId="0" fillId="0" fontId="4" numFmtId="165" xfId="0">
      <alignment horizontal="right"/>
    </xf>
    <xf applyAlignment="1" applyFont="1" applyNumberFormat="1" borderId="0" fillId="0" fontId="4" numFmtId="164" xfId="0">
      <alignment horizontal="right"/>
    </xf>
    <xf applyFont="1" applyNumberFormat="1" borderId="0" fillId="0" fontId="4" numFmtId="165" xfId="0"/>
    <xf applyAlignment="1" applyFont="1" applyNumberFormat="1" borderId="0" fillId="0" fontId="4" numFmtId="16" xfId="0">
      <alignment horizontal="right"/>
    </xf>
    <xf applyAlignment="1" applyFont="1" applyProtection="1" borderId="0" fillId="0" fontId="4" numFmtId="0" xfId="0">
      <alignment horizontal="center"/>
      <protection locked="0"/>
    </xf>
    <xf applyFont="1" applyProtection="1" borderId="0" fillId="0" fontId="4" numFmtId="0" xfId="0">
      <protection locked="0"/>
    </xf>
    <xf applyAlignment="1" applyFont="1" applyProtection="1" borderId="0" fillId="0" fontId="4" numFmtId="0" xfId="0">
      <alignment horizontal="right"/>
      <protection locked="0"/>
    </xf>
    <xf applyAlignment="1" applyFont="1" applyNumberFormat="1" applyProtection="1" borderId="0" fillId="0" fontId="4" numFmtId="2" xfId="0">
      <alignment horizontal="right"/>
      <protection locked="0"/>
    </xf>
    <xf applyAlignment="1" applyFont="1" applyNumberFormat="1" applyProtection="1" borderId="0" fillId="0" fontId="4" numFmtId="164" xfId="0">
      <alignment horizontal="right"/>
      <protection locked="0"/>
    </xf>
    <xf applyAlignment="1" applyFont="1" applyNumberFormat="1" applyProtection="1" borderId="0" fillId="0" fontId="4" numFmtId="165" xfId="0">
      <alignment horizontal="right"/>
      <protection locked="0"/>
    </xf>
    <xf applyFont="1" applyNumberFormat="1" borderId="0" fillId="0" fontId="4" numFmtId="164" xfId="0"/>
    <xf applyAlignment="1" applyFont="1" applyProtection="1" borderId="0" fillId="0" fontId="4" numFmtId="0" xfId="0">
      <alignment horizontal="left"/>
      <protection locked="0"/>
    </xf>
    <xf applyFont="1" applyNumberFormat="1" applyProtection="1" borderId="0" fillId="0" fontId="4" numFmtId="164" xfId="0">
      <protection locked="0"/>
    </xf>
    <xf applyAlignment="1" applyFont="1" borderId="0" fillId="0" fontId="2" numFmtId="0" xfId="0">
      <alignment vertical="center"/>
    </xf>
    <xf applyAlignment="1" applyFont="1" borderId="0" fillId="0" fontId="2" numFmtId="0" xfId="0">
      <alignment horizontal="center" vertical="center"/>
    </xf>
    <xf applyAlignment="1" borderId="0" fillId="0" fontId="0" numFmtId="0" xfId="0">
      <alignment vertical="center"/>
    </xf>
    <xf applyAlignment="1" applyBorder="1" applyFont="1" borderId="0" fillId="0" fontId="3" numFmtId="0" xfId="0">
      <alignment horizontal="centerContinuous" vertical="center"/>
    </xf>
    <xf applyAlignment="1" applyBorder="1" applyFont="1" borderId="1" fillId="0" fontId="2" numFmtId="0" xfId="0">
      <alignment horizontal="center" vertical="center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Continuous" vertical="center"/>
    </xf>
    <xf applyAlignment="1" applyBorder="1" applyFont="1" borderId="1" fillId="0" fontId="3" numFmtId="0" xfId="0">
      <alignment horizontal="center" vertical="center"/>
    </xf>
    <xf applyAlignment="1" applyFont="1" borderId="0" fillId="0" fontId="3" numFmtId="0" xfId="0">
      <alignment horizontal="center" vertical="center"/>
    </xf>
    <xf applyAlignment="1" applyFont="1" borderId="0" fillId="0" fontId="4" numFmtId="0" xfId="0">
      <alignment vertical="center"/>
    </xf>
    <xf applyBorder="1" applyFont="1" borderId="0" fillId="0" fontId="4" numFmtId="0" xfId="0"/>
    <xf applyAlignment="1" applyBorder="1" applyFont="1" applyNumberFormat="1" borderId="0" fillId="0" fontId="4" numFmtId="0" xfId="0">
      <alignment horizontal="right"/>
    </xf>
    <xf applyAlignment="1" applyBorder="1" applyFont="1" borderId="0" fillId="0" fontId="4" numFmtId="0" xfId="0">
      <alignment horizontal="right"/>
    </xf>
    <xf applyAlignment="1" applyBorder="1" applyFont="1" applyNumberFormat="1" borderId="0" fillId="0" fontId="4" numFmtId="164" xfId="0">
      <alignment horizontal="right"/>
    </xf>
    <xf applyAlignment="1" applyBorder="1" applyFont="1" applyNumberFormat="1" borderId="0" fillId="0" fontId="4" numFmtId="1" xfId="0">
      <alignment horizontal="right"/>
    </xf>
    <xf applyAlignment="1" applyBorder="1" applyFont="1" applyNumberFormat="1" borderId="0" fillId="0" fontId="4" numFmtId="2" xfId="0">
      <alignment horizontal="right"/>
    </xf>
    <xf applyAlignment="1" applyBorder="1" applyFont="1" applyNumberFormat="1" borderId="0" fillId="0" fontId="4" numFmtId="165" xfId="0">
      <alignment horizontal="right"/>
    </xf>
    <xf applyAlignment="1" applyBorder="1" applyFont="1" applyNumberFormat="1" borderId="0" fillId="0" fontId="4" numFmtId="16" xfId="0">
      <alignment horizontal="right"/>
    </xf>
    <xf applyBorder="1" applyFont="1" applyProtection="1" borderId="0" fillId="0" fontId="4" numFmtId="0" xfId="0">
      <protection locked="0"/>
    </xf>
    <xf applyAlignment="1" applyBorder="1" applyFont="1" applyNumberFormat="1" applyProtection="1" borderId="0" fillId="0" fontId="4" numFmtId="164" xfId="0">
      <alignment horizontal="right"/>
      <protection locked="0"/>
    </xf>
    <xf applyAlignment="1" applyBorder="1" applyFont="1" applyProtection="1" borderId="0" fillId="0" fontId="4" numFmtId="0" xfId="0">
      <alignment horizontal="right"/>
      <protection locked="0"/>
    </xf>
    <xf applyAlignment="1" applyBorder="1" applyFont="1" applyNumberFormat="1" applyProtection="1" borderId="0" fillId="0" fontId="4" numFmtId="2" xfId="0">
      <alignment horizontal="right"/>
      <protection locked="0"/>
    </xf>
    <xf applyAlignment="1" applyBorder="1" applyFont="1" applyNumberFormat="1" applyProtection="1" borderId="0" fillId="0" fontId="4" numFmtId="165" xfId="0">
      <alignment horizontal="right"/>
      <protection locked="0"/>
    </xf>
    <xf applyAlignment="1" applyBorder="1" applyFont="1" borderId="2" fillId="0" fontId="3" numFmtId="0" xfId="0">
      <alignment horizontal="centerContinuous" vertical="center"/>
    </xf>
    <xf applyAlignment="1" applyFont="1" borderId="0" fillId="0" fontId="2" numFmtId="0" xfId="0">
      <alignment horizontal="left"/>
    </xf>
    <xf applyAlignment="1" applyFont="1" applyNumberFormat="1" borderId="0" fillId="0" fontId="2" numFmtId="164" xfId="0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65" xfId="0">
      <alignment horizontal="right"/>
    </xf>
    <xf applyAlignment="1" applyFont="1" applyProtection="1" borderId="0" fillId="0" fontId="0" numFmtId="0" xfId="0">
      <alignment horizontal="center"/>
      <protection locked="0"/>
    </xf>
    <xf applyAlignment="1" applyBorder="1" applyFont="1" applyNumberFormat="1" borderId="1" fillId="0" fontId="0" numFmtId="164" xfId="0">
      <alignment horizontal="center" vertical="center"/>
    </xf>
    <xf applyAlignment="1" applyBorder="1" applyFont="1" borderId="1" fillId="0" fontId="0" numFmtId="0" xfId="0">
      <alignment horizontal="center" vertical="center"/>
    </xf>
    <xf applyAlignment="1" applyFont="1" applyProtection="1" borderId="0" fillId="0" fontId="0" numFmtId="0" xfId="0">
      <alignment horizontal="left"/>
      <protection locked="0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NumberFormat="1" borderId="0" fillId="0" fontId="0" numFmtId="1" xfId="0">
      <alignment horizontal="right" vertical="center"/>
    </xf>
    <xf applyAlignment="1" applyBorder="1" applyFont="1" applyNumberFormat="1" applyProtection="1" borderId="0" fillId="0" fontId="4" numFmtId="1" xfId="0">
      <alignment horizontal="right"/>
      <protection locked="0"/>
    </xf>
    <xf applyAlignment="1" applyBorder="1" applyFont="1" borderId="0" fillId="0" fontId="0" numFmtId="0" xfId="0">
      <alignment horizontal="right" vertical="center"/>
    </xf>
    <xf applyAlignment="1" applyBorder="1" applyFont="1" applyNumberFormat="1" borderId="0" fillId="0" fontId="0" numFmtId="164" xfId="0">
      <alignment horizontal="right" vertical="center"/>
    </xf>
    <xf applyAlignment="1" applyBorder="1" applyFont="1" applyNumberFormat="1" borderId="0" fillId="0" fontId="0" numFmtId="2" xfId="0">
      <alignment horizontal="right" vertical="center"/>
    </xf>
    <xf applyAlignment="1" applyBorder="1" applyFont="1" applyNumberFormat="1" borderId="0" fillId="0" fontId="0" numFmtId="165" xfId="0">
      <alignment horizontal="right" vertical="center"/>
    </xf>
    <xf applyAlignment="1" applyBorder="1" applyFont="1" borderId="0" fillId="0" fontId="3" numFmtId="0" xfId="0">
      <alignment vertical="center"/>
    </xf>
    <xf applyAlignment="1" applyBorder="1" applyFont="1" borderId="0" fillId="0" fontId="4" numFmtId="0" xfId="0">
      <alignment vertical="center"/>
    </xf>
    <xf applyAlignment="1" applyBorder="1" applyNumberFormat="1" borderId="0" fillId="0" fontId="0" numFmtId="1" xfId="0">
      <alignment horizontal="right"/>
    </xf>
    <xf applyAlignment="1" applyBorder="1" borderId="0" fillId="0" fontId="0" numFmtId="0" xfId="0">
      <alignment horizontal="right"/>
    </xf>
    <xf applyAlignment="1" applyBorder="1" applyNumberFormat="1" borderId="0" fillId="0" fontId="0" numFmtId="2" xfId="0">
      <alignment horizontal="right"/>
    </xf>
    <xf applyAlignment="1" applyBorder="1" applyNumberFormat="1" borderId="0" fillId="0" fontId="0" numFmtId="165" xfId="0">
      <alignment horizontal="right"/>
    </xf>
    <xf applyBorder="1" borderId="0" fillId="0" fontId="0" numFmtId="0" xfId="0"/>
    <xf applyAlignment="1" applyBorder="1" applyFont="1" applyProtection="1" borderId="0" fillId="0" fontId="4" numFmtId="0" xfId="0">
      <alignment horizontal="center"/>
      <protection hidden="1"/>
    </xf>
    <xf applyBorder="1" applyFont="1" applyProtection="1" borderId="0" fillId="0" fontId="4" numFmtId="0" xfId="0">
      <protection hidden="1"/>
    </xf>
    <xf applyAlignment="1" applyBorder="1" applyFont="1" applyProtection="1" borderId="0" fillId="0" fontId="4" numFmtId="0" xfId="0">
      <alignment horizontal="right"/>
      <protection hidden="1"/>
    </xf>
    <xf applyAlignment="1" applyBorder="1" applyFont="1" applyNumberFormat="1" applyProtection="1" borderId="0" fillId="0" fontId="4" numFmtId="164" xfId="0">
      <alignment horizontal="right"/>
      <protection hidden="1"/>
    </xf>
    <xf applyAlignment="1" applyBorder="1" applyFont="1" applyNumberFormat="1" applyProtection="1" borderId="0" fillId="0" fontId="4" numFmtId="2" xfId="0">
      <alignment horizontal="right"/>
      <protection hidden="1"/>
    </xf>
    <xf applyBorder="1" applyFont="1" applyNumberFormat="1" applyProtection="1" borderId="0" fillId="0" fontId="4" numFmtId="2" xfId="0">
      <protection hidden="1"/>
    </xf>
    <xf applyBorder="1" applyFont="1" applyNumberFormat="1" applyProtection="1" borderId="0" fillId="0" fontId="4" numFmtId="165" xfId="0">
      <protection hidden="1"/>
    </xf>
    <xf applyAlignment="1" applyBorder="1" applyFont="1" applyProtection="1" borderId="3" fillId="0" fontId="4" numFmtId="0" xfId="0">
      <alignment horizontal="center"/>
      <protection hidden="1"/>
    </xf>
    <xf applyBorder="1" applyFont="1" applyProtection="1" borderId="3" fillId="0" fontId="4" numFmtId="0" xfId="0">
      <protection hidden="1"/>
    </xf>
    <xf applyAlignment="1" applyBorder="1" applyFont="1" applyProtection="1" borderId="3" fillId="0" fontId="4" numFmtId="0" xfId="0">
      <alignment horizontal="right"/>
      <protection hidden="1"/>
    </xf>
    <xf applyAlignment="1" applyBorder="1" applyFont="1" applyNumberFormat="1" applyProtection="1" borderId="3" fillId="0" fontId="4" numFmtId="164" xfId="0">
      <alignment horizontal="right"/>
      <protection hidden="1"/>
    </xf>
    <xf applyAlignment="1" applyBorder="1" applyFont="1" applyNumberFormat="1" applyProtection="1" borderId="3" fillId="0" fontId="4" numFmtId="2" xfId="0">
      <alignment horizontal="right"/>
      <protection hidden="1"/>
    </xf>
    <xf applyBorder="1" applyFont="1" applyNumberFormat="1" applyProtection="1" borderId="3" fillId="0" fontId="4" numFmtId="2" xfId="0">
      <protection hidden="1"/>
    </xf>
    <xf applyAlignment="1" applyBorder="1" applyFont="1" applyNumberFormat="1" applyProtection="1" borderId="0" fillId="0" fontId="4" numFmtId="1" xfId="0">
      <alignment horizontal="right"/>
      <protection hidden="1"/>
    </xf>
    <xf applyAlignment="1" applyBorder="1" applyFont="1" applyNumberFormat="1" applyProtection="1" borderId="3" fillId="0" fontId="4" numFmtId="16" xfId="0">
      <alignment horizontal="right"/>
      <protection hidden="1"/>
    </xf>
    <xf applyAlignment="1" applyBorder="1" applyFont="1" applyNumberFormat="1" applyProtection="1" borderId="0" fillId="0" fontId="4" numFmtId="16" xfId="0">
      <alignment horizontal="right"/>
      <protection hidden="1"/>
    </xf>
    <xf applyAlignment="1" applyBorder="1" applyFont="1" applyNumberFormat="1" applyProtection="1" borderId="3" fillId="0" fontId="4" numFmtId="1" xfId="0">
      <alignment horizontal="right"/>
      <protection hidden="1"/>
    </xf>
    <xf applyFont="1" applyProtection="1" borderId="0" fillId="0" fontId="4" numFmtId="0" xfId="0">
      <protection hidden="1"/>
    </xf>
    <xf applyAlignment="1" applyFont="1" applyProtection="1" borderId="0" fillId="0" fontId="4" numFmtId="0" xfId="0">
      <alignment horizontal="right"/>
      <protection hidden="1"/>
    </xf>
    <xf applyAlignment="1" applyFont="1" applyNumberFormat="1" applyProtection="1" borderId="0" fillId="0" fontId="4" numFmtId="2" xfId="0">
      <alignment horizontal="right"/>
      <protection hidden="1"/>
    </xf>
    <xf applyAlignment="1" applyFont="1" applyNumberFormat="1" borderId="0" fillId="0" fontId="0" numFmtId="164" xfId="0">
      <alignment horizontal="center" vertical="center"/>
    </xf>
    <xf applyAlignment="1" applyBorder="1" applyFont="1" applyProtection="1" borderId="0" fillId="0" fontId="4" numFmtId="0" xfId="0">
      <alignment horizontal="left"/>
      <protection hidden="1"/>
    </xf>
    <xf applyFont="1" applyNumberFormat="1" borderId="0" fillId="0" fontId="0" numFmtId="166" xfId="1"/>
    <xf applyFont="1" applyNumberFormat="1" borderId="0" fillId="0" fontId="0" numFmtId="167" xfId="1"/>
    <xf applyFont="1" applyNumberFormat="1" borderId="0" fillId="0" fontId="0" numFmtId="168" xfId="1"/>
    <xf applyFont="1" applyNumberFormat="1" borderId="0" fillId="0" fontId="0" numFmtId="169" xfId="1"/>
    <xf applyAlignment="1" applyFont="1" applyNumberFormat="1" borderId="0" fillId="0" fontId="1" numFmtId="164" xfId="0">
      <alignment horizontal="left"/>
    </xf>
    <xf applyAlignment="1" applyFont="1" applyProtection="1" borderId="0" fillId="0" fontId="0" numFmtId="0" xfId="0">
      <alignment horizontal="left" indent="2" vertical="top" wrapText="1"/>
      <protection locked="0"/>
    </xf>
    <xf applyAlignment="1" applyFont="1" applyProtection="1" borderId="0" fillId="0" fontId="0" numFmtId="0" xfId="0">
      <alignment horizontal="left"/>
      <protection locked="0"/>
    </xf>
    <xf applyAlignment="1" applyBorder="1" applyFont="1" borderId="1" fillId="0" fontId="0" numFmtId="0" xfId="0">
      <alignment horizontal="center" vertical="center"/>
    </xf>
  </cellXfs>
  <cellStyles count="2">
    <cellStyle builtinId="4" name="Currency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T129"/>
  <sheetViews>
    <sheetView tabSelected="1" topLeftCell="B1" workbookViewId="0" zoomScaleNormal="100">
      <selection activeCell="U17" sqref="U17"/>
    </sheetView>
  </sheetViews>
  <sheetFormatPr defaultRowHeight="12" x14ac:dyDescent="0.2"/>
  <cols>
    <col min="1" max="1" customWidth="true" hidden="true" width="2.42578125" collapsed="false"/>
    <col min="2" max="2" customWidth="true" width="6.5703125" collapsed="false"/>
    <col min="3" max="3" customWidth="true" width="1.85546875" collapsed="false"/>
    <col min="4" max="4" customWidth="true" width="10.7109375" collapsed="false"/>
    <col min="5" max="5" customWidth="true" width="2.5703125" collapsed="false"/>
    <col min="6" max="6" customWidth="true" width="2.0" collapsed="false"/>
    <col min="7" max="7" customWidth="true" width="8.7109375" collapsed="false"/>
    <col min="8" max="8" bestFit="true" customWidth="true" width="2.5703125" collapsed="false"/>
    <col min="9" max="9" customWidth="true" width="1.5703125" collapsed="false"/>
    <col min="10" max="10" customWidth="true" style="1" width="9.28515625" collapsed="false"/>
    <col min="11" max="11" customWidth="true" width="2.0" collapsed="false"/>
    <col min="12" max="12" customWidth="true" width="2.28515625" collapsed="false"/>
    <col min="13" max="13" customWidth="true" style="1" width="13.42578125" collapsed="false"/>
    <col min="14" max="14" customWidth="true" width="2.42578125" collapsed="false"/>
    <col min="15" max="15" customWidth="true" style="1" width="10.0" collapsed="false"/>
    <col min="16" max="16" customWidth="true" width="2.28515625" collapsed="false"/>
    <col min="17" max="17" customWidth="true" width="11.140625" collapsed="false"/>
    <col min="18" max="18" customWidth="true" width="4.140625" collapsed="false"/>
    <col min="19" max="19" customWidth="true" width="3.140625" collapsed="false"/>
  </cols>
  <sheetData>
    <row customFormat="1" ht="18" r="1" s="3" spans="1:19" x14ac:dyDescent="0.25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"/>
    </row>
    <row customFormat="1" customHeight="1" ht="5.45" r="2" s="4" spans="1:19" x14ac:dyDescent="0.2">
      <c r="J2" s="5"/>
      <c r="M2" s="6"/>
      <c r="O2" s="6"/>
    </row>
    <row customFormat="1" customHeight="1" ht="11.45" r="3" s="23" spans="1:19" x14ac:dyDescent="0.2">
      <c r="B3" s="24" t="s">
        <v>1</v>
      </c>
      <c r="D3" s="100" t="s">
        <v>2</v>
      </c>
      <c r="E3" s="100"/>
      <c r="F3" s="100"/>
      <c r="G3" s="100"/>
      <c r="H3" s="100"/>
      <c r="J3" s="91" t="s">
        <v>3</v>
      </c>
      <c r="M3" s="91" t="s">
        <v>0</v>
      </c>
      <c r="N3" s="25"/>
      <c r="O3" s="100" t="s">
        <v>42</v>
      </c>
      <c r="P3" s="100"/>
      <c r="Q3" s="100"/>
      <c r="R3" s="26"/>
    </row>
    <row customFormat="1" customHeight="1" ht="12" r="4" s="32" spans="1:19" x14ac:dyDescent="0.2">
      <c r="A4" s="23"/>
      <c r="B4" s="27" t="s">
        <v>4</v>
      </c>
      <c r="C4" s="28"/>
      <c r="D4" s="53" t="s">
        <v>41</v>
      </c>
      <c r="E4" s="46"/>
      <c r="F4" s="29"/>
      <c r="G4" s="53" t="s">
        <v>40</v>
      </c>
      <c r="H4" s="30"/>
      <c r="I4" s="31"/>
      <c r="J4" s="52" t="s">
        <v>39</v>
      </c>
      <c r="K4" s="30"/>
      <c r="L4" s="31"/>
      <c r="M4" s="52" t="s">
        <v>37</v>
      </c>
      <c r="O4" s="53" t="s">
        <v>20</v>
      </c>
      <c r="P4" s="28"/>
      <c r="Q4" s="53" t="s">
        <v>5</v>
      </c>
      <c r="R4" s="28"/>
    </row>
    <row customFormat="1" customHeight="1" ht="12" r="5" s="7" spans="1:19" x14ac:dyDescent="0.2">
      <c r="B5" s="71">
        <f>LARGE(Data!$A$2:$A$100,40)</f>
        <v>1975</v>
      </c>
      <c r="C5" s="72"/>
      <c r="D5" s="73" t="str">
        <f>INDEX(Data!$A$2:$G$100,MATCH($B5,Data!$A$2:$A$100,0),2)</f>
        <v>0.50-13.0</v>
      </c>
      <c r="E5" s="92" t="s">
        <v>19</v>
      </c>
      <c r="F5" s="73"/>
      <c r="G5" s="73" t="str">
        <f>INDEX(Data!$A$2:$G$100,MATCH($B5,Data!$A$2:$A$100,0),3)</f>
        <v xml:space="preserve"> 6.0-10.0</v>
      </c>
      <c r="H5" s="92" t="s">
        <v>19</v>
      </c>
      <c r="I5" s="71"/>
      <c r="J5" s="74">
        <f>INDEX(Data!$A$2:$G$100,MATCH($B5,Data!$A$2:$A$100,0),4)</f>
        <v>3</v>
      </c>
      <c r="K5" s="92" t="s">
        <v>19</v>
      </c>
      <c r="L5" s="73"/>
      <c r="M5" s="96">
        <f>INDEX(Data!$A$2:$G$100,MATCH($B5,Data!$A$2:$A$100,0),5)</f>
        <v>0.13</v>
      </c>
      <c r="N5" s="76"/>
      <c r="O5" s="93">
        <f>INDEX(Data!$A$2:$G$100,MATCH($B5,Data!$A$2:$A$100,0),6)</f>
        <v>7.0000000000000007E-2</v>
      </c>
      <c r="P5" s="77"/>
      <c r="Q5" s="93">
        <f>INDEX(Data!$A$2:$G$100,MATCH($B5,Data!$A$2:$A$100,0),7)</f>
        <v>0.08</v>
      </c>
    </row>
    <row customFormat="1" customHeight="1" ht="12" r="6" s="7" spans="1:19" x14ac:dyDescent="0.2">
      <c r="B6" s="71">
        <f>LARGE(Data!$A$2:$A$100,39)</f>
        <v>1978</v>
      </c>
      <c r="C6" s="72"/>
      <c r="D6" s="73" t="str">
        <f>INDEX(Data!$A$2:$G$100,MATCH($B6,Data!$A$2:$A$100,0),2)</f>
        <v>0.50-13.0</v>
      </c>
      <c r="E6" s="73"/>
      <c r="F6" s="73"/>
      <c r="G6" s="73" t="str">
        <f>INDEX(Data!$A$2:$G$100,MATCH($B6,Data!$A$2:$A$100,0),3)</f>
        <v xml:space="preserve"> 6.0-10.0</v>
      </c>
      <c r="H6" s="73"/>
      <c r="I6" s="71"/>
      <c r="J6" s="74">
        <f>INDEX(Data!$A$2:$G$100,MATCH($B6,Data!$A$2:$A$100,0),4)</f>
        <v>3</v>
      </c>
      <c r="K6" s="73"/>
      <c r="L6" s="73"/>
      <c r="M6" s="94">
        <f>INDEX(Data!$A$2:$G$100,MATCH($B6,Data!$A$2:$A$100,0),5)</f>
        <v>0.13</v>
      </c>
      <c r="N6" s="76"/>
      <c r="O6" s="95">
        <f>INDEX(Data!$A$2:$G$100,MATCH($B6,Data!$A$2:$A$100,0),6)</f>
        <v>8.5000000000000006E-2</v>
      </c>
      <c r="P6" s="95"/>
      <c r="Q6" s="95">
        <f>INDEX(Data!$A$2:$G$100,MATCH($B6,Data!$A$2:$A$100,0),7)</f>
        <v>0.1</v>
      </c>
      <c r="R6" s="8"/>
    </row>
    <row customFormat="1" customHeight="1" ht="12" r="7" s="7" spans="1:19" x14ac:dyDescent="0.2">
      <c r="B7" s="78">
        <f>LARGE(Data!$A$2:$A$100,38)</f>
        <v>1979</v>
      </c>
      <c r="C7" s="79"/>
      <c r="D7" s="80" t="str">
        <f>INDEX(Data!$A$2:$G$100,MATCH($B7,Data!$A$2:$A$100,0),2)</f>
        <v>0.50-13.0</v>
      </c>
      <c r="E7" s="80"/>
      <c r="F7" s="80"/>
      <c r="G7" s="80" t="str">
        <f>INDEX(Data!$A$2:$G$100,MATCH($B7,Data!$A$2:$A$100,0),3)</f>
        <v xml:space="preserve"> 6.0-10.0</v>
      </c>
      <c r="H7" s="80"/>
      <c r="I7" s="78"/>
      <c r="J7" s="81">
        <f>INDEX(Data!$A$2:$G$100,MATCH($B7,Data!$A$2:$A$100,0),4)</f>
        <v>3</v>
      </c>
      <c r="K7" s="80"/>
      <c r="L7" s="80"/>
      <c r="M7" s="94">
        <f>INDEX(Data!$A$2:$G$100,MATCH($B7,Data!$A$2:$A$100,0),5)</f>
        <v>0.13</v>
      </c>
      <c r="N7" s="83"/>
      <c r="O7" s="95">
        <f>INDEX(Data!$A$2:$G$100,MATCH($B7,Data!$A$2:$A$100,0),6)</f>
        <v>0.1</v>
      </c>
      <c r="P7" s="95"/>
      <c r="Q7" s="95">
        <f>INDEX(Data!$A$2:$G$100,MATCH($B7,Data!$A$2:$A$100,0),7)</f>
        <v>0.115</v>
      </c>
    </row>
    <row customFormat="1" customHeight="1" ht="12" r="8" s="7" spans="1:19" x14ac:dyDescent="0.2">
      <c r="B8" s="71">
        <f>LARGE(Data!$A$2:$A$100,37)</f>
        <v>1981</v>
      </c>
      <c r="C8" s="72"/>
      <c r="D8" s="73" t="str">
        <f>INDEX(Data!$A$2:$G$100,MATCH($B8,Data!$A$2:$A$100,0),2)</f>
        <v>0.50-13.0</v>
      </c>
      <c r="E8" s="73"/>
      <c r="F8" s="73"/>
      <c r="G8" s="73" t="str">
        <f>INDEX(Data!$A$2:$G$100,MATCH($B8,Data!$A$2:$A$100,0),3)</f>
        <v xml:space="preserve"> 6.0-12.0</v>
      </c>
      <c r="H8" s="84"/>
      <c r="I8" s="71"/>
      <c r="J8" s="74">
        <f>INDEX(Data!$A$2:$G$100,MATCH($B8,Data!$A$2:$A$100,0),4)</f>
        <v>3</v>
      </c>
      <c r="K8" s="73"/>
      <c r="L8" s="73"/>
      <c r="M8" s="94">
        <f>INDEX(Data!$A$2:$G$100,MATCH($B8,Data!$A$2:$A$100,0),5)</f>
        <v>0.18</v>
      </c>
      <c r="N8" s="76"/>
      <c r="O8" s="95">
        <f>INDEX(Data!$A$2:$G$100,MATCH($B8,Data!$A$2:$A$100,0),6)</f>
        <v>0.13</v>
      </c>
      <c r="P8" s="95"/>
      <c r="Q8" s="95">
        <f>INDEX(Data!$A$2:$G$100,MATCH($B8,Data!$A$2:$A$100,0),7)</f>
        <v>0.13500000000000001</v>
      </c>
    </row>
    <row customFormat="1" customHeight="1" ht="12" r="9" s="7" spans="1:19" x14ac:dyDescent="0.2">
      <c r="B9" s="71">
        <f>LARGE(Data!$A$2:$A$100,36)</f>
        <v>1982</v>
      </c>
      <c r="C9" s="72"/>
      <c r="D9" s="73" t="str">
        <f>INDEX(Data!$A$2:$G$100,MATCH($B9,Data!$A$2:$A$100,0),2)</f>
        <v>0.50-13.0</v>
      </c>
      <c r="E9" s="73"/>
      <c r="F9" s="73"/>
      <c r="G9" s="73" t="str">
        <f>INDEX(Data!$A$2:$G$100,MATCH($B9,Data!$A$2:$A$100,0),3)</f>
        <v xml:space="preserve"> 6.0-12.0</v>
      </c>
      <c r="H9" s="73"/>
      <c r="I9" s="71"/>
      <c r="J9" s="74">
        <f>INDEX(Data!$A$2:$G$100,MATCH($B9,Data!$A$2:$A$100,0),4)</f>
        <v>3</v>
      </c>
      <c r="K9" s="73"/>
      <c r="L9" s="73"/>
      <c r="M9" s="94">
        <f>INDEX(Data!$A$2:$G$100,MATCH($B9,Data!$A$2:$A$100,0),5)</f>
        <v>0.18</v>
      </c>
      <c r="N9" s="76"/>
      <c r="O9" s="95">
        <f>INDEX(Data!$A$2:$G$100,MATCH($B9,Data!$A$2:$A$100,0),6)</f>
        <v>0.13</v>
      </c>
      <c r="P9" s="95"/>
      <c r="Q9" s="95">
        <f>INDEX(Data!$A$2:$G$100,MATCH($B9,Data!$A$2:$A$100,0),7)</f>
        <v>0.155</v>
      </c>
    </row>
    <row customFormat="1" customHeight="1" ht="12" r="10" s="7" spans="1:19" x14ac:dyDescent="0.2">
      <c r="B10" s="78">
        <f>LARGE(Data!$A$2:$A$100,35)</f>
        <v>1983</v>
      </c>
      <c r="C10" s="79"/>
      <c r="D10" s="80" t="str">
        <f>INDEX(Data!$A$2:$G$100,MATCH($B10,Data!$A$2:$A$100,0),2)</f>
        <v>0.50-13.0</v>
      </c>
      <c r="E10" s="80"/>
      <c r="F10" s="80"/>
      <c r="G10" s="80" t="str">
        <f>INDEX(Data!$A$2:$G$100,MATCH($B10,Data!$A$2:$A$100,0),3)</f>
        <v xml:space="preserve"> 6.0-12.0</v>
      </c>
      <c r="H10" s="85"/>
      <c r="I10" s="78"/>
      <c r="J10" s="81">
        <f>INDEX(Data!$A$2:$G$100,MATCH($B10,Data!$A$2:$A$100,0),4)</f>
        <v>4</v>
      </c>
      <c r="K10" s="80"/>
      <c r="L10" s="80"/>
      <c r="M10" s="94">
        <f>INDEX(Data!$A$2:$G$100,MATCH($B10,Data!$A$2:$A$100,0),5)</f>
        <v>0.18</v>
      </c>
      <c r="N10" s="83"/>
      <c r="O10" s="95">
        <f>INDEX(Data!$A$2:$G$100,MATCH($B10,Data!$A$2:$A$100,0),6)</f>
        <v>0.13</v>
      </c>
      <c r="P10" s="95"/>
      <c r="Q10" s="95">
        <f>INDEX(Data!$A$2:$G$100,MATCH($B10,Data!$A$2:$A$100,0),7)</f>
        <v>0.155</v>
      </c>
    </row>
    <row customFormat="1" customHeight="1" ht="12" r="11" s="7" spans="1:19" x14ac:dyDescent="0.2">
      <c r="B11" s="71">
        <f>LARGE(Data!$A$2:$A$100,34)</f>
        <v>1985</v>
      </c>
      <c r="C11" s="72"/>
      <c r="D11" s="73" t="str">
        <f>INDEX(Data!$A$2:$G$100,MATCH($B11,Data!$A$2:$A$100,0),2)</f>
        <v>0.50-13.0</v>
      </c>
      <c r="E11" s="73"/>
      <c r="F11" s="73"/>
      <c r="G11" s="73" t="str">
        <f>INDEX(Data!$A$2:$G$100,MATCH($B11,Data!$A$2:$A$100,0),3)</f>
        <v xml:space="preserve"> 6.0-12.0</v>
      </c>
      <c r="H11" s="86"/>
      <c r="I11" s="71"/>
      <c r="J11" s="74">
        <f>INDEX(Data!$A$2:$G$100,MATCH($B11,Data!$A$2:$A$100,0),4)</f>
        <v>4</v>
      </c>
      <c r="K11" s="73"/>
      <c r="L11" s="73"/>
      <c r="M11" s="94">
        <f>INDEX(Data!$A$2:$G$100,MATCH($B11,Data!$A$2:$A$100,0),5)</f>
        <v>0.26</v>
      </c>
      <c r="N11" s="76"/>
      <c r="O11" s="95">
        <f>INDEX(Data!$A$2:$G$100,MATCH($B11,Data!$A$2:$A$100,0),6)</f>
        <v>0.15</v>
      </c>
      <c r="P11" s="95"/>
      <c r="Q11" s="95">
        <f>INDEX(Data!$A$2:$G$100,MATCH($B11,Data!$A$2:$A$100,0),7)</f>
        <v>0.16500000000000001</v>
      </c>
    </row>
    <row customFormat="1" customHeight="1" ht="12" r="12" s="7" spans="1:19" x14ac:dyDescent="0.2">
      <c r="B12" s="71">
        <f>LARGE(Data!$A$2:$A$100,33)</f>
        <v>1986</v>
      </c>
      <c r="C12" s="72"/>
      <c r="D12" s="73" t="str">
        <f>INDEX(Data!$A$2:$G$100,MATCH($B12,Data!$A$2:$A$100,0),2)</f>
        <v>0.50-13.0</v>
      </c>
      <c r="E12" s="73"/>
      <c r="F12" s="73"/>
      <c r="G12" s="73" t="str">
        <f>INDEX(Data!$A$2:$G$100,MATCH($B12,Data!$A$2:$A$100,0),3)</f>
        <v xml:space="preserve"> 6.0-12.0</v>
      </c>
      <c r="H12" s="86"/>
      <c r="I12" s="71"/>
      <c r="J12" s="74">
        <f>INDEX(Data!$A$2:$G$100,MATCH($B12,Data!$A$2:$A$100,0),4)</f>
        <v>4</v>
      </c>
      <c r="K12" s="73"/>
      <c r="L12" s="73"/>
      <c r="M12" s="94">
        <f>INDEX(Data!$A$2:$G$100,MATCH($B12,Data!$A$2:$A$100,0),5)</f>
        <v>0.26</v>
      </c>
      <c r="N12" s="76"/>
      <c r="O12" s="95">
        <f>INDEX(Data!$A$2:$G$100,MATCH($B12,Data!$A$2:$A$100,0),6)</f>
        <v>0.16</v>
      </c>
      <c r="P12" s="95"/>
      <c r="Q12" s="95">
        <f>INDEX(Data!$A$2:$G$100,MATCH($B12,Data!$A$2:$A$100,0),7)</f>
        <v>0.17499999999999999</v>
      </c>
    </row>
    <row customFormat="1" customHeight="1" ht="12" r="13" s="7" spans="1:19" x14ac:dyDescent="0.2">
      <c r="B13" s="78">
        <f>LARGE(Data!$A$2:$A$100,32)</f>
        <v>1987</v>
      </c>
      <c r="C13" s="79"/>
      <c r="D13" s="80" t="str">
        <f>INDEX(Data!$A$2:$G$100,MATCH($B13,Data!$A$2:$A$100,0),2)</f>
        <v>0.40-9.98</v>
      </c>
      <c r="E13" s="80"/>
      <c r="F13" s="80"/>
      <c r="G13" s="80" t="str">
        <f>INDEX(Data!$A$2:$G$100,MATCH($B13,Data!$A$2:$A$100,0),3)</f>
        <v xml:space="preserve"> 6.0-12.0</v>
      </c>
      <c r="H13" s="87"/>
      <c r="I13" s="78"/>
      <c r="J13" s="81">
        <f>INDEX(Data!$A$2:$G$100,MATCH($B13,Data!$A$2:$A$100,0),4)</f>
        <v>4</v>
      </c>
      <c r="K13" s="80"/>
      <c r="L13" s="80"/>
      <c r="M13" s="94">
        <f>INDEX(Data!$A$2:$G$100,MATCH($B13,Data!$A$2:$A$100,0),5)</f>
        <v>0.26</v>
      </c>
      <c r="N13" s="83"/>
      <c r="O13" s="95">
        <f>INDEX(Data!$A$2:$G$100,MATCH($B13,Data!$A$2:$A$100,0),6)</f>
        <v>0.16</v>
      </c>
      <c r="P13" s="95"/>
      <c r="Q13" s="95">
        <f>INDEX(Data!$A$2:$G$100,MATCH($B13,Data!$A$2:$A$100,0),7)</f>
        <v>0.185</v>
      </c>
    </row>
    <row customFormat="1" customHeight="1" ht="12" r="14" s="7" spans="1:19" x14ac:dyDescent="0.2">
      <c r="B14" s="71">
        <f>LARGE(Data!$A$2:$A$100,31)</f>
        <v>1988</v>
      </c>
      <c r="C14" s="72"/>
      <c r="D14" s="73" t="str">
        <f>INDEX(Data!$A$2:$G$100,MATCH($B14,Data!$A$2:$A$100,0),2)</f>
        <v>0.40-9.98</v>
      </c>
      <c r="E14" s="73"/>
      <c r="F14" s="73"/>
      <c r="G14" s="73" t="str">
        <f>INDEX(Data!$A$2:$G$100,MATCH($B14,Data!$A$2:$A$100,0),3)</f>
        <v xml:space="preserve"> 6.0-12.0</v>
      </c>
      <c r="H14" s="86"/>
      <c r="I14" s="71"/>
      <c r="J14" s="74">
        <f>INDEX(Data!$A$2:$G$100,MATCH($B14,Data!$A$2:$A$100,0),4)</f>
        <v>4</v>
      </c>
      <c r="K14" s="73"/>
      <c r="L14" s="73"/>
      <c r="M14" s="94">
        <f>INDEX(Data!$A$2:$G$100,MATCH($B14,Data!$A$2:$A$100,0),5)</f>
        <v>0.34</v>
      </c>
      <c r="N14" s="76"/>
      <c r="O14" s="95">
        <f>INDEX(Data!$A$2:$G$100,MATCH($B14,Data!$A$2:$A$100,0),6)</f>
        <v>0.18</v>
      </c>
      <c r="P14" s="95"/>
      <c r="Q14" s="95">
        <f>INDEX(Data!$A$2:$G$100,MATCH($B14,Data!$A$2:$A$100,0),7)</f>
        <v>0.20499999999999999</v>
      </c>
    </row>
    <row customFormat="1" customHeight="1" ht="12" r="15" s="7" spans="1:19" x14ac:dyDescent="0.2">
      <c r="B15" s="71">
        <f>LARGE(Data!$A$2:$A$100,30)</f>
        <v>1989</v>
      </c>
      <c r="C15" s="72"/>
      <c r="D15" s="73" t="str">
        <f>INDEX(Data!$A$2:$G$100,MATCH($B15,Data!$A$2:$A$100,0),2)</f>
        <v>0.40-9.98</v>
      </c>
      <c r="E15" s="73"/>
      <c r="F15" s="73"/>
      <c r="G15" s="73" t="str">
        <f>INDEX(Data!$A$2:$G$100,MATCH($B15,Data!$A$2:$A$100,0),3)</f>
        <v xml:space="preserve"> 6.0-12.0</v>
      </c>
      <c r="H15" s="86"/>
      <c r="I15" s="71"/>
      <c r="J15" s="74">
        <f>INDEX(Data!$A$2:$G$100,MATCH($B15,Data!$A$2:$A$100,0),4)</f>
        <v>4</v>
      </c>
      <c r="K15" s="73"/>
      <c r="L15" s="73"/>
      <c r="M15" s="94">
        <f>INDEX(Data!$A$2:$G$100,MATCH($B15,Data!$A$2:$A$100,0),5)</f>
        <v>0.31</v>
      </c>
      <c r="N15" s="76"/>
      <c r="O15" s="95">
        <f>INDEX(Data!$A$2:$G$100,MATCH($B15,Data!$A$2:$A$100,0),6)</f>
        <v>0.2</v>
      </c>
      <c r="P15" s="95"/>
      <c r="Q15" s="95">
        <f>INDEX(Data!$A$2:$G$100,MATCH($B15,Data!$A$2:$A$100,0),7)</f>
        <v>0.22500000000000001</v>
      </c>
      <c r="S15" s="7" t="s">
        <v>11</v>
      </c>
    </row>
    <row customFormat="1" customHeight="1" ht="12" r="16" s="7" spans="1:19" x14ac:dyDescent="0.2">
      <c r="B16" s="78">
        <f>LARGE(Data!$A$2:$A$100,29)</f>
        <v>1990</v>
      </c>
      <c r="C16" s="79"/>
      <c r="D16" s="80" t="str">
        <f>INDEX(Data!$A$2:$G$100,MATCH($B16,Data!$A$2:$A$100,0),2)</f>
        <v>0.40-9.98</v>
      </c>
      <c r="E16" s="80"/>
      <c r="F16" s="80"/>
      <c r="G16" s="80" t="str">
        <f>INDEX(Data!$A$2:$G$100,MATCH($B16,Data!$A$2:$A$100,0),3)</f>
        <v xml:space="preserve"> 6.0-12.0</v>
      </c>
      <c r="H16" s="85"/>
      <c r="I16" s="78"/>
      <c r="J16" s="81">
        <f>INDEX(Data!$A$2:$G$100,MATCH($B16,Data!$A$2:$A$100,0),4)</f>
        <v>4</v>
      </c>
      <c r="K16" s="80"/>
      <c r="L16" s="80"/>
      <c r="M16" s="94">
        <f>INDEX(Data!$A$2:$G$100,MATCH($B16,Data!$A$2:$A$100,0),5)</f>
        <v>0.31</v>
      </c>
      <c r="N16" s="83"/>
      <c r="O16" s="95">
        <f>INDEX(Data!$A$2:$G$100,MATCH($B16,Data!$A$2:$A$100,0),6)</f>
        <v>0.2</v>
      </c>
      <c r="P16" s="95"/>
      <c r="Q16" s="95">
        <f>INDEX(Data!$A$2:$G$100,MATCH($B16,Data!$A$2:$A$100,0),7)</f>
        <v>0.22500000000000001</v>
      </c>
    </row>
    <row customFormat="1" customHeight="1" ht="12" r="17" s="7" spans="2:18" x14ac:dyDescent="0.2">
      <c r="B17" s="71">
        <f>LARGE(Data!$A$2:$A$100,28)</f>
        <v>1991</v>
      </c>
      <c r="C17" s="72"/>
      <c r="D17" s="73" t="str">
        <f>INDEX(Data!$A$2:$G$100,MATCH($B17,Data!$A$2:$A$100,0),2)</f>
        <v>0.40-9.98</v>
      </c>
      <c r="E17" s="73"/>
      <c r="F17" s="73"/>
      <c r="G17" s="73" t="str">
        <f>INDEX(Data!$A$2:$G$100,MATCH($B17,Data!$A$2:$A$100,0),3)</f>
        <v xml:space="preserve"> 6.0-12.0</v>
      </c>
      <c r="H17" s="86"/>
      <c r="I17" s="71"/>
      <c r="J17" s="74">
        <f>INDEX(Data!$A$2:$G$100,MATCH($B17,Data!$A$2:$A$100,0),4)</f>
        <v>4</v>
      </c>
      <c r="K17" s="73"/>
      <c r="L17" s="73"/>
      <c r="M17" s="94">
        <f>INDEX(Data!$A$2:$G$100,MATCH($B17,Data!$A$2:$A$100,0),5)</f>
        <v>0.36</v>
      </c>
      <c r="N17" s="75"/>
      <c r="O17" s="95">
        <f>INDEX(Data!$A$2:$G$100,MATCH($B17,Data!$A$2:$A$100,0),6)</f>
        <v>0.2</v>
      </c>
      <c r="P17" s="95"/>
      <c r="Q17" s="95">
        <f>INDEX(Data!$A$2:$G$100,MATCH($B17,Data!$A$2:$A$100,0),7)</f>
        <v>0.22500000000000001</v>
      </c>
    </row>
    <row customFormat="1" customHeight="1" ht="12" r="18" s="7" spans="2:18" x14ac:dyDescent="0.2">
      <c r="B18" s="71">
        <f>LARGE(Data!$A$2:$A$100,27)</f>
        <v>1992</v>
      </c>
      <c r="C18" s="72"/>
      <c r="D18" s="73" t="str">
        <f>INDEX(Data!$A$2:$G$100,MATCH($B18,Data!$A$2:$A$100,0),2)</f>
        <v>0.40-9.98</v>
      </c>
      <c r="E18" s="73"/>
      <c r="F18" s="73"/>
      <c r="G18" s="73" t="str">
        <f>INDEX(Data!$A$2:$G$100,MATCH($B18,Data!$A$2:$A$100,0),3)</f>
        <v xml:space="preserve"> 6.0-12.0</v>
      </c>
      <c r="H18" s="84"/>
      <c r="I18" s="71"/>
      <c r="J18" s="74">
        <f>INDEX(Data!$A$2:$G$100,MATCH($B18,Data!$A$2:$A$100,0),4)</f>
        <v>5</v>
      </c>
      <c r="K18" s="73"/>
      <c r="L18" s="73"/>
      <c r="M18" s="94">
        <f>INDEX(Data!$A$2:$G$100,MATCH($B18,Data!$A$2:$A$100,0),5)</f>
        <v>0.36</v>
      </c>
      <c r="N18" s="76"/>
      <c r="O18" s="95">
        <f>INDEX(Data!$A$2:$G$100,MATCH($B18,Data!$A$2:$A$100,0),6)</f>
        <v>0.2</v>
      </c>
      <c r="P18" s="95"/>
      <c r="Q18" s="95">
        <f>INDEX(Data!$A$2:$G$100,MATCH($B18,Data!$A$2:$A$100,0),7)</f>
        <v>0.22500000000000001</v>
      </c>
    </row>
    <row customFormat="1" customHeight="1" ht="12" r="19" s="7" spans="2:18" x14ac:dyDescent="0.2">
      <c r="B19" s="78">
        <f>LARGE(Data!$A$2:$A$100,26)</f>
        <v>1993</v>
      </c>
      <c r="C19" s="79"/>
      <c r="D19" s="80" t="str">
        <f>INDEX(Data!$A$2:$G$100,MATCH($B19,Data!$A$2:$A$100,0),2)</f>
        <v>0.40-9.98</v>
      </c>
      <c r="E19" s="79"/>
      <c r="F19" s="79"/>
      <c r="G19" s="80" t="str">
        <f>INDEX(Data!$A$2:$G$100,MATCH($B19,Data!$A$2:$A$100,0),3)</f>
        <v xml:space="preserve"> 6.0-12.0</v>
      </c>
      <c r="H19" s="79"/>
      <c r="I19" s="79"/>
      <c r="J19" s="81">
        <f>INDEX(Data!$A$2:$G$100,MATCH($B19,Data!$A$2:$A$100,0),4)</f>
        <v>5</v>
      </c>
      <c r="K19" s="80"/>
      <c r="L19" s="80"/>
      <c r="M19" s="94">
        <f>INDEX(Data!$A$2:$G$100,MATCH($B19,Data!$A$2:$A$100,0),5)</f>
        <v>0.36</v>
      </c>
      <c r="N19" s="82"/>
      <c r="O19" s="95">
        <f>INDEX(Data!$A$2:$G$100,MATCH($B19,Data!$A$2:$A$100,0),6)</f>
        <v>0.2</v>
      </c>
      <c r="P19" s="95"/>
      <c r="Q19" s="95">
        <f>INDEX(Data!$A$2:$G$100,MATCH($B19,Data!$A$2:$A$100,0),7)</f>
        <v>0.22500000000000001</v>
      </c>
    </row>
    <row customFormat="1" customHeight="1" ht="12" r="20" s="7" spans="2:18" x14ac:dyDescent="0.2">
      <c r="B20" s="71">
        <f>LARGE(Data!$A$2:$A$100,25)</f>
        <v>1994</v>
      </c>
      <c r="C20" s="72"/>
      <c r="D20" s="73" t="str">
        <f>INDEX(Data!$A$2:$G$100,MATCH($B20,Data!$A$2:$A$100,0),2)</f>
        <v>0.40-9.98</v>
      </c>
      <c r="E20" s="72"/>
      <c r="F20" s="72"/>
      <c r="G20" s="73" t="str">
        <f>INDEX(Data!$A$2:$G$100,MATCH($B20,Data!$A$2:$A$100,0),3)</f>
        <v xml:space="preserve"> 6.0-12.0</v>
      </c>
      <c r="H20" s="72"/>
      <c r="I20" s="72"/>
      <c r="J20" s="74">
        <f>INDEX(Data!$A$2:$G$100,MATCH($B20,Data!$A$2:$A$100,0),4)</f>
        <v>5</v>
      </c>
      <c r="K20" s="73"/>
      <c r="L20" s="73"/>
      <c r="M20" s="94">
        <f>INDEX(Data!$A$2:$G$100,MATCH($B20,Data!$A$2:$A$100,0),5)</f>
        <v>0.36</v>
      </c>
      <c r="N20" s="75"/>
      <c r="O20" s="95">
        <f>INDEX(Data!$A$2:$G$100,MATCH($B20,Data!$A$2:$A$100,0),6)</f>
        <v>0.2</v>
      </c>
      <c r="P20" s="95"/>
      <c r="Q20" s="95">
        <f>INDEX(Data!$A$2:$G$100,MATCH($B20,Data!$A$2:$A$100,0),7)</f>
        <v>0.22500000000000001</v>
      </c>
      <c r="R20" s="15"/>
    </row>
    <row customFormat="1" customHeight="1" ht="12" r="21" s="7" spans="2:18" x14ac:dyDescent="0.2">
      <c r="B21" s="71">
        <f>LARGE(Data!$A$2:$A$100,24)</f>
        <v>1995</v>
      </c>
      <c r="C21" s="72"/>
      <c r="D21" s="73" t="str">
        <f>INDEX(Data!$A$2:$G$100,MATCH($B21,Data!$A$2:$A$100,0),2)</f>
        <v>0.40-9.98</v>
      </c>
      <c r="E21" s="72"/>
      <c r="F21" s="72"/>
      <c r="G21" s="73" t="str">
        <f>INDEX(Data!$A$2:$G$100,MATCH($B21,Data!$A$2:$A$100,0),3)</f>
        <v xml:space="preserve"> 6.0-12.0</v>
      </c>
      <c r="H21" s="72"/>
      <c r="I21" s="72"/>
      <c r="J21" s="74">
        <f>INDEX(Data!$A$2:$G$100,MATCH($B21,Data!$A$2:$A$100,0),4)</f>
        <v>5</v>
      </c>
      <c r="K21" s="73"/>
      <c r="L21" s="73"/>
      <c r="M21" s="94">
        <f>INDEX(Data!$A$2:$G$100,MATCH($B21,Data!$A$2:$A$100,0),5)</f>
        <v>0.36</v>
      </c>
      <c r="N21" s="75"/>
      <c r="O21" s="95">
        <f>INDEX(Data!$A$2:$G$100,MATCH($B21,Data!$A$2:$A$100,0),6)</f>
        <v>0.2</v>
      </c>
      <c r="P21" s="95"/>
      <c r="Q21" s="95">
        <f>INDEX(Data!$A$2:$G$100,MATCH($B21,Data!$A$2:$A$100,0),7)</f>
        <v>0.22500000000000001</v>
      </c>
      <c r="R21" s="15"/>
    </row>
    <row customFormat="1" customHeight="1" ht="12" r="22" s="7" spans="2:18" x14ac:dyDescent="0.2">
      <c r="B22" s="78">
        <f>LARGE(Data!$A$2:$A$100,23)</f>
        <v>1996</v>
      </c>
      <c r="C22" s="79"/>
      <c r="D22" s="80" t="str">
        <f>INDEX(Data!$A$2:$G$100,MATCH($B22,Data!$A$2:$A$100,0),2)</f>
        <v>0.40-9.98</v>
      </c>
      <c r="E22" s="79"/>
      <c r="F22" s="79"/>
      <c r="G22" s="80" t="str">
        <f>INDEX(Data!$A$2:$G$100,MATCH($B22,Data!$A$2:$A$100,0),3)</f>
        <v xml:space="preserve"> 6.0-12.0</v>
      </c>
      <c r="H22" s="79"/>
      <c r="I22" s="79"/>
      <c r="J22" s="81">
        <f>INDEX(Data!$A$2:$G$100,MATCH($B22,Data!$A$2:$A$100,0),4)</f>
        <v>5</v>
      </c>
      <c r="K22" s="80"/>
      <c r="L22" s="80"/>
      <c r="M22" s="94">
        <f>INDEX(Data!$A$2:$G$100,MATCH($B22,Data!$A$2:$A$100,0),5)</f>
        <v>0.36</v>
      </c>
      <c r="N22" s="82"/>
      <c r="O22" s="95">
        <f>INDEX(Data!$A$2:$G$100,MATCH($B22,Data!$A$2:$A$100,0),6)</f>
        <v>0.2</v>
      </c>
      <c r="P22" s="95"/>
      <c r="Q22" s="95">
        <f>INDEX(Data!$A$2:$G$100,MATCH($B22,Data!$A$2:$A$100,0),7)</f>
        <v>0.22500000000000001</v>
      </c>
      <c r="R22" s="15"/>
    </row>
    <row customFormat="1" customHeight="1" ht="12" r="23" s="7" spans="2:18" x14ac:dyDescent="0.2">
      <c r="B23" s="71">
        <f>LARGE(Data!$A$2:$A$100,22)</f>
        <v>1997</v>
      </c>
      <c r="C23" s="72"/>
      <c r="D23" s="73" t="str">
        <f>INDEX(Data!$A$2:$G$100,MATCH($B23,Data!$A$2:$A$100,0),2)</f>
        <v>0.40-9.98</v>
      </c>
      <c r="E23" s="73"/>
      <c r="F23" s="73"/>
      <c r="G23" s="73" t="str">
        <f>INDEX(Data!$A$2:$G$100,MATCH($B23,Data!$A$2:$A$100,0),3)</f>
        <v xml:space="preserve"> 6.0-12.0</v>
      </c>
      <c r="H23" s="84"/>
      <c r="I23" s="71"/>
      <c r="J23" s="74">
        <f>INDEX(Data!$A$2:$G$100,MATCH($B23,Data!$A$2:$A$100,0),4)</f>
        <v>5</v>
      </c>
      <c r="K23" s="73"/>
      <c r="L23" s="73"/>
      <c r="M23" s="94">
        <f>INDEX(Data!$A$2:$G$100,MATCH($B23,Data!$A$2:$A$100,0),5)</f>
        <v>0.36</v>
      </c>
      <c r="N23" s="76"/>
      <c r="O23" s="95">
        <f>INDEX(Data!$A$2:$G$100,MATCH($B23,Data!$A$2:$A$100,0),6)</f>
        <v>0.2</v>
      </c>
      <c r="P23" s="95"/>
      <c r="Q23" s="95">
        <f>INDEX(Data!$A$2:$G$100,MATCH($B23,Data!$A$2:$A$100,0),7)</f>
        <v>0.22500000000000001</v>
      </c>
      <c r="R23" s="15"/>
    </row>
    <row customFormat="1" customHeight="1" ht="12" r="24" s="7" spans="2:18" x14ac:dyDescent="0.2">
      <c r="B24" s="71">
        <f>LARGE(Data!$A$2:$A$100,21)</f>
        <v>1998</v>
      </c>
      <c r="C24" s="72"/>
      <c r="D24" s="73" t="str">
        <f>INDEX(Data!$A$2:$G$100,MATCH($B24,Data!$A$2:$A$100,0),2)</f>
        <v>0.36-8.98</v>
      </c>
      <c r="E24" s="72"/>
      <c r="F24" s="72"/>
      <c r="G24" s="73" t="str">
        <f>INDEX(Data!$A$2:$G$100,MATCH($B24,Data!$A$2:$A$100,0),3)</f>
        <v xml:space="preserve"> 6.0-12.0</v>
      </c>
      <c r="H24" s="72"/>
      <c r="I24" s="72"/>
      <c r="J24" s="74">
        <f>INDEX(Data!$A$2:$G$100,MATCH($B24,Data!$A$2:$A$100,0),4)</f>
        <v>5</v>
      </c>
      <c r="K24" s="73"/>
      <c r="L24" s="73"/>
      <c r="M24" s="94">
        <f>INDEX(Data!$A$2:$G$100,MATCH($B24,Data!$A$2:$A$100,0),5)</f>
        <v>0.36</v>
      </c>
      <c r="N24" s="75"/>
      <c r="O24" s="95">
        <f>INDEX(Data!$A$2:$G$100,MATCH($B24,Data!$A$2:$A$100,0),6)</f>
        <v>0.2</v>
      </c>
      <c r="P24" s="95"/>
      <c r="Q24" s="95">
        <f>INDEX(Data!$A$2:$G$100,MATCH($B24,Data!$A$2:$A$100,0),7)</f>
        <v>0.22500000000000001</v>
      </c>
      <c r="R24" s="15"/>
    </row>
    <row customFormat="1" customHeight="1" ht="12" r="25" s="7" spans="2:18" x14ac:dyDescent="0.2">
      <c r="B25" s="78">
        <f>LARGE(Data!$A$2:$A$100,20)</f>
        <v>1999</v>
      </c>
      <c r="C25" s="79"/>
      <c r="D25" s="80" t="str">
        <f>INDEX(Data!$A$2:$G$100,MATCH($B25,Data!$A$2:$A$100,0),2)</f>
        <v>0.36-8.98</v>
      </c>
      <c r="E25" s="79"/>
      <c r="F25" s="79"/>
      <c r="G25" s="80" t="str">
        <f>INDEX(Data!$A$2:$G$100,MATCH($B25,Data!$A$2:$A$100,0),3)</f>
        <v xml:space="preserve"> 6.0-12.0</v>
      </c>
      <c r="H25" s="79"/>
      <c r="I25" s="79"/>
      <c r="J25" s="81">
        <f>INDEX(Data!$A$2:$G$100,MATCH($B25,Data!$A$2:$A$100,0),4)</f>
        <v>5</v>
      </c>
      <c r="K25" s="80"/>
      <c r="L25" s="80"/>
      <c r="M25" s="94">
        <f>INDEX(Data!$A$2:$G$100,MATCH($B25,Data!$A$2:$A$100,0),5)</f>
        <v>0.36</v>
      </c>
      <c r="N25" s="82"/>
      <c r="O25" s="95">
        <f>INDEX(Data!$A$2:$G$100,MATCH($B25,Data!$A$2:$A$100,0),6)</f>
        <v>0.2</v>
      </c>
      <c r="P25" s="95"/>
      <c r="Q25" s="95">
        <f>INDEX(Data!$A$2:$G$100,MATCH($B25,Data!$A$2:$A$100,0),7)</f>
        <v>0.22500000000000001</v>
      </c>
      <c r="R25" s="15"/>
    </row>
    <row customFormat="1" customHeight="1" ht="12" r="26" s="7" spans="2:18" x14ac:dyDescent="0.2">
      <c r="B26" s="71">
        <f>LARGE(Data!$A$2:$A$100,19)</f>
        <v>2000</v>
      </c>
      <c r="C26" s="72"/>
      <c r="D26" s="73" t="str">
        <f>INDEX(Data!$A$2:$G$100,MATCH($B26,Data!$A$2:$A$100,0),2)</f>
        <v>0.36-8.98</v>
      </c>
      <c r="E26" s="72"/>
      <c r="F26" s="72"/>
      <c r="G26" s="73" t="str">
        <f>INDEX(Data!$A$2:$G$100,MATCH($B26,Data!$A$2:$A$100,0),3)</f>
        <v xml:space="preserve"> 6.0-12.0</v>
      </c>
      <c r="H26" s="72"/>
      <c r="I26" s="72"/>
      <c r="J26" s="74">
        <f>INDEX(Data!$A$2:$G$100,MATCH($B26,Data!$A$2:$A$100,0),4)</f>
        <v>5</v>
      </c>
      <c r="K26" s="73"/>
      <c r="L26" s="73"/>
      <c r="M26" s="94">
        <f>INDEX(Data!$A$2:$G$100,MATCH($B26,Data!$A$2:$A$100,0),5)</f>
        <v>0.36</v>
      </c>
      <c r="N26" s="75"/>
      <c r="O26" s="95">
        <f>INDEX(Data!$A$2:$G$100,MATCH($B26,Data!$A$2:$A$100,0),6)</f>
        <v>0.2</v>
      </c>
      <c r="P26" s="95"/>
      <c r="Q26" s="95">
        <f>INDEX(Data!$A$2:$G$100,MATCH($B26,Data!$A$2:$A$100,0),7)</f>
        <v>0.22500000000000001</v>
      </c>
      <c r="R26" s="15"/>
    </row>
    <row customFormat="1" customHeight="1" ht="12" r="27" s="7" spans="2:18" x14ac:dyDescent="0.2">
      <c r="B27" s="71">
        <f>LARGE(Data!$A$2:$A$100,18)</f>
        <v>2001</v>
      </c>
      <c r="C27" s="72"/>
      <c r="D27" s="73" t="str">
        <f>INDEX(Data!$A$2:$G$100,MATCH($B27,Data!$A$2:$A$100,0),2)</f>
        <v>0.36-8.98</v>
      </c>
      <c r="E27" s="72"/>
      <c r="F27" s="72"/>
      <c r="G27" s="73" t="str">
        <f>INDEX(Data!$A$2:$G$100,MATCH($B27,Data!$A$2:$A$100,0),3)</f>
        <v xml:space="preserve"> 6.0-12.0</v>
      </c>
      <c r="H27" s="72"/>
      <c r="I27" s="72"/>
      <c r="J27" s="74">
        <f>INDEX(Data!$A$2:$G$100,MATCH($B27,Data!$A$2:$A$100,0),4)</f>
        <v>5</v>
      </c>
      <c r="K27" s="73"/>
      <c r="L27" s="73"/>
      <c r="M27" s="94">
        <f>INDEX(Data!$A$2:$G$100,MATCH($B27,Data!$A$2:$A$100,0),5)</f>
        <v>0.36</v>
      </c>
      <c r="N27" s="75"/>
      <c r="O27" s="95">
        <f>INDEX(Data!$A$2:$G$100,MATCH($B27,Data!$A$2:$A$100,0),6)</f>
        <v>0.2</v>
      </c>
      <c r="P27" s="95"/>
      <c r="Q27" s="95">
        <f>INDEX(Data!$A$2:$G$100,MATCH($B27,Data!$A$2:$A$100,0),7)</f>
        <v>0.22500000000000001</v>
      </c>
      <c r="R27" s="15"/>
    </row>
    <row customFormat="1" customHeight="1" ht="12" r="28" s="7" spans="2:18" x14ac:dyDescent="0.2">
      <c r="B28" s="78">
        <f>LARGE(Data!$A$2:$A$100,17)</f>
        <v>2002</v>
      </c>
      <c r="C28" s="79"/>
      <c r="D28" s="80" t="str">
        <f>INDEX(Data!$A$2:$G$100,MATCH($B28,Data!$A$2:$A$100,0),2)</f>
        <v>0.36-8.98</v>
      </c>
      <c r="E28" s="80"/>
      <c r="F28" s="80"/>
      <c r="G28" s="80" t="str">
        <f>INDEX(Data!$A$2:$G$100,MATCH($B28,Data!$A$2:$A$100,0),3)</f>
        <v xml:space="preserve"> 6.0-12.0</v>
      </c>
      <c r="H28" s="87"/>
      <c r="I28" s="78"/>
      <c r="J28" s="81">
        <f>INDEX(Data!$A$2:$G$100,MATCH($B28,Data!$A$2:$A$100,0),4)</f>
        <v>5</v>
      </c>
      <c r="K28" s="80"/>
      <c r="L28" s="80"/>
      <c r="M28" s="94">
        <f>INDEX(Data!$A$2:$G$100,MATCH($B28,Data!$A$2:$A$100,0),5)</f>
        <v>0.36</v>
      </c>
      <c r="N28" s="83"/>
      <c r="O28" s="95">
        <f>INDEX(Data!$A$2:$G$100,MATCH($B28,Data!$A$2:$A$100,0),6)</f>
        <v>0.2</v>
      </c>
      <c r="P28" s="95"/>
      <c r="Q28" s="95">
        <f>INDEX(Data!$A$2:$G$100,MATCH($B28,Data!$A$2:$A$100,0),7)</f>
        <v>0.22500000000000001</v>
      </c>
      <c r="R28" s="15"/>
    </row>
    <row customFormat="1" customHeight="1" ht="12" r="29" s="7" spans="2:18" x14ac:dyDescent="0.2">
      <c r="B29" s="71">
        <f>LARGE(Data!$A$2:$A$100,16)</f>
        <v>2003</v>
      </c>
      <c r="C29" s="72"/>
      <c r="D29" s="73" t="str">
        <f>INDEX(Data!$A$2:$G$100,MATCH($B29,Data!$A$2:$A$100,0),2)</f>
        <v>0.36-8.98</v>
      </c>
      <c r="E29" s="72"/>
      <c r="F29" s="72"/>
      <c r="G29" s="73" t="str">
        <f>INDEX(Data!$A$2:$G$100,MATCH($B29,Data!$A$2:$A$100,0),3)</f>
        <v xml:space="preserve"> 6.0-12.0</v>
      </c>
      <c r="H29" s="72"/>
      <c r="I29" s="72"/>
      <c r="J29" s="74">
        <f>INDEX(Data!$A$2:$G$100,MATCH($B29,Data!$A$2:$A$100,0),4)</f>
        <v>5</v>
      </c>
      <c r="K29" s="73"/>
      <c r="L29" s="73"/>
      <c r="M29" s="94">
        <f>INDEX(Data!$A$2:$G$100,MATCH($B29,Data!$A$2:$A$100,0),5)</f>
        <v>0.36</v>
      </c>
      <c r="N29" s="75"/>
      <c r="O29" s="95">
        <f>INDEX(Data!$A$2:$G$100,MATCH($B29,Data!$A$2:$A$100,0),6)</f>
        <v>0.20100000000000001</v>
      </c>
      <c r="P29" s="95"/>
      <c r="Q29" s="95">
        <f>INDEX(Data!$A$2:$G$100,MATCH($B29,Data!$A$2:$A$100,0),7)</f>
        <v>0.22500000000000001</v>
      </c>
      <c r="R29" s="15"/>
    </row>
    <row customFormat="1" customHeight="1" ht="12" r="30" s="7" spans="2:18" x14ac:dyDescent="0.2">
      <c r="B30" s="71">
        <f>LARGE(Data!$A$2:$A$100,15)</f>
        <v>2004</v>
      </c>
      <c r="C30" s="72"/>
      <c r="D30" s="73" t="str">
        <f>INDEX(Data!$A$2:$G$100,MATCH($B30,Data!$A$2:$A$100,0),2)</f>
        <v>0.36-8.98</v>
      </c>
      <c r="E30" s="72"/>
      <c r="F30" s="72"/>
      <c r="G30" s="73" t="str">
        <f>INDEX(Data!$A$2:$G$100,MATCH($B30,Data!$A$2:$A$100,0),3)</f>
        <v xml:space="preserve"> 6.0-12.0</v>
      </c>
      <c r="H30" s="72"/>
      <c r="I30" s="72"/>
      <c r="J30" s="74">
        <f>INDEX(Data!$A$2:$G$100,MATCH($B30,Data!$A$2:$A$100,0),4)</f>
        <v>5</v>
      </c>
      <c r="K30" s="73"/>
      <c r="L30" s="73"/>
      <c r="M30" s="94">
        <f>INDEX(Data!$A$2:$G$100,MATCH($B30,Data!$A$2:$A$100,0),5)</f>
        <v>0.36</v>
      </c>
      <c r="N30" s="75"/>
      <c r="O30" s="95">
        <f>INDEX(Data!$A$2:$G$100,MATCH($B30,Data!$A$2:$A$100,0),6)</f>
        <v>0.20300000000000001</v>
      </c>
      <c r="P30" s="95"/>
      <c r="Q30" s="95">
        <f>INDEX(Data!$A$2:$G$100,MATCH($B30,Data!$A$2:$A$100,0),7)</f>
        <v>0.22500000000000001</v>
      </c>
      <c r="R30" s="15"/>
    </row>
    <row customFormat="1" customHeight="1" ht="12" r="31" s="7" spans="2:18" x14ac:dyDescent="0.2">
      <c r="B31" s="78">
        <f>LARGE(Data!$A$2:$A$100,14)</f>
        <v>2005</v>
      </c>
      <c r="C31" s="79"/>
      <c r="D31" s="80" t="str">
        <f>INDEX(Data!$A$2:$G$100,MATCH($B31,Data!$A$2:$A$100,0),2)</f>
        <v>0.36-8.98</v>
      </c>
      <c r="E31" s="79"/>
      <c r="F31" s="79"/>
      <c r="G31" s="80" t="str">
        <f>INDEX(Data!$A$2:$G$100,MATCH($B31,Data!$A$2:$A$100,0),3)</f>
        <v>6.0-12.0</v>
      </c>
      <c r="H31" s="79"/>
      <c r="I31" s="79"/>
      <c r="J31" s="81">
        <f>INDEX(Data!$A$2:$G$100,MATCH($B31,Data!$A$2:$A$100,0),4)</f>
        <v>5</v>
      </c>
      <c r="K31" s="80"/>
      <c r="L31" s="80"/>
      <c r="M31" s="94">
        <f>INDEX(Data!$A$2:$G$100,MATCH($B31,Data!$A$2:$A$100,0),5)</f>
        <v>0.36</v>
      </c>
      <c r="N31" s="82"/>
      <c r="O31" s="95">
        <f>INDEX(Data!$A$2:$G$100,MATCH($B31,Data!$A$2:$A$100,0),6)</f>
        <v>0.20499999999999999</v>
      </c>
      <c r="P31" s="95"/>
      <c r="Q31" s="95">
        <f>INDEX(Data!$A$2:$G$100,MATCH($B31,Data!$A$2:$A$100,0),7)</f>
        <v>0.22500000000000001</v>
      </c>
      <c r="R31" s="41"/>
    </row>
    <row customFormat="1" customHeight="1" ht="12" r="32" s="7" spans="2:18" x14ac:dyDescent="0.2">
      <c r="B32" s="71">
        <f>LARGE(Data!$A$2:$A$100,13)</f>
        <v>2006</v>
      </c>
      <c r="C32" s="72"/>
      <c r="D32" s="73" t="str">
        <f>INDEX(Data!$A$2:$G$100,MATCH($B32,Data!$A$2:$A$100,0),2)</f>
        <v>0.36-8.98</v>
      </c>
      <c r="E32" s="72"/>
      <c r="F32" s="72"/>
      <c r="G32" s="73" t="str">
        <f>INDEX(Data!$A$2:$G$100,MATCH($B32,Data!$A$2:$A$100,0),3)</f>
        <v>6.0-12.0</v>
      </c>
      <c r="H32" s="72"/>
      <c r="I32" s="72"/>
      <c r="J32" s="74">
        <f>INDEX(Data!$A$2:$G$100,MATCH($B32,Data!$A$2:$A$100,0),4)</f>
        <v>5</v>
      </c>
      <c r="K32" s="73"/>
      <c r="L32" s="73"/>
      <c r="M32" s="94">
        <f>INDEX(Data!$A$2:$G$100,MATCH($B32,Data!$A$2:$A$100,0),5)</f>
        <v>0.36</v>
      </c>
      <c r="N32" s="75"/>
      <c r="O32" s="95">
        <f>INDEX(Data!$A$2:$G$100,MATCH($B32,Data!$A$2:$A$100,0),6)</f>
        <v>0.20699999999999999</v>
      </c>
      <c r="P32" s="95"/>
      <c r="Q32" s="95">
        <f>INDEX(Data!$A$2:$G$100,MATCH($B32,Data!$A$2:$A$100,0),7)</f>
        <v>0.22500000000000001</v>
      </c>
      <c r="R32" s="15"/>
    </row>
    <row customFormat="1" customHeight="1" ht="12" r="33" s="7" spans="2:18" x14ac:dyDescent="0.2">
      <c r="B33" s="71">
        <f>LARGE(Data!$A$2:$A$100,12)</f>
        <v>2007</v>
      </c>
      <c r="C33" s="72"/>
      <c r="D33" s="73" t="str">
        <f>INDEX(Data!$A$2:$G$100,MATCH($B33,Data!$A$2:$A$100,0),2)</f>
        <v>0.36-8.98</v>
      </c>
      <c r="E33" s="72"/>
      <c r="F33" s="72"/>
      <c r="G33" s="73" t="str">
        <f>INDEX(Data!$A$2:$G$100,MATCH($B33,Data!$A$2:$A$100,0),3)</f>
        <v>6.0-12.0</v>
      </c>
      <c r="H33" s="72"/>
      <c r="I33" s="72"/>
      <c r="J33" s="74">
        <f>INDEX(Data!$A$2:$G$100,MATCH($B33,Data!$A$2:$A$100,0),4)</f>
        <v>5</v>
      </c>
      <c r="K33" s="73"/>
      <c r="L33" s="73"/>
      <c r="M33" s="94">
        <f>INDEX(Data!$A$2:$G$100,MATCH($B33,Data!$A$2:$A$100,0),5)</f>
        <v>0.36</v>
      </c>
      <c r="N33" s="75"/>
      <c r="O33" s="95">
        <f>INDEX(Data!$A$2:$G$100,MATCH($B33,Data!$A$2:$A$100,0),6)</f>
        <v>0.21</v>
      </c>
      <c r="P33" s="95"/>
      <c r="Q33" s="95">
        <f>INDEX(Data!$A$2:$G$100,MATCH($B33,Data!$A$2:$A$100,0),7)</f>
        <v>0.22500000000000001</v>
      </c>
      <c r="R33" s="15"/>
    </row>
    <row customFormat="1" customHeight="1" ht="12" r="34" s="7" spans="2:18" x14ac:dyDescent="0.2">
      <c r="B34" s="78">
        <f>LARGE(Data!$A$2:$A$100,11)</f>
        <v>2008</v>
      </c>
      <c r="C34" s="79"/>
      <c r="D34" s="80" t="str">
        <f>INDEX(Data!$A$2:$G$100,MATCH($B34,Data!$A$2:$A$100,0),2)</f>
        <v>0.36-8.98</v>
      </c>
      <c r="E34" s="79"/>
      <c r="F34" s="79"/>
      <c r="G34" s="80" t="str">
        <f>INDEX(Data!$A$2:$G$100,MATCH($B34,Data!$A$2:$A$100,0),3)</f>
        <v>6.0-12.0</v>
      </c>
      <c r="H34" s="79"/>
      <c r="I34" s="79"/>
      <c r="J34" s="81">
        <f>INDEX(Data!$A$2:$G$100,MATCH($B34,Data!$A$2:$A$100,0),4)</f>
        <v>5</v>
      </c>
      <c r="K34" s="80"/>
      <c r="L34" s="80"/>
      <c r="M34" s="94">
        <f>INDEX(Data!$A$2:$G$100,MATCH($B34,Data!$A$2:$A$100,0),5)</f>
        <v>1.36</v>
      </c>
      <c r="N34" s="82"/>
      <c r="O34" s="95">
        <f>INDEX(Data!$A$2:$G$100,MATCH($B34,Data!$A$2:$A$100,0),6)</f>
        <v>0.20699999999999999</v>
      </c>
      <c r="P34" s="95"/>
      <c r="Q34" s="95">
        <f>INDEX(Data!$A$2:$G$100,MATCH($B34,Data!$A$2:$A$100,0),7)</f>
        <v>0.22500000000000001</v>
      </c>
      <c r="R34" s="15"/>
    </row>
    <row customFormat="1" customHeight="1" ht="12" r="35" s="7" spans="2:18" x14ac:dyDescent="0.2">
      <c r="B35" s="71">
        <f>LARGE(Data!$A$2:$A$100,10)</f>
        <v>2009</v>
      </c>
      <c r="C35" s="72"/>
      <c r="D35" s="73" t="str">
        <f>INDEX(Data!$A$2:$G$100,MATCH($B35,Data!$A$2:$A$100,0),2)</f>
        <v>0.36-8.98</v>
      </c>
      <c r="E35" s="72"/>
      <c r="F35" s="72"/>
      <c r="G35" s="73" t="str">
        <f>INDEX(Data!$A$2:$G$100,MATCH($B35,Data!$A$2:$A$100,0),3)</f>
        <v>6.0-12.0</v>
      </c>
      <c r="H35" s="72"/>
      <c r="I35" s="72"/>
      <c r="J35" s="74">
        <f>INDEX(Data!$A$2:$G$100,MATCH($B35,Data!$A$2:$A$100,0),4)</f>
        <v>6</v>
      </c>
      <c r="K35" s="73"/>
      <c r="L35" s="73"/>
      <c r="M35" s="94">
        <f>INDEX(Data!$A$2:$G$100,MATCH($B35,Data!$A$2:$A$100,0),5)</f>
        <v>1.36</v>
      </c>
      <c r="N35" s="75"/>
      <c r="O35" s="95">
        <f>INDEX(Data!$A$2:$G$100,MATCH($B35,Data!$A$2:$A$100,0),6)</f>
        <v>0.21</v>
      </c>
      <c r="P35" s="95"/>
      <c r="Q35" s="95">
        <f>INDEX(Data!$A$2:$G$100,MATCH($B35,Data!$A$2:$A$100,0),7)</f>
        <v>0.22500000000000001</v>
      </c>
      <c r="R35" s="15"/>
    </row>
    <row customFormat="1" customHeight="1" ht="12" r="36" s="7" spans="2:18" x14ac:dyDescent="0.2">
      <c r="B36" s="71">
        <f>LARGE(Data!$A$2:$A$100,9)</f>
        <v>2010</v>
      </c>
      <c r="C36" s="72"/>
      <c r="D36" s="73" t="str">
        <f>INDEX(Data!$A$2:$G$100,MATCH($B36,Data!$A$2:$A$100,0),2)</f>
        <v>0.36-8.98</v>
      </c>
      <c r="E36" s="72"/>
      <c r="F36" s="72"/>
      <c r="G36" s="73" t="str">
        <f>INDEX(Data!$A$2:$G$100,MATCH($B36,Data!$A$2:$A$100,0),3)</f>
        <v>6.0-12.0</v>
      </c>
      <c r="H36" s="72"/>
      <c r="I36" s="72"/>
      <c r="J36" s="74">
        <f>INDEX(Data!$A$2:$G$100,MATCH($B36,Data!$A$2:$A$100,0),4)</f>
        <v>6</v>
      </c>
      <c r="K36" s="73"/>
      <c r="L36" s="73"/>
      <c r="M36" s="94">
        <f>INDEX(Data!$A$2:$G$100,MATCH($B36,Data!$A$2:$A$100,0),5)</f>
        <v>1.36</v>
      </c>
      <c r="N36" s="75"/>
      <c r="O36" s="95">
        <f>INDEX(Data!$A$2:$G$100,MATCH($B36,Data!$A$2:$A$100,0),6)</f>
        <v>0.21</v>
      </c>
      <c r="P36" s="95"/>
      <c r="Q36" s="95">
        <f>INDEX(Data!$A$2:$G$100,MATCH($B36,Data!$A$2:$A$100,0),7)</f>
        <v>0.22500000000000001</v>
      </c>
      <c r="R36" s="15"/>
    </row>
    <row customFormat="1" customHeight="1" ht="12" r="37" s="7" spans="2:18" x14ac:dyDescent="0.2">
      <c r="B37" s="78">
        <f>LARGE(Data!$A$2:$A$100,8)</f>
        <v>2011</v>
      </c>
      <c r="C37" s="79"/>
      <c r="D37" s="80" t="str">
        <f>INDEX(Data!$A$2:$G$100,MATCH($B37,Data!$A$2:$A$100,0),2)</f>
        <v>0.36-8.98</v>
      </c>
      <c r="E37" s="79"/>
      <c r="F37" s="79"/>
      <c r="G37" s="80" t="str">
        <f>INDEX(Data!$A$2:$G$100,MATCH($B37,Data!$A$2:$A$100,0),3)</f>
        <v>6.0-12.0</v>
      </c>
      <c r="H37" s="79"/>
      <c r="I37" s="79"/>
      <c r="J37" s="81">
        <f>INDEX(Data!$A$2:$G$100,MATCH($B37,Data!$A$2:$A$100,0),4)</f>
        <v>6</v>
      </c>
      <c r="K37" s="80"/>
      <c r="L37" s="80"/>
      <c r="M37" s="94">
        <f>INDEX(Data!$A$2:$G$100,MATCH($B37,Data!$A$2:$A$100,0),5)</f>
        <v>1.36</v>
      </c>
      <c r="N37" s="82"/>
      <c r="O37" s="95">
        <f>INDEX(Data!$A$2:$G$100,MATCH($B37,Data!$A$2:$A$100,0),6)</f>
        <v>0.21</v>
      </c>
      <c r="P37" s="95"/>
      <c r="Q37" s="95">
        <f>INDEX(Data!$A$2:$G$100,MATCH($B37,Data!$A$2:$A$100,0),7)</f>
        <v>0.22500000000000001</v>
      </c>
      <c r="R37" s="15"/>
    </row>
    <row customFormat="1" customHeight="1" ht="12" r="38" s="7" spans="2:18" x14ac:dyDescent="0.2">
      <c r="B38" s="71">
        <f>LARGE(Data!$A$2:$A$100,7)</f>
        <v>2012</v>
      </c>
      <c r="C38" s="72"/>
      <c r="D38" s="73" t="str">
        <f>INDEX(Data!$A$2:$G$100,MATCH($B38,Data!$A$2:$A$100,0),2)</f>
        <v>0.36-8.98</v>
      </c>
      <c r="E38" s="72"/>
      <c r="F38" s="72"/>
      <c r="G38" s="73" t="str">
        <f>INDEX(Data!$A$2:$G$100,MATCH($B38,Data!$A$2:$A$100,0),3)</f>
        <v>6.0-12.0</v>
      </c>
      <c r="H38" s="72"/>
      <c r="I38" s="72"/>
      <c r="J38" s="74">
        <f>INDEX(Data!$A$2:$G$100,MATCH($B38,Data!$A$2:$A$100,0),4)</f>
        <v>6</v>
      </c>
      <c r="K38" s="73"/>
      <c r="L38" s="73"/>
      <c r="M38" s="94">
        <f>INDEX(Data!$A$2:$G$100,MATCH($B38,Data!$A$2:$A$100,0),5)</f>
        <v>1.36</v>
      </c>
      <c r="N38" s="75"/>
      <c r="O38" s="95">
        <f>INDEX(Data!$A$2:$G$100,MATCH($B38,Data!$A$2:$A$100,0),6)</f>
        <v>0.21</v>
      </c>
      <c r="P38" s="95"/>
      <c r="Q38" s="95">
        <f>INDEX(Data!$A$2:$G$100,MATCH($B38,Data!$A$2:$A$100,0),7)</f>
        <v>0.22500000000000001</v>
      </c>
      <c r="R38" s="15"/>
    </row>
    <row customFormat="1" customHeight="1" ht="12" r="39" s="7" spans="2:18" x14ac:dyDescent="0.2">
      <c r="B39" s="71">
        <f>LARGE(Data!$A$2:$A$100,6)</f>
        <v>2013</v>
      </c>
      <c r="C39" s="72"/>
      <c r="D39" s="73" t="str">
        <f>INDEX(Data!$A$2:$G$100,MATCH($B39,Data!$A$2:$A$100,0),2)</f>
        <v>0.36-8.98</v>
      </c>
      <c r="E39" s="72"/>
      <c r="F39" s="72"/>
      <c r="G39" s="73" t="str">
        <f>INDEX(Data!$A$2:$G$100,MATCH($B39,Data!$A$2:$A$100,0),3)</f>
        <v>6.0-12.0</v>
      </c>
      <c r="H39" s="72"/>
      <c r="I39" s="72"/>
      <c r="J39" s="74">
        <f>INDEX(Data!$A$2:$G$100,MATCH($B39,Data!$A$2:$A$100,0),4)</f>
        <v>6</v>
      </c>
      <c r="K39" s="73"/>
      <c r="L39" s="73"/>
      <c r="M39" s="94">
        <f>INDEX(Data!$A$2:$G$100,MATCH($B39,Data!$A$2:$A$100,0),5)</f>
        <v>1.36</v>
      </c>
      <c r="N39" s="75"/>
      <c r="O39" s="95">
        <f>INDEX(Data!$A$2:$G$100,MATCH($B39,Data!$A$2:$A$100,0),6)</f>
        <v>0.21</v>
      </c>
      <c r="P39" s="95"/>
      <c r="Q39" s="95">
        <f>INDEX(Data!$A$2:$G$100,MATCH($B39,Data!$A$2:$A$100,0),7)</f>
        <v>0.22500000000000001</v>
      </c>
      <c r="R39" s="15"/>
    </row>
    <row customFormat="1" customHeight="1" ht="12" r="40" s="7" spans="2:18" x14ac:dyDescent="0.2">
      <c r="B40" s="78">
        <f>LARGE(Data!$A$2:$A$100,5)</f>
        <v>2014</v>
      </c>
      <c r="C40" s="79"/>
      <c r="D40" s="80" t="str">
        <f>INDEX(Data!$A$2:$G$100,MATCH($B40,Data!$A$2:$A$100,0),2)</f>
        <v>0.36-8.98</v>
      </c>
      <c r="E40" s="79"/>
      <c r="F40" s="79"/>
      <c r="G40" s="80" t="str">
        <f>INDEX(Data!$A$2:$G$100,MATCH($B40,Data!$A$2:$A$100,0),3)</f>
        <v>6.0-12.0</v>
      </c>
      <c r="H40" s="79"/>
      <c r="I40" s="79"/>
      <c r="J40" s="81">
        <f>INDEX(Data!$A$2:$G$100,MATCH($B40,Data!$A$2:$A$100,0),4)</f>
        <v>6</v>
      </c>
      <c r="K40" s="80"/>
      <c r="L40" s="80"/>
      <c r="M40" s="94">
        <f>INDEX(Data!$A$2:$G$100,MATCH($B40,Data!$A$2:$A$100,0),5)</f>
        <v>1.36</v>
      </c>
      <c r="N40" s="82"/>
      <c r="O40" s="95">
        <f>INDEX(Data!$A$2:$G$100,MATCH($B40,Data!$A$2:$A$100,0),6)</f>
        <v>0.21</v>
      </c>
      <c r="P40" s="95"/>
      <c r="Q40" s="95">
        <f>INDEX(Data!$A$2:$G$100,MATCH($B40,Data!$A$2:$A$100,0),7)</f>
        <v>0.22500000000000001</v>
      </c>
      <c r="R40" s="15"/>
    </row>
    <row customFormat="1" customHeight="1" ht="12" r="41" s="7" spans="2:18" x14ac:dyDescent="0.2">
      <c r="B41" s="71">
        <f>LARGE(Data!$A$2:$A$100,4)</f>
        <v>2015</v>
      </c>
      <c r="C41" s="88"/>
      <c r="D41" s="73" t="str">
        <f>INDEX(Data!$A$2:$G$100,MATCH($B41,Data!$A$2:$A$100,0),2)</f>
        <v>0.36-8.98</v>
      </c>
      <c r="E41" s="88"/>
      <c r="F41" s="88"/>
      <c r="G41" s="73" t="str">
        <f>INDEX(Data!$A$2:$G$100,MATCH($B41,Data!$A$2:$A$100,0),3)</f>
        <v>6.0-12.0</v>
      </c>
      <c r="H41" s="88"/>
      <c r="I41" s="88"/>
      <c r="J41" s="74">
        <f>INDEX(Data!$A$2:$G$100,MATCH($B41,Data!$A$2:$A$100,0),4)</f>
        <v>6</v>
      </c>
      <c r="K41" s="89"/>
      <c r="L41" s="89"/>
      <c r="M41" s="94">
        <f>INDEX(Data!$A$2:$G$100,MATCH($B41,Data!$A$2:$A$100,0),5)</f>
        <v>1.36</v>
      </c>
      <c r="N41" s="90"/>
      <c r="O41" s="95">
        <f>INDEX(Data!$A$2:$G$100,MATCH($B41,Data!$A$2:$A$100,0),6)</f>
        <v>0.31</v>
      </c>
      <c r="P41" s="95"/>
      <c r="Q41" s="95">
        <f>INDEX(Data!$A$2:$G$100,MATCH($B41,Data!$A$2:$A$100,0),7)</f>
        <v>0.32500000000000001</v>
      </c>
      <c r="R41" s="15"/>
    </row>
    <row customFormat="1" customHeight="1" ht="12" r="42" s="7" spans="2:18" x14ac:dyDescent="0.2">
      <c r="B42" s="71">
        <f>LARGE(Data!$A$2:$A$100,3)</f>
        <v>2016</v>
      </c>
      <c r="C42" s="88"/>
      <c r="D42" s="73" t="str">
        <f>INDEX(Data!$A$2:$G$100,MATCH($B42,Data!$A$2:$A$100,0),2)</f>
        <v>0.36-8.98</v>
      </c>
      <c r="E42" s="88"/>
      <c r="F42" s="88"/>
      <c r="G42" s="73" t="str">
        <f>INDEX(Data!$A$2:$G$100,MATCH($B42,Data!$A$2:$A$100,0),3)</f>
        <v>6.0-12.0</v>
      </c>
      <c r="H42" s="88"/>
      <c r="I42" s="88"/>
      <c r="J42" s="74">
        <f>INDEX(Data!$A$2:$G$100,MATCH($B42,Data!$A$2:$A$100,0),4)</f>
        <v>6</v>
      </c>
      <c r="K42" s="89"/>
      <c r="L42" s="89"/>
      <c r="M42" s="94">
        <f>INDEX(Data!$A$2:$G$100,MATCH($B42,Data!$A$2:$A$100,0),5)</f>
        <v>1.36</v>
      </c>
      <c r="N42" s="90"/>
      <c r="O42" s="95">
        <f>INDEX(Data!$A$2:$G$100,MATCH($B42,Data!$A$2:$A$100,0),6)</f>
        <v>0.307</v>
      </c>
      <c r="P42" s="95"/>
      <c r="Q42" s="95">
        <f>INDEX(Data!$A$2:$G$100,MATCH($B42,Data!$A$2:$A$100,0),7)</f>
        <v>0.32500000000000001</v>
      </c>
      <c r="R42" s="15"/>
    </row>
    <row customFormat="1" customHeight="1" ht="12" r="43" s="7" spans="2:18" x14ac:dyDescent="0.2">
      <c r="B43" s="78">
        <f>LARGE(Data!$A$2:$A$100,2)</f>
        <v>2017</v>
      </c>
      <c r="C43" s="79"/>
      <c r="D43" s="80" t="str">
        <f>INDEX(Data!$A$2:$G$100,MATCH($B43,Data!$A$2:$A$100,0),2)</f>
        <v>0.36-8.98</v>
      </c>
      <c r="E43" s="79"/>
      <c r="F43" s="79"/>
      <c r="G43" s="80" t="str">
        <f>INDEX(Data!$A$2:$G$100,MATCH($B43,Data!$A$2:$A$100,0),3)</f>
        <v>6.0-12.0</v>
      </c>
      <c r="H43" s="79"/>
      <c r="I43" s="79"/>
      <c r="J43" s="81">
        <f>INDEX(Data!$A$2:$G$100,MATCH($B43,Data!$A$2:$A$100,0),4)</f>
        <v>6</v>
      </c>
      <c r="K43" s="80"/>
      <c r="L43" s="80"/>
      <c r="M43" s="94">
        <f>INDEX(Data!$A$2:$G$100,MATCH($B43,Data!$A$2:$A$100,0),5)</f>
        <v>1.36</v>
      </c>
      <c r="N43" s="82"/>
      <c r="O43" s="95">
        <f>INDEX(Data!$A$2:$G$100,MATCH($B43,Data!$A$2:$A$100,0),6)</f>
        <v>0.30499999999999999</v>
      </c>
      <c r="P43" s="95"/>
      <c r="Q43" s="95">
        <f>INDEX(Data!$A$2:$G$100,MATCH($B43,Data!$A$2:$A$100,0),7)</f>
        <v>0.32500000000000001</v>
      </c>
      <c r="R43" s="15"/>
    </row>
    <row customFormat="1" customHeight="1" ht="12" r="44" s="7" spans="2:18" x14ac:dyDescent="0.2">
      <c r="B44" s="71">
        <f>LARGE(Data!$A$2:$A$100,1)</f>
        <v>2018</v>
      </c>
      <c r="C44" s="72"/>
      <c r="D44" s="73" t="str">
        <f>INDEX(Data!$A$2:$G$100,MATCH($B44,Data!$A$2:$A$100,0),2)</f>
        <v>0.36-8.98</v>
      </c>
      <c r="E44" s="72"/>
      <c r="F44" s="72"/>
      <c r="G44" s="73" t="str">
        <f>INDEX(Data!$A$2:$G$100,MATCH($B44,Data!$A$2:$A$100,0),3)</f>
        <v>6.0-12.0</v>
      </c>
      <c r="H44" s="72"/>
      <c r="I44" s="72"/>
      <c r="J44" s="74">
        <f>INDEX(Data!$A$2:$G$100,MATCH($B44,Data!$A$2:$A$100,0),4)</f>
        <v>6</v>
      </c>
      <c r="K44" s="73"/>
      <c r="L44" s="73"/>
      <c r="M44" s="94">
        <f>INDEX(Data!$A$2:$G$100,MATCH($B44,Data!$A$2:$A$100,0),5)</f>
        <v>1.36</v>
      </c>
      <c r="N44" s="75"/>
      <c r="O44" s="95">
        <f>INDEX(Data!$A$2:$G$100,MATCH($B44,Data!$A$2:$A$100,0),6)</f>
        <v>0.307</v>
      </c>
      <c r="P44" s="95"/>
      <c r="Q44" s="95">
        <f>INDEX(Data!$A$2:$G$100,MATCH($B44,Data!$A$2:$A$100,0),7)</f>
        <v>0.32500000000000001</v>
      </c>
      <c r="R44" s="15"/>
    </row>
    <row customFormat="1" customHeight="1" ht="8.4499999999999993" r="45" s="7" spans="2:18" x14ac:dyDescent="0.2">
      <c r="B45" s="14"/>
      <c r="C45" s="15"/>
      <c r="D45" s="43"/>
      <c r="E45" s="15"/>
      <c r="F45" s="15"/>
      <c r="G45" s="40"/>
      <c r="H45" s="15"/>
      <c r="I45" s="15"/>
      <c r="J45" s="18"/>
      <c r="K45" s="16"/>
      <c r="L45" s="16"/>
      <c r="M45" s="17"/>
      <c r="N45" s="17"/>
      <c r="O45" s="19"/>
      <c r="P45" s="19"/>
      <c r="Q45" s="19"/>
      <c r="R45" s="15"/>
    </row>
    <row customFormat="1" customHeight="1" ht="11.45" r="46" s="7" spans="2:18" x14ac:dyDescent="0.2">
      <c r="B46" s="51" t="s">
        <v>43</v>
      </c>
      <c r="C46" s="15"/>
      <c r="D46" s="16"/>
      <c r="E46" s="15"/>
      <c r="F46" s="15"/>
      <c r="G46" s="13"/>
      <c r="H46" s="15"/>
      <c r="I46" s="15"/>
      <c r="J46" s="18"/>
      <c r="K46" s="16"/>
      <c r="L46" s="16"/>
      <c r="M46" s="17"/>
      <c r="N46" s="17"/>
      <c r="O46" s="19"/>
      <c r="P46" s="19"/>
      <c r="Q46" s="19"/>
      <c r="R46" s="15"/>
    </row>
    <row customFormat="1" customHeight="1" ht="12" r="47" s="7" spans="2:18" x14ac:dyDescent="0.2">
      <c r="B47" s="99" t="s">
        <v>44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5"/>
    </row>
    <row customFormat="1" customHeight="1" ht="24" r="48" s="7" spans="2:18" x14ac:dyDescent="0.2">
      <c r="B48" s="98" t="s">
        <v>45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15"/>
    </row>
    <row customFormat="1" customHeight="1" ht="3" r="49" s="7" spans="1:18" x14ac:dyDescent="0.2">
      <c r="B49" s="21"/>
      <c r="C49" s="15"/>
      <c r="D49" s="16"/>
      <c r="E49" s="15"/>
      <c r="F49" s="15"/>
      <c r="G49" s="13"/>
      <c r="H49" s="15"/>
      <c r="I49" s="15"/>
      <c r="J49" s="18"/>
      <c r="K49" s="16"/>
      <c r="L49" s="16"/>
      <c r="M49" s="17"/>
      <c r="N49" s="17"/>
      <c r="O49" s="19"/>
      <c r="P49" s="19"/>
      <c r="Q49" s="19"/>
      <c r="R49" s="15"/>
    </row>
    <row customFormat="1" customHeight="1" ht="12" r="50" s="7" spans="1:18" x14ac:dyDescent="0.2">
      <c r="B50" s="99" t="s">
        <v>38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5"/>
    </row>
    <row customFormat="1" customHeight="1" ht="3" r="51" s="7" spans="1:18" x14ac:dyDescent="0.2">
      <c r="B51" s="21"/>
      <c r="C51" s="15"/>
      <c r="D51" s="16"/>
      <c r="E51" s="15"/>
      <c r="F51" s="15"/>
      <c r="G51" s="13"/>
      <c r="H51" s="15"/>
      <c r="I51" s="15"/>
      <c r="J51" s="18"/>
      <c r="K51" s="16"/>
      <c r="L51" s="16"/>
      <c r="M51" s="17"/>
      <c r="N51" s="17"/>
      <c r="O51" s="19"/>
      <c r="P51" s="19"/>
      <c r="Q51" s="19"/>
      <c r="R51" s="15"/>
    </row>
    <row customFormat="1" customHeight="1" ht="12" r="52" s="7" spans="1:18" x14ac:dyDescent="0.2">
      <c r="B52" s="54" t="s">
        <v>21</v>
      </c>
      <c r="C52" s="15"/>
      <c r="D52" s="16"/>
      <c r="E52" s="15"/>
      <c r="F52" s="15"/>
      <c r="G52" s="13"/>
      <c r="H52" s="15"/>
      <c r="I52" s="15"/>
      <c r="J52" s="18"/>
      <c r="K52" s="16"/>
      <c r="L52" s="16"/>
      <c r="M52" s="17"/>
      <c r="N52" s="17"/>
      <c r="O52" s="19"/>
      <c r="P52" s="19"/>
      <c r="Q52" s="19"/>
      <c r="R52" s="15"/>
    </row>
    <row customFormat="1" r="53" s="7" spans="1:18" x14ac:dyDescent="0.2">
      <c r="B53" s="9"/>
      <c r="J53" s="11"/>
      <c r="K53" s="8"/>
      <c r="L53" s="8"/>
      <c r="M53" s="11"/>
      <c r="N53" s="8"/>
      <c r="O53" s="10"/>
      <c r="P53" s="10"/>
      <c r="Q53" s="12"/>
      <c r="R53" s="15"/>
    </row>
    <row customFormat="1" r="54" s="7" spans="1:18" x14ac:dyDescent="0.2">
      <c r="A54" s="4"/>
      <c r="B54" s="47"/>
      <c r="C54" s="4"/>
      <c r="D54" s="4"/>
      <c r="E54" s="4"/>
      <c r="F54" s="4"/>
      <c r="G54" s="4"/>
      <c r="H54" s="4"/>
      <c r="I54" s="4"/>
      <c r="J54" s="48"/>
      <c r="K54" s="49"/>
      <c r="L54" s="49"/>
      <c r="M54" s="48"/>
      <c r="N54" s="49"/>
      <c r="O54" s="50"/>
      <c r="P54" s="50"/>
      <c r="Q54" s="4"/>
      <c r="R54" s="4"/>
    </row>
    <row customFormat="1" r="55" s="7" spans="1:18" x14ac:dyDescent="0.2">
      <c r="B55" s="9"/>
      <c r="C55" s="15"/>
      <c r="D55" s="15"/>
      <c r="E55" s="15"/>
      <c r="F55" s="15"/>
      <c r="G55" s="15"/>
      <c r="H55" s="15"/>
      <c r="I55" s="15"/>
      <c r="J55" s="18"/>
      <c r="K55" s="16"/>
      <c r="L55" s="16"/>
      <c r="M55" s="18"/>
      <c r="N55" s="16"/>
      <c r="O55" s="19"/>
      <c r="P55" s="19"/>
      <c r="Q55" s="15"/>
    </row>
    <row customFormat="1" r="56" s="7" spans="1:18" x14ac:dyDescent="0.2">
      <c r="B56" s="9"/>
      <c r="J56" s="11"/>
      <c r="K56" s="8"/>
      <c r="L56" s="8"/>
      <c r="M56" s="11"/>
      <c r="N56" s="8"/>
      <c r="O56" s="10"/>
      <c r="P56" s="10"/>
      <c r="Q56" s="15"/>
    </row>
    <row customFormat="1" r="57" s="7" spans="1:18" x14ac:dyDescent="0.2">
      <c r="J57" s="11"/>
      <c r="K57" s="8"/>
      <c r="L57" s="8"/>
      <c r="M57" s="11"/>
      <c r="N57" s="8"/>
      <c r="O57" s="10"/>
      <c r="P57" s="10"/>
    </row>
    <row customFormat="1" r="58" s="7" spans="1:18" x14ac:dyDescent="0.2">
      <c r="J58" s="20"/>
      <c r="M58" s="20"/>
      <c r="O58" s="20"/>
    </row>
    <row customFormat="1" r="59" s="7" spans="1:18" x14ac:dyDescent="0.2">
      <c r="B59" s="21"/>
      <c r="C59" s="15" t="s">
        <v>6</v>
      </c>
      <c r="D59" s="15"/>
      <c r="E59" s="15"/>
      <c r="F59" s="15"/>
      <c r="G59" s="15"/>
      <c r="H59" s="15"/>
      <c r="I59" s="15"/>
      <c r="J59" s="22"/>
      <c r="K59" s="15"/>
      <c r="L59" s="15"/>
      <c r="M59" s="22"/>
      <c r="N59" s="15"/>
      <c r="O59" s="22"/>
      <c r="P59" s="15"/>
    </row>
    <row customFormat="1" r="60" s="7" spans="1:18" x14ac:dyDescent="0.2">
      <c r="B60" s="9"/>
      <c r="J60" s="20"/>
      <c r="M60" s="20"/>
      <c r="O60" s="20"/>
    </row>
    <row customFormat="1" r="61" s="7" spans="1:18" x14ac:dyDescent="0.2">
      <c r="B61" s="9"/>
      <c r="J61" s="20"/>
      <c r="M61" s="20"/>
      <c r="O61" s="20"/>
    </row>
    <row customFormat="1" r="62" s="7" spans="1:18" x14ac:dyDescent="0.2">
      <c r="J62" s="20"/>
      <c r="M62" s="20"/>
      <c r="O62" s="20"/>
    </row>
    <row customFormat="1" r="63" s="7" spans="1:18" x14ac:dyDescent="0.2">
      <c r="B63" s="9"/>
      <c r="J63" s="20"/>
      <c r="M63" s="20"/>
      <c r="O63" s="20"/>
    </row>
    <row customFormat="1" r="64" s="7" spans="1:18" x14ac:dyDescent="0.2">
      <c r="J64" s="20"/>
      <c r="M64" s="20"/>
      <c r="O64" s="20"/>
    </row>
    <row customFormat="1" r="65" s="7" spans="10:15" x14ac:dyDescent="0.2">
      <c r="J65" s="20"/>
      <c r="M65" s="20"/>
      <c r="O65" s="20"/>
    </row>
    <row customFormat="1" r="66" s="7" spans="10:15" x14ac:dyDescent="0.2">
      <c r="J66" s="20"/>
      <c r="M66" s="20"/>
      <c r="O66" s="20"/>
    </row>
    <row customFormat="1" r="67" s="7" spans="10:15" x14ac:dyDescent="0.2">
      <c r="J67" s="20"/>
      <c r="M67" s="20"/>
      <c r="O67" s="20"/>
    </row>
    <row customFormat="1" r="68" s="7" spans="10:15" x14ac:dyDescent="0.2">
      <c r="J68" s="20"/>
      <c r="M68" s="20"/>
      <c r="O68" s="20"/>
    </row>
    <row customFormat="1" r="69" s="7" spans="10:15" x14ac:dyDescent="0.2">
      <c r="J69" s="20"/>
      <c r="M69" s="20"/>
      <c r="O69" s="20"/>
    </row>
    <row customFormat="1" r="70" s="7" spans="10:15" x14ac:dyDescent="0.2">
      <c r="J70" s="20"/>
      <c r="M70" s="20"/>
      <c r="O70" s="20"/>
    </row>
    <row customFormat="1" r="71" s="7" spans="10:15" x14ac:dyDescent="0.2">
      <c r="J71" s="20"/>
      <c r="M71" s="20"/>
      <c r="O71" s="20"/>
    </row>
    <row customFormat="1" r="72" s="7" spans="10:15" x14ac:dyDescent="0.2">
      <c r="J72" s="20"/>
      <c r="M72" s="20"/>
      <c r="O72" s="20"/>
    </row>
    <row customFormat="1" r="73" s="7" spans="10:15" x14ac:dyDescent="0.2">
      <c r="J73" s="20"/>
      <c r="M73" s="20"/>
      <c r="O73" s="20"/>
    </row>
    <row customFormat="1" r="74" s="7" spans="10:15" x14ac:dyDescent="0.2">
      <c r="J74" s="20"/>
      <c r="M74" s="20"/>
      <c r="O74" s="20"/>
    </row>
    <row customFormat="1" r="75" s="7" spans="10:15" x14ac:dyDescent="0.2">
      <c r="J75" s="20"/>
      <c r="M75" s="20"/>
      <c r="O75" s="20"/>
    </row>
    <row customFormat="1" r="76" s="7" spans="10:15" x14ac:dyDescent="0.2">
      <c r="J76" s="20"/>
      <c r="M76" s="20"/>
      <c r="O76" s="20"/>
    </row>
    <row customFormat="1" r="77" s="7" spans="10:15" x14ac:dyDescent="0.2">
      <c r="J77" s="20"/>
      <c r="M77" s="20"/>
      <c r="O77" s="20"/>
    </row>
    <row customFormat="1" r="78" s="7" spans="10:15" x14ac:dyDescent="0.2">
      <c r="J78" s="20"/>
      <c r="M78" s="20"/>
      <c r="O78" s="20"/>
    </row>
    <row customFormat="1" r="79" s="7" spans="10:15" x14ac:dyDescent="0.2">
      <c r="J79" s="20"/>
      <c r="M79" s="20"/>
      <c r="O79" s="20"/>
    </row>
    <row customFormat="1" r="80" s="7" spans="10:15" x14ac:dyDescent="0.2">
      <c r="J80" s="20"/>
      <c r="M80" s="20"/>
      <c r="O80" s="20"/>
    </row>
    <row customFormat="1" r="81" s="7" spans="10:15" x14ac:dyDescent="0.2">
      <c r="J81" s="20"/>
      <c r="M81" s="20"/>
      <c r="O81" s="20"/>
    </row>
    <row customFormat="1" r="82" s="7" spans="10:15" x14ac:dyDescent="0.2">
      <c r="J82" s="20"/>
      <c r="M82" s="20"/>
      <c r="O82" s="20"/>
    </row>
    <row customFormat="1" r="83" s="7" spans="10:15" x14ac:dyDescent="0.2">
      <c r="J83" s="20"/>
      <c r="M83" s="20"/>
      <c r="O83" s="20"/>
    </row>
    <row customFormat="1" r="84" s="7" spans="10:15" x14ac:dyDescent="0.2">
      <c r="J84" s="20"/>
      <c r="M84" s="20"/>
      <c r="O84" s="20"/>
    </row>
    <row customFormat="1" r="85" s="7" spans="10:15" x14ac:dyDescent="0.2">
      <c r="J85" s="20"/>
      <c r="M85" s="20"/>
      <c r="O85" s="20"/>
    </row>
    <row customFormat="1" r="86" s="7" spans="10:15" x14ac:dyDescent="0.2">
      <c r="J86" s="20"/>
      <c r="M86" s="20"/>
      <c r="O86" s="20"/>
    </row>
    <row customFormat="1" r="87" s="7" spans="10:15" x14ac:dyDescent="0.2">
      <c r="J87" s="20"/>
      <c r="M87" s="20"/>
      <c r="O87" s="20"/>
    </row>
    <row customFormat="1" r="88" s="7" spans="10:15" x14ac:dyDescent="0.2">
      <c r="J88" s="20"/>
      <c r="M88" s="20"/>
      <c r="O88" s="20"/>
    </row>
    <row customFormat="1" r="89" s="7" spans="10:15" x14ac:dyDescent="0.2">
      <c r="J89" s="20"/>
      <c r="M89" s="20"/>
      <c r="O89" s="20"/>
    </row>
    <row customFormat="1" r="90" s="7" spans="10:15" x14ac:dyDescent="0.2">
      <c r="J90" s="20"/>
      <c r="M90" s="20"/>
      <c r="O90" s="20"/>
    </row>
    <row customFormat="1" r="91" s="7" spans="10:15" x14ac:dyDescent="0.2">
      <c r="J91" s="20"/>
      <c r="M91" s="20"/>
      <c r="O91" s="20"/>
    </row>
    <row customFormat="1" r="92" s="7" spans="10:15" x14ac:dyDescent="0.2">
      <c r="J92" s="20"/>
      <c r="M92" s="20"/>
      <c r="O92" s="20"/>
    </row>
    <row customFormat="1" r="93" s="7" spans="10:15" x14ac:dyDescent="0.2">
      <c r="J93" s="20"/>
      <c r="M93" s="20"/>
      <c r="O93" s="20"/>
    </row>
    <row customFormat="1" r="94" s="7" spans="10:15" x14ac:dyDescent="0.2">
      <c r="J94" s="20"/>
      <c r="M94" s="20"/>
      <c r="O94" s="20"/>
    </row>
    <row customFormat="1" r="95" s="7" spans="10:15" x14ac:dyDescent="0.2">
      <c r="J95" s="20"/>
      <c r="M95" s="20"/>
      <c r="O95" s="20"/>
    </row>
    <row customFormat="1" r="96" s="7" spans="10:15" x14ac:dyDescent="0.2">
      <c r="J96" s="20"/>
      <c r="M96" s="20"/>
      <c r="O96" s="20"/>
    </row>
    <row customFormat="1" r="97" s="7" spans="10:15" x14ac:dyDescent="0.2">
      <c r="J97" s="20"/>
      <c r="M97" s="20"/>
      <c r="O97" s="20"/>
    </row>
    <row customFormat="1" r="98" s="7" spans="10:15" x14ac:dyDescent="0.2">
      <c r="J98" s="20"/>
      <c r="M98" s="20"/>
      <c r="O98" s="20"/>
    </row>
    <row customFormat="1" r="99" s="7" spans="10:15" x14ac:dyDescent="0.2">
      <c r="J99" s="20"/>
      <c r="M99" s="20"/>
      <c r="O99" s="20"/>
    </row>
    <row customFormat="1" r="100" s="7" spans="10:15" x14ac:dyDescent="0.2">
      <c r="J100" s="20"/>
      <c r="M100" s="20"/>
      <c r="O100" s="20"/>
    </row>
    <row customFormat="1" r="101" s="7" spans="10:15" x14ac:dyDescent="0.2">
      <c r="J101" s="20"/>
      <c r="M101" s="20"/>
      <c r="O101" s="20"/>
    </row>
    <row customFormat="1" r="102" s="7" spans="10:15" x14ac:dyDescent="0.2">
      <c r="J102" s="20"/>
      <c r="M102" s="20"/>
      <c r="O102" s="20"/>
    </row>
    <row customFormat="1" r="103" s="7" spans="10:15" x14ac:dyDescent="0.2">
      <c r="J103" s="20"/>
      <c r="M103" s="20"/>
      <c r="O103" s="20"/>
    </row>
    <row customFormat="1" r="104" s="7" spans="10:15" x14ac:dyDescent="0.2">
      <c r="J104" s="20"/>
      <c r="M104" s="20"/>
      <c r="O104" s="20"/>
    </row>
    <row customFormat="1" r="105" s="7" spans="10:15" x14ac:dyDescent="0.2">
      <c r="J105" s="20"/>
      <c r="M105" s="20"/>
      <c r="O105" s="20"/>
    </row>
    <row customFormat="1" r="106" s="7" spans="10:15" x14ac:dyDescent="0.2">
      <c r="J106" s="20"/>
      <c r="M106" s="20"/>
      <c r="O106" s="20"/>
    </row>
    <row customFormat="1" r="107" s="7" spans="10:15" x14ac:dyDescent="0.2">
      <c r="J107" s="20"/>
      <c r="M107" s="20"/>
      <c r="O107" s="20"/>
    </row>
    <row customFormat="1" r="108" s="7" spans="10:15" x14ac:dyDescent="0.2">
      <c r="J108" s="20"/>
      <c r="M108" s="20"/>
      <c r="O108" s="20"/>
    </row>
    <row customFormat="1" r="109" s="7" spans="10:15" x14ac:dyDescent="0.2">
      <c r="J109" s="20"/>
      <c r="M109" s="20"/>
      <c r="O109" s="20"/>
    </row>
    <row customFormat="1" r="110" s="7" spans="10:15" x14ac:dyDescent="0.2">
      <c r="J110" s="20"/>
      <c r="M110" s="20"/>
      <c r="O110" s="20"/>
    </row>
    <row customFormat="1" r="111" s="7" spans="10:15" x14ac:dyDescent="0.2">
      <c r="J111" s="20"/>
      <c r="M111" s="20"/>
      <c r="O111" s="20"/>
    </row>
    <row customFormat="1" r="112" s="7" spans="10:15" x14ac:dyDescent="0.2">
      <c r="J112" s="20"/>
      <c r="M112" s="20"/>
      <c r="O112" s="20"/>
    </row>
    <row customFormat="1" r="113" s="7" spans="10:15" x14ac:dyDescent="0.2">
      <c r="J113" s="20"/>
      <c r="M113" s="20"/>
      <c r="O113" s="20"/>
    </row>
    <row customFormat="1" r="114" s="7" spans="10:15" x14ac:dyDescent="0.2">
      <c r="J114" s="20"/>
      <c r="M114" s="20"/>
      <c r="O114" s="20"/>
    </row>
    <row customFormat="1" r="115" s="7" spans="10:15" x14ac:dyDescent="0.2">
      <c r="J115" s="20"/>
      <c r="M115" s="20"/>
      <c r="O115" s="20"/>
    </row>
    <row customFormat="1" r="116" s="7" spans="10:15" x14ac:dyDescent="0.2">
      <c r="J116" s="20"/>
      <c r="M116" s="20"/>
      <c r="O116" s="20"/>
    </row>
    <row customFormat="1" r="117" s="7" spans="10:15" x14ac:dyDescent="0.2">
      <c r="J117" s="20"/>
      <c r="M117" s="20"/>
      <c r="O117" s="20"/>
    </row>
    <row customFormat="1" r="118" s="7" spans="10:15" x14ac:dyDescent="0.2">
      <c r="J118" s="20"/>
      <c r="M118" s="20"/>
      <c r="O118" s="20"/>
    </row>
    <row customFormat="1" r="119" s="7" spans="10:15" x14ac:dyDescent="0.2">
      <c r="J119" s="20"/>
      <c r="M119" s="20"/>
      <c r="O119" s="20"/>
    </row>
    <row customFormat="1" r="120" s="7" spans="10:15" x14ac:dyDescent="0.2">
      <c r="J120" s="20"/>
      <c r="M120" s="20"/>
      <c r="O120" s="20"/>
    </row>
    <row customFormat="1" r="121" s="7" spans="10:15" x14ac:dyDescent="0.2">
      <c r="J121" s="20"/>
      <c r="M121" s="20"/>
      <c r="O121" s="20"/>
    </row>
    <row customFormat="1" r="122" s="7" spans="10:15" x14ac:dyDescent="0.2">
      <c r="J122" s="20"/>
      <c r="M122" s="20"/>
      <c r="O122" s="20"/>
    </row>
    <row customFormat="1" r="123" s="7" spans="10:15" x14ac:dyDescent="0.2">
      <c r="J123" s="20"/>
      <c r="M123" s="20"/>
      <c r="O123" s="20"/>
    </row>
    <row customFormat="1" r="124" s="7" spans="10:15" x14ac:dyDescent="0.2">
      <c r="J124" s="20"/>
      <c r="M124" s="20"/>
      <c r="O124" s="20"/>
    </row>
    <row customFormat="1" r="125" s="7" spans="10:15" x14ac:dyDescent="0.2">
      <c r="J125" s="20"/>
      <c r="M125" s="20"/>
      <c r="O125" s="20"/>
    </row>
    <row customFormat="1" r="126" s="7" spans="10:15" x14ac:dyDescent="0.2">
      <c r="J126" s="20"/>
      <c r="M126" s="20"/>
      <c r="O126" s="20"/>
    </row>
    <row customFormat="1" r="127" s="7" spans="10:15" x14ac:dyDescent="0.2">
      <c r="J127" s="20"/>
      <c r="M127" s="20"/>
      <c r="O127" s="20"/>
    </row>
    <row customFormat="1" r="128" s="7" spans="10:15" x14ac:dyDescent="0.2">
      <c r="J128" s="20"/>
      <c r="M128" s="20"/>
      <c r="O128" s="20"/>
    </row>
    <row r="129" spans="2:17" x14ac:dyDescent="0.2">
      <c r="B129" s="7"/>
      <c r="C129" s="7"/>
      <c r="D129" s="7"/>
      <c r="E129" s="7"/>
      <c r="F129" s="7"/>
      <c r="G129" s="7"/>
      <c r="H129" s="7"/>
      <c r="I129" s="7"/>
      <c r="J129" s="20"/>
      <c r="K129" s="7"/>
      <c r="L129" s="7"/>
      <c r="M129" s="20"/>
      <c r="N129" s="7"/>
      <c r="O129" s="20"/>
      <c r="P129" s="7"/>
      <c r="Q129" s="7"/>
    </row>
  </sheetData>
  <mergeCells count="6">
    <mergeCell ref="A1:R1"/>
    <mergeCell ref="B48:Q48"/>
    <mergeCell ref="B50:Q50"/>
    <mergeCell ref="B47:Q47"/>
    <mergeCell ref="O3:Q3"/>
    <mergeCell ref="D3:H3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Revenue
LSA Staff Contact:  Jeff Robinson (515.281.4614)&U jeff.robinson@legis.iowa.gov&9&U
&C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7"/>
  <sheetViews>
    <sheetView workbookViewId="0">
      <pane activePane="bottomLeft" state="frozen" topLeftCell="A17" ySplit="1"/>
      <selection activeCell="E61" pane="bottomLeft" sqref="E61"/>
    </sheetView>
  </sheetViews>
  <sheetFormatPr defaultColWidth="9" defaultRowHeight="12" x14ac:dyDescent="0.2"/>
  <cols>
    <col min="1" max="1" bestFit="true" customWidth="true" style="66" width="7.5703125" collapsed="false"/>
    <col min="2" max="2" bestFit="true" customWidth="true" style="67" width="17.42578125" collapsed="false"/>
    <col min="3" max="3" bestFit="true" customWidth="true" style="67" width="18.28515625" collapsed="false"/>
    <col min="4" max="4" bestFit="true" customWidth="true" style="67" width="15.0" collapsed="false"/>
    <col min="5" max="5" bestFit="true" customWidth="true" style="68" width="10.85546875" collapsed="false"/>
    <col min="6" max="6" bestFit="true" customWidth="true" style="69" width="11.85546875" collapsed="false"/>
    <col min="7" max="7" bestFit="true" customWidth="true" style="69" width="12.42578125" collapsed="false"/>
    <col min="8" max="16384" style="70" width="9.0" collapsed="false"/>
  </cols>
  <sheetData>
    <row customFormat="1" customHeight="1" ht="12" r="1" s="65" spans="1:9" x14ac:dyDescent="0.2">
      <c r="A1" s="58" t="s">
        <v>30</v>
      </c>
      <c r="B1" s="60" t="s">
        <v>31</v>
      </c>
      <c r="C1" s="60" t="s">
        <v>32</v>
      </c>
      <c r="D1" s="61" t="s">
        <v>33</v>
      </c>
      <c r="E1" s="62" t="s">
        <v>34</v>
      </c>
      <c r="F1" s="63" t="s">
        <v>35</v>
      </c>
      <c r="G1" s="63" t="s">
        <v>36</v>
      </c>
      <c r="H1" s="64"/>
    </row>
    <row customFormat="1" customHeight="1" ht="12" r="2" s="33" spans="1:9" x14ac:dyDescent="0.2">
      <c r="A2" s="37">
        <v>1957</v>
      </c>
      <c r="B2" s="35" t="s">
        <v>13</v>
      </c>
      <c r="C2" s="36">
        <v>2</v>
      </c>
      <c r="D2" s="36">
        <v>2</v>
      </c>
      <c r="E2" s="38">
        <v>0.03</v>
      </c>
      <c r="F2" s="39">
        <v>0.06</v>
      </c>
      <c r="G2" s="39">
        <v>7.0000000000000007E-2</v>
      </c>
    </row>
    <row customFormat="1" customHeight="1" ht="12" r="3" s="33" spans="1:9" x14ac:dyDescent="0.2">
      <c r="A3" s="37">
        <v>1959</v>
      </c>
      <c r="B3" s="35" t="s">
        <v>13</v>
      </c>
      <c r="C3" s="36">
        <v>3</v>
      </c>
      <c r="D3" s="36">
        <v>2</v>
      </c>
      <c r="E3" s="38">
        <v>0.04</v>
      </c>
      <c r="F3" s="39">
        <v>0.06</v>
      </c>
      <c r="G3" s="39">
        <v>7.0000000000000007E-2</v>
      </c>
    </row>
    <row customFormat="1" customHeight="1" ht="12" r="4" s="33" spans="1:9" x14ac:dyDescent="0.2">
      <c r="A4" s="37">
        <v>1963</v>
      </c>
      <c r="B4" s="35" t="s">
        <v>13</v>
      </c>
      <c r="C4" s="36">
        <v>3</v>
      </c>
      <c r="D4" s="36">
        <v>2</v>
      </c>
      <c r="E4" s="38">
        <v>0.05</v>
      </c>
      <c r="F4" s="39">
        <v>0.06</v>
      </c>
      <c r="G4" s="39">
        <v>7.0000000000000007E-2</v>
      </c>
    </row>
    <row customFormat="1" customHeight="1" ht="12" r="5" s="33" spans="1:9" x14ac:dyDescent="0.2">
      <c r="A5" s="37">
        <v>1965</v>
      </c>
      <c r="B5" s="35" t="s">
        <v>14</v>
      </c>
      <c r="C5" s="36">
        <v>4</v>
      </c>
      <c r="D5" s="36">
        <v>2</v>
      </c>
      <c r="E5" s="38">
        <v>0.08</v>
      </c>
      <c r="F5" s="39">
        <v>7.0000000000000007E-2</v>
      </c>
      <c r="G5" s="39">
        <v>0.08</v>
      </c>
    </row>
    <row customFormat="1" customHeight="1" ht="12" r="6" s="33" spans="1:9" x14ac:dyDescent="0.2">
      <c r="A6" s="37">
        <v>1967</v>
      </c>
      <c r="B6" s="35" t="s">
        <v>15</v>
      </c>
      <c r="C6" s="36" t="s">
        <v>7</v>
      </c>
      <c r="D6" s="36">
        <v>3</v>
      </c>
      <c r="E6" s="38">
        <v>0.1</v>
      </c>
      <c r="F6" s="39">
        <v>7.0000000000000007E-2</v>
      </c>
      <c r="G6" s="39">
        <v>0.08</v>
      </c>
    </row>
    <row customFormat="1" customHeight="1" ht="12" r="7" s="33" spans="1:9" x14ac:dyDescent="0.2">
      <c r="A7" s="37">
        <v>1971</v>
      </c>
      <c r="B7" s="35" t="s">
        <v>16</v>
      </c>
      <c r="C7" s="35" t="s">
        <v>8</v>
      </c>
      <c r="D7" s="36">
        <v>3</v>
      </c>
      <c r="E7" s="38">
        <v>0.13</v>
      </c>
      <c r="F7" s="39">
        <v>7.0000000000000007E-2</v>
      </c>
      <c r="G7" s="39">
        <v>0.08</v>
      </c>
      <c r="H7" s="35"/>
    </row>
    <row customFormat="1" customHeight="1" ht="12" r="8" s="33" spans="1:9" x14ac:dyDescent="0.2">
      <c r="A8" s="37">
        <v>1975</v>
      </c>
      <c r="B8" s="35" t="s">
        <v>17</v>
      </c>
      <c r="C8" s="35" t="s">
        <v>8</v>
      </c>
      <c r="D8" s="36">
        <v>3</v>
      </c>
      <c r="E8" s="38">
        <v>0.13</v>
      </c>
      <c r="F8" s="39">
        <v>7.0000000000000007E-2</v>
      </c>
      <c r="G8" s="39">
        <v>0.08</v>
      </c>
    </row>
    <row customFormat="1" customHeight="1" ht="12" r="9" s="33" spans="1:9" x14ac:dyDescent="0.2">
      <c r="A9" s="37">
        <v>1978</v>
      </c>
      <c r="B9" s="34" t="s">
        <v>17</v>
      </c>
      <c r="C9" s="36" t="s">
        <v>8</v>
      </c>
      <c r="D9" s="36">
        <v>3</v>
      </c>
      <c r="E9" s="38">
        <v>0.13</v>
      </c>
      <c r="F9" s="39">
        <v>8.5000000000000006E-2</v>
      </c>
      <c r="G9" s="39">
        <v>0.1</v>
      </c>
    </row>
    <row customFormat="1" customHeight="1" ht="12" r="10" s="33" spans="1:9" x14ac:dyDescent="0.2">
      <c r="A10" s="37">
        <v>1979</v>
      </c>
      <c r="B10" s="35" t="s">
        <v>17</v>
      </c>
      <c r="C10" s="35" t="s">
        <v>8</v>
      </c>
      <c r="D10" s="36">
        <v>3</v>
      </c>
      <c r="E10" s="38">
        <v>0.13</v>
      </c>
      <c r="F10" s="39">
        <v>0.1</v>
      </c>
      <c r="G10" s="39">
        <v>0.115</v>
      </c>
    </row>
    <row customFormat="1" customHeight="1" ht="12" r="11" s="33" spans="1:9" x14ac:dyDescent="0.2">
      <c r="A11" s="37">
        <v>1981</v>
      </c>
      <c r="B11" s="35" t="s">
        <v>17</v>
      </c>
      <c r="C11" s="40" t="s">
        <v>9</v>
      </c>
      <c r="D11" s="36">
        <v>3</v>
      </c>
      <c r="E11" s="38">
        <v>0.18</v>
      </c>
      <c r="F11" s="39">
        <v>0.13</v>
      </c>
      <c r="G11" s="39">
        <v>0.13500000000000001</v>
      </c>
    </row>
    <row customFormat="1" customHeight="1" ht="12" r="12" s="33" spans="1:9" x14ac:dyDescent="0.2">
      <c r="A12" s="37">
        <v>1982</v>
      </c>
      <c r="B12" s="35" t="s">
        <v>17</v>
      </c>
      <c r="C12" s="40" t="s">
        <v>9</v>
      </c>
      <c r="D12" s="36">
        <v>3</v>
      </c>
      <c r="E12" s="38">
        <v>0.18</v>
      </c>
      <c r="F12" s="39">
        <v>0.13</v>
      </c>
      <c r="G12" s="39">
        <v>0.155</v>
      </c>
    </row>
    <row customFormat="1" customHeight="1" ht="12" r="13" s="33" spans="1:9" x14ac:dyDescent="0.2">
      <c r="A13" s="37">
        <v>1983</v>
      </c>
      <c r="B13" s="35" t="s">
        <v>17</v>
      </c>
      <c r="C13" s="40" t="s">
        <v>9</v>
      </c>
      <c r="D13" s="36">
        <v>4</v>
      </c>
      <c r="E13" s="38">
        <v>0.18</v>
      </c>
      <c r="F13" s="39">
        <v>0.13</v>
      </c>
      <c r="G13" s="39">
        <v>0.155</v>
      </c>
    </row>
    <row customFormat="1" customHeight="1" ht="12" r="14" s="33" spans="1:9" x14ac:dyDescent="0.2">
      <c r="A14" s="37">
        <v>1985</v>
      </c>
      <c r="B14" s="35" t="s">
        <v>17</v>
      </c>
      <c r="C14" s="36" t="s">
        <v>9</v>
      </c>
      <c r="D14" s="36">
        <v>4</v>
      </c>
      <c r="E14" s="38">
        <v>0.26</v>
      </c>
      <c r="F14" s="39">
        <v>0.15</v>
      </c>
      <c r="G14" s="39">
        <v>0.16500000000000001</v>
      </c>
    </row>
    <row customFormat="1" customHeight="1" ht="12" r="15" s="33" spans="1:9" x14ac:dyDescent="0.2">
      <c r="A15" s="37">
        <v>1986</v>
      </c>
      <c r="B15" s="35" t="s">
        <v>17</v>
      </c>
      <c r="C15" s="40" t="s">
        <v>9</v>
      </c>
      <c r="D15" s="36">
        <v>4</v>
      </c>
      <c r="E15" s="38">
        <v>0.26</v>
      </c>
      <c r="F15" s="39">
        <v>0.16</v>
      </c>
      <c r="G15" s="39">
        <v>0.17499999999999999</v>
      </c>
    </row>
    <row customFormat="1" customHeight="1" ht="12" r="16" s="33" spans="1:9" x14ac:dyDescent="0.2">
      <c r="A16" s="37">
        <v>1987</v>
      </c>
      <c r="B16" s="35" t="s">
        <v>18</v>
      </c>
      <c r="C16" s="40" t="s">
        <v>9</v>
      </c>
      <c r="D16" s="36">
        <v>4</v>
      </c>
      <c r="E16" s="38">
        <v>0.26</v>
      </c>
      <c r="F16" s="39">
        <v>0.16</v>
      </c>
      <c r="G16" s="39">
        <v>0.185</v>
      </c>
      <c r="I16" s="33" t="s">
        <v>11</v>
      </c>
    </row>
    <row customFormat="1" customHeight="1" ht="12" r="17" s="33" spans="1:8" x14ac:dyDescent="0.2">
      <c r="A17" s="37">
        <v>1988</v>
      </c>
      <c r="B17" s="35" t="s">
        <v>18</v>
      </c>
      <c r="C17" s="40" t="s">
        <v>9</v>
      </c>
      <c r="D17" s="36">
        <v>4</v>
      </c>
      <c r="E17" s="38">
        <v>0.34</v>
      </c>
      <c r="F17" s="39">
        <v>0.18</v>
      </c>
      <c r="G17" s="39">
        <v>0.20499999999999999</v>
      </c>
    </row>
    <row customFormat="1" customHeight="1" ht="12" r="18" s="33" spans="1:8" x14ac:dyDescent="0.2">
      <c r="A18" s="37">
        <v>1989</v>
      </c>
      <c r="B18" s="35" t="s">
        <v>18</v>
      </c>
      <c r="C18" s="40" t="s">
        <v>9</v>
      </c>
      <c r="D18" s="36">
        <v>4</v>
      </c>
      <c r="E18" s="38">
        <v>0.31</v>
      </c>
      <c r="F18" s="39">
        <v>0.2</v>
      </c>
      <c r="G18" s="39">
        <v>0.22500000000000001</v>
      </c>
    </row>
    <row customFormat="1" customHeight="1" ht="12" r="19" s="33" spans="1:8" x14ac:dyDescent="0.2">
      <c r="A19" s="37">
        <v>1990</v>
      </c>
      <c r="B19" s="34" t="s">
        <v>18</v>
      </c>
      <c r="C19" s="36" t="s">
        <v>9</v>
      </c>
      <c r="D19" s="36">
        <v>4</v>
      </c>
      <c r="E19" s="38">
        <v>0.31</v>
      </c>
      <c r="F19" s="39">
        <v>0.2</v>
      </c>
      <c r="G19" s="39">
        <v>0.22500000000000001</v>
      </c>
    </row>
    <row customFormat="1" customHeight="1" ht="12" r="20" s="33" spans="1:8" x14ac:dyDescent="0.2">
      <c r="A20" s="37">
        <v>1991</v>
      </c>
      <c r="B20" s="35" t="s">
        <v>18</v>
      </c>
      <c r="C20" s="40" t="s">
        <v>9</v>
      </c>
      <c r="D20" s="36">
        <v>4</v>
      </c>
      <c r="E20" s="38">
        <v>0.36</v>
      </c>
      <c r="F20" s="39">
        <v>0.2</v>
      </c>
      <c r="G20" s="39">
        <v>0.22500000000000001</v>
      </c>
    </row>
    <row customFormat="1" customHeight="1" ht="12" r="21" s="33" spans="1:8" x14ac:dyDescent="0.2">
      <c r="A21" s="59">
        <v>1992</v>
      </c>
      <c r="B21" s="35" t="s">
        <v>18</v>
      </c>
      <c r="C21" s="40" t="s">
        <v>9</v>
      </c>
      <c r="D21" s="42">
        <v>5</v>
      </c>
      <c r="E21" s="44">
        <v>0.36</v>
      </c>
      <c r="F21" s="45">
        <v>0.2</v>
      </c>
      <c r="G21" s="45">
        <v>0.22500000000000001</v>
      </c>
      <c r="H21" s="41"/>
    </row>
    <row customFormat="1" customHeight="1" ht="12" r="22" s="33" spans="1:8" x14ac:dyDescent="0.2">
      <c r="A22" s="59">
        <v>1993</v>
      </c>
      <c r="B22" s="35" t="s">
        <v>18</v>
      </c>
      <c r="C22" s="40" t="s">
        <v>9</v>
      </c>
      <c r="D22" s="42">
        <v>5</v>
      </c>
      <c r="E22" s="44">
        <v>0.36</v>
      </c>
      <c r="F22" s="45">
        <v>0.2</v>
      </c>
      <c r="G22" s="45">
        <v>0.22500000000000001</v>
      </c>
      <c r="H22" s="41"/>
    </row>
    <row customFormat="1" customHeight="1" ht="12" r="23" s="33" spans="1:8" x14ac:dyDescent="0.2">
      <c r="A23" s="59">
        <v>1994</v>
      </c>
      <c r="B23" s="35" t="s">
        <v>18</v>
      </c>
      <c r="C23" s="40" t="s">
        <v>9</v>
      </c>
      <c r="D23" s="42">
        <v>5</v>
      </c>
      <c r="E23" s="44">
        <v>0.36</v>
      </c>
      <c r="F23" s="45">
        <v>0.2</v>
      </c>
      <c r="G23" s="45">
        <v>0.22500000000000001</v>
      </c>
      <c r="H23" s="41"/>
    </row>
    <row customFormat="1" customHeight="1" ht="12" r="24" s="33" spans="1:8" x14ac:dyDescent="0.2">
      <c r="A24" s="37">
        <v>1995</v>
      </c>
      <c r="B24" s="34" t="s">
        <v>18</v>
      </c>
      <c r="C24" s="36" t="s">
        <v>9</v>
      </c>
      <c r="D24" s="36">
        <v>5</v>
      </c>
      <c r="E24" s="38">
        <v>0.36</v>
      </c>
      <c r="F24" s="39">
        <v>0.2</v>
      </c>
      <c r="G24" s="39">
        <v>0.22500000000000001</v>
      </c>
      <c r="H24" s="41"/>
    </row>
    <row customFormat="1" customHeight="1" ht="12" r="25" s="33" spans="1:8" x14ac:dyDescent="0.2">
      <c r="A25" s="59">
        <v>1996</v>
      </c>
      <c r="B25" s="43" t="s">
        <v>18</v>
      </c>
      <c r="C25" s="40" t="s">
        <v>9</v>
      </c>
      <c r="D25" s="42">
        <v>5</v>
      </c>
      <c r="E25" s="44">
        <v>0.36</v>
      </c>
      <c r="F25" s="45">
        <v>0.2</v>
      </c>
      <c r="G25" s="45">
        <v>0.22500000000000001</v>
      </c>
      <c r="H25" s="41"/>
    </row>
    <row customFormat="1" customHeight="1" ht="12" r="26" s="33" spans="1:8" x14ac:dyDescent="0.2">
      <c r="A26" s="59">
        <v>1997</v>
      </c>
      <c r="B26" s="43" t="s">
        <v>18</v>
      </c>
      <c r="C26" s="40" t="s">
        <v>9</v>
      </c>
      <c r="D26" s="42">
        <v>5</v>
      </c>
      <c r="E26" s="44">
        <v>0.36</v>
      </c>
      <c r="F26" s="45">
        <v>0.2</v>
      </c>
      <c r="G26" s="45">
        <v>0.22500000000000001</v>
      </c>
      <c r="H26" s="41"/>
    </row>
    <row customFormat="1" customHeight="1" ht="12" r="27" s="33" spans="1:8" x14ac:dyDescent="0.2">
      <c r="A27" s="59">
        <v>1998</v>
      </c>
      <c r="B27" s="43" t="s">
        <v>12</v>
      </c>
      <c r="C27" s="40" t="s">
        <v>9</v>
      </c>
      <c r="D27" s="42">
        <v>5</v>
      </c>
      <c r="E27" s="44">
        <v>0.36</v>
      </c>
      <c r="F27" s="45">
        <v>0.2</v>
      </c>
      <c r="G27" s="45">
        <v>0.22500000000000001</v>
      </c>
      <c r="H27" s="41"/>
    </row>
    <row customFormat="1" customHeight="1" ht="12" r="28" s="33" spans="1:8" x14ac:dyDescent="0.2">
      <c r="A28" s="59">
        <v>1999</v>
      </c>
      <c r="B28" s="43" t="s">
        <v>12</v>
      </c>
      <c r="C28" s="40" t="s">
        <v>9</v>
      </c>
      <c r="D28" s="42">
        <v>5</v>
      </c>
      <c r="E28" s="44">
        <v>0.36</v>
      </c>
      <c r="F28" s="45">
        <v>0.2</v>
      </c>
      <c r="G28" s="45">
        <v>0.22500000000000001</v>
      </c>
      <c r="H28" s="41"/>
    </row>
    <row customFormat="1" customHeight="1" ht="12" r="29" s="33" spans="1:8" x14ac:dyDescent="0.2">
      <c r="A29" s="37">
        <v>2000</v>
      </c>
      <c r="B29" s="34" t="s">
        <v>12</v>
      </c>
      <c r="C29" s="36" t="s">
        <v>9</v>
      </c>
      <c r="D29" s="36">
        <v>5</v>
      </c>
      <c r="E29" s="38">
        <v>0.36</v>
      </c>
      <c r="F29" s="39">
        <v>0.2</v>
      </c>
      <c r="G29" s="39">
        <v>0.22500000000000001</v>
      </c>
      <c r="H29" s="41"/>
    </row>
    <row customFormat="1" customHeight="1" ht="12" r="30" s="33" spans="1:8" x14ac:dyDescent="0.2">
      <c r="A30" s="59">
        <v>2001</v>
      </c>
      <c r="B30" s="43" t="s">
        <v>12</v>
      </c>
      <c r="C30" s="40" t="s">
        <v>9</v>
      </c>
      <c r="D30" s="42">
        <v>5</v>
      </c>
      <c r="E30" s="44">
        <v>0.36</v>
      </c>
      <c r="F30" s="45">
        <v>0.2</v>
      </c>
      <c r="G30" s="45">
        <v>0.22500000000000001</v>
      </c>
      <c r="H30" s="41"/>
    </row>
    <row customFormat="1" customHeight="1" ht="12" r="31" s="33" spans="1:8" x14ac:dyDescent="0.2">
      <c r="A31" s="59">
        <v>2002</v>
      </c>
      <c r="B31" s="43" t="s">
        <v>12</v>
      </c>
      <c r="C31" s="40" t="s">
        <v>9</v>
      </c>
      <c r="D31" s="42">
        <v>5</v>
      </c>
      <c r="E31" s="44">
        <v>0.36</v>
      </c>
      <c r="F31" s="45">
        <v>0.2</v>
      </c>
      <c r="G31" s="45">
        <v>0.22500000000000001</v>
      </c>
      <c r="H31" s="41"/>
    </row>
    <row customFormat="1" customHeight="1" ht="12" r="32" s="33" spans="1:8" x14ac:dyDescent="0.2">
      <c r="A32" s="59">
        <v>2003</v>
      </c>
      <c r="B32" s="43" t="s">
        <v>12</v>
      </c>
      <c r="C32" s="40" t="s">
        <v>9</v>
      </c>
      <c r="D32" s="42">
        <v>5</v>
      </c>
      <c r="E32" s="44">
        <v>0.36</v>
      </c>
      <c r="F32" s="45">
        <v>0.20100000000000001</v>
      </c>
      <c r="G32" s="45">
        <v>0.22500000000000001</v>
      </c>
      <c r="H32" s="41"/>
    </row>
    <row customFormat="1" customHeight="1" ht="12" r="33" s="33" spans="1:8" x14ac:dyDescent="0.2">
      <c r="A33" s="59">
        <v>2004</v>
      </c>
      <c r="B33" s="43" t="s">
        <v>12</v>
      </c>
      <c r="C33" s="40" t="s">
        <v>9</v>
      </c>
      <c r="D33" s="42">
        <v>5</v>
      </c>
      <c r="E33" s="44">
        <v>0.36</v>
      </c>
      <c r="F33" s="45">
        <v>0.20300000000000001</v>
      </c>
      <c r="G33" s="45">
        <v>0.22500000000000001</v>
      </c>
      <c r="H33" s="41"/>
    </row>
    <row customFormat="1" customHeight="1" ht="12" r="34" s="33" spans="1:8" x14ac:dyDescent="0.2">
      <c r="A34" s="59">
        <v>2005</v>
      </c>
      <c r="B34" s="43" t="s">
        <v>12</v>
      </c>
      <c r="C34" s="40" t="s">
        <v>10</v>
      </c>
      <c r="D34" s="42">
        <v>5</v>
      </c>
      <c r="E34" s="44">
        <v>0.36</v>
      </c>
      <c r="F34" s="45">
        <v>0.20499999999999999</v>
      </c>
      <c r="G34" s="45">
        <v>0.22500000000000001</v>
      </c>
      <c r="H34" s="41"/>
    </row>
    <row customFormat="1" customHeight="1" ht="12" r="35" s="33" spans="1:8" x14ac:dyDescent="0.2">
      <c r="A35" s="59">
        <v>2006</v>
      </c>
      <c r="B35" s="43" t="s">
        <v>12</v>
      </c>
      <c r="C35" s="40" t="s">
        <v>10</v>
      </c>
      <c r="D35" s="42">
        <v>5</v>
      </c>
      <c r="E35" s="44">
        <v>0.36</v>
      </c>
      <c r="F35" s="45">
        <v>0.20699999999999999</v>
      </c>
      <c r="G35" s="45">
        <v>0.22500000000000001</v>
      </c>
      <c r="H35" s="41"/>
    </row>
    <row customFormat="1" customHeight="1" ht="12" r="36" s="33" spans="1:8" x14ac:dyDescent="0.2">
      <c r="A36" s="59">
        <v>2007</v>
      </c>
      <c r="B36" s="43" t="s">
        <v>12</v>
      </c>
      <c r="C36" s="40" t="s">
        <v>10</v>
      </c>
      <c r="D36" s="42">
        <v>5</v>
      </c>
      <c r="E36" s="44">
        <v>0.36</v>
      </c>
      <c r="F36" s="45">
        <v>0.21</v>
      </c>
      <c r="G36" s="45">
        <v>0.22500000000000001</v>
      </c>
      <c r="H36" s="41"/>
    </row>
    <row customFormat="1" customHeight="1" ht="12" r="37" s="33" spans="1:8" x14ac:dyDescent="0.2">
      <c r="A37" s="59">
        <v>2008</v>
      </c>
      <c r="B37" s="43" t="s">
        <v>12</v>
      </c>
      <c r="C37" s="40" t="s">
        <v>10</v>
      </c>
      <c r="D37" s="42">
        <v>5</v>
      </c>
      <c r="E37" s="44">
        <v>1.36</v>
      </c>
      <c r="F37" s="45">
        <v>0.20699999999999999</v>
      </c>
      <c r="G37" s="45">
        <v>0.22500000000000001</v>
      </c>
      <c r="H37" s="41"/>
    </row>
    <row customFormat="1" customHeight="1" ht="12" r="38" s="33" spans="1:8" x14ac:dyDescent="0.2">
      <c r="A38" s="59">
        <v>2009</v>
      </c>
      <c r="B38" s="43" t="s">
        <v>12</v>
      </c>
      <c r="C38" s="40" t="s">
        <v>10</v>
      </c>
      <c r="D38" s="42">
        <v>6</v>
      </c>
      <c r="E38" s="44">
        <v>1.36</v>
      </c>
      <c r="F38" s="45">
        <v>0.21</v>
      </c>
      <c r="G38" s="45">
        <v>0.22500000000000001</v>
      </c>
      <c r="H38" s="41"/>
    </row>
    <row customFormat="1" customHeight="1" ht="12" r="39" s="33" spans="1:8" x14ac:dyDescent="0.2">
      <c r="A39" s="59">
        <v>2010</v>
      </c>
      <c r="B39" s="43" t="s">
        <v>12</v>
      </c>
      <c r="C39" s="40" t="s">
        <v>10</v>
      </c>
      <c r="D39" s="42">
        <v>6</v>
      </c>
      <c r="E39" s="44">
        <v>1.36</v>
      </c>
      <c r="F39" s="45">
        <v>0.21</v>
      </c>
      <c r="G39" s="45">
        <v>0.22500000000000001</v>
      </c>
      <c r="H39" s="41"/>
    </row>
    <row customFormat="1" customHeight="1" ht="12" r="40" s="33" spans="1:8" x14ac:dyDescent="0.2">
      <c r="A40" s="59">
        <v>2011</v>
      </c>
      <c r="B40" s="43" t="s">
        <v>12</v>
      </c>
      <c r="C40" s="40" t="s">
        <v>10</v>
      </c>
      <c r="D40" s="42">
        <v>6</v>
      </c>
      <c r="E40" s="44">
        <v>1.36</v>
      </c>
      <c r="F40" s="45">
        <v>0.21</v>
      </c>
      <c r="G40" s="45">
        <v>0.22500000000000001</v>
      </c>
      <c r="H40" s="41"/>
    </row>
    <row customFormat="1" customHeight="1" ht="12" r="41" s="33" spans="1:8" x14ac:dyDescent="0.2">
      <c r="A41" s="59">
        <v>2012</v>
      </c>
      <c r="B41" s="43" t="s">
        <v>12</v>
      </c>
      <c r="C41" s="40" t="s">
        <v>10</v>
      </c>
      <c r="D41" s="42">
        <v>6</v>
      </c>
      <c r="E41" s="44">
        <v>1.36</v>
      </c>
      <c r="F41" s="45">
        <v>0.21</v>
      </c>
      <c r="G41" s="45">
        <v>0.22500000000000001</v>
      </c>
      <c r="H41" s="41"/>
    </row>
    <row customFormat="1" customHeight="1" ht="12" r="42" s="33" spans="1:8" x14ac:dyDescent="0.2">
      <c r="A42" s="59">
        <v>2013</v>
      </c>
      <c r="B42" s="43" t="s">
        <v>12</v>
      </c>
      <c r="C42" s="40" t="s">
        <v>10</v>
      </c>
      <c r="D42" s="42">
        <v>6</v>
      </c>
      <c r="E42" s="44">
        <v>1.36</v>
      </c>
      <c r="F42" s="45">
        <v>0.21</v>
      </c>
      <c r="G42" s="45">
        <v>0.22500000000000001</v>
      </c>
      <c r="H42" s="41"/>
    </row>
    <row customFormat="1" customHeight="1" ht="12" r="43" s="33" spans="1:8" x14ac:dyDescent="0.2">
      <c r="A43" s="59">
        <v>2014</v>
      </c>
      <c r="B43" s="43" t="s">
        <v>12</v>
      </c>
      <c r="C43" s="40" t="s">
        <v>10</v>
      </c>
      <c r="D43" s="42">
        <v>6</v>
      </c>
      <c r="E43" s="44">
        <v>1.36</v>
      </c>
      <c r="F43" s="45">
        <v>0.21</v>
      </c>
      <c r="G43" s="45">
        <v>0.22500000000000001</v>
      </c>
      <c r="H43" s="41"/>
    </row>
    <row customFormat="1" customHeight="1" ht="12" r="44" s="33" spans="1:8" x14ac:dyDescent="0.2">
      <c r="A44" s="59">
        <v>2015</v>
      </c>
      <c r="B44" s="43" t="s">
        <v>12</v>
      </c>
      <c r="C44" s="40" t="s">
        <v>10</v>
      </c>
      <c r="D44" s="42">
        <v>6</v>
      </c>
      <c r="E44" s="44">
        <v>1.36</v>
      </c>
      <c r="F44" s="45">
        <v>0.31</v>
      </c>
      <c r="G44" s="45">
        <v>0.32500000000000001</v>
      </c>
      <c r="H44" s="41"/>
    </row>
    <row customFormat="1" customHeight="1" ht="12" r="45" s="33" spans="1:8" x14ac:dyDescent="0.2">
      <c r="A45" s="59">
        <v>2016</v>
      </c>
      <c r="B45" s="43" t="s">
        <v>12</v>
      </c>
      <c r="C45" s="40" t="s">
        <v>10</v>
      </c>
      <c r="D45" s="42">
        <v>6</v>
      </c>
      <c r="E45" s="44">
        <v>1.36</v>
      </c>
      <c r="F45" s="45">
        <v>0.307</v>
      </c>
      <c r="G45" s="45">
        <v>0.32500000000000001</v>
      </c>
      <c r="H45" s="41"/>
    </row>
    <row r="46" spans="1:8" x14ac:dyDescent="0.2">
      <c r="A46" s="59">
        <v>2017</v>
      </c>
      <c r="B46" s="43" t="s">
        <v>12</v>
      </c>
      <c r="C46" s="40" t="s">
        <v>10</v>
      </c>
      <c r="D46" s="42">
        <v>6</v>
      </c>
      <c r="E46" s="44">
        <v>1.36</v>
      </c>
      <c r="F46" s="45">
        <v>0.30499999999999999</v>
      </c>
      <c r="G46" s="45">
        <v>0.32500000000000001</v>
      </c>
    </row>
    <row r="47" spans="1:8" x14ac:dyDescent="0.2">
      <c r="A47" s="59">
        <v>2018</v>
      </c>
      <c r="B47" s="43" t="s">
        <v>12</v>
      </c>
      <c r="C47" s="40" t="s">
        <v>10</v>
      </c>
      <c r="D47" s="42">
        <v>6</v>
      </c>
      <c r="E47" s="44">
        <v>1.36</v>
      </c>
      <c r="F47" s="45">
        <v>0.307</v>
      </c>
      <c r="G47" s="45">
        <v>0.32500000000000001</v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10.28515625" defaultRowHeight="12" x14ac:dyDescent="0.2"/>
  <cols>
    <col min="1" max="1" bestFit="true" customWidth="true" style="55" width="34.28515625" collapsed="false"/>
    <col min="2" max="2" bestFit="true" customWidth="true" style="55" width="58.85546875" collapsed="false"/>
    <col min="3" max="4" style="55" width="10.28515625" collapsed="false"/>
    <col min="5" max="5" customWidth="true" style="55" width="35.5703125" collapsed="false"/>
    <col min="6" max="8" style="55" width="10.28515625" collapsed="false"/>
    <col min="9" max="9" customWidth="true" hidden="true" style="55" width="0.0" collapsed="false"/>
    <col min="10" max="16384" style="55" width="10.28515625" collapsed="false"/>
  </cols>
  <sheetData>
    <row r="1" spans="1:9" x14ac:dyDescent="0.2">
      <c r="A1" s="55" t="s">
        <v>22</v>
      </c>
      <c r="B1" s="56"/>
      <c r="I1" s="55" t="s">
        <v>23</v>
      </c>
    </row>
    <row r="2" spans="1:9" x14ac:dyDescent="0.2">
      <c r="A2" s="55" t="s">
        <v>24</v>
      </c>
      <c r="B2" s="56"/>
      <c r="I2" s="55" t="s">
        <v>25</v>
      </c>
    </row>
    <row r="3" spans="1:9" x14ac:dyDescent="0.2">
      <c r="A3" s="55" t="s">
        <v>26</v>
      </c>
      <c r="B3" s="55" t="s">
        <v>23</v>
      </c>
      <c r="I3" s="55" t="s">
        <v>27</v>
      </c>
    </row>
    <row r="4" spans="1:9" x14ac:dyDescent="0.2">
      <c r="A4" s="55" t="s">
        <v>28</v>
      </c>
      <c r="B4" s="57"/>
      <c r="I4" s="55" t="s">
        <v>29</v>
      </c>
    </row>
    <row r="5" spans="1:9" x14ac:dyDescent="0.2">
      <c r="E5" s="56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2007-01-16T14:31:21Z</dcterms:created>
  <dc:creator>Guanci, Michael [LEGIS]</dc:creator>
  <cp:lastModifiedBy>Robinson, Jeff [LEGIS]</cp:lastModifiedBy>
  <cp:lastPrinted>2018-10-29T19:04:23Z</cp:lastPrinted>
  <dcterms:modified xsi:type="dcterms:W3CDTF">2018-10-29T19:22:04Z</dcterms:modified>
</cp:coreProperties>
</file>