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3630" windowWidth="8355" xWindow="240" yWindow="60"/>
  </bookViews>
  <sheets>
    <sheet name="Factbook" r:id="rId1" sheetId="1" state="veryHidden"/>
    <sheet name="Data" r:id="rId2" sheetId="2"/>
    <sheet name="Notes" r:id="rId3" sheetId="3" state="veryHidden"/>
  </sheets>
  <definedNames>
    <definedName localSheetId="0" name="_xlnm.Print_Area">Factbook!$A$1:$N$49</definedName>
  </definedNames>
  <calcPr calcId="145621"/>
</workbook>
</file>

<file path=xl/calcChain.xml><?xml version="1.0" encoding="utf-8"?>
<calcChain xmlns="http://schemas.openxmlformats.org/spreadsheetml/2006/main">
  <c i="2" l="1" r="P41"/>
  <c i="2" r="K41"/>
  <c i="2" r="N41" s="1"/>
  <c i="2" l="1" r="K39"/>
  <c i="2" r="K40"/>
  <c i="2" r="N40" s="1"/>
  <c i="2" r="P40"/>
  <c i="2" l="1" r="P3"/>
  <c i="2" r="P4"/>
  <c i="2" r="P5"/>
  <c i="2" r="P6"/>
  <c i="2" r="P7"/>
  <c i="2" r="P8"/>
  <c i="2" r="P9"/>
  <c i="2" r="P10"/>
  <c i="2" r="P11"/>
  <c i="2" r="P12"/>
  <c i="2" r="P13"/>
  <c i="2" r="P14"/>
  <c i="2" r="P15"/>
  <c i="2" r="P16"/>
  <c i="2" r="P17"/>
  <c i="2" r="P18"/>
  <c i="2" r="P19"/>
  <c i="2" r="P20"/>
  <c i="2" r="P21"/>
  <c i="2" r="P22"/>
  <c i="2" r="P23"/>
  <c i="2" r="P24"/>
  <c i="2" r="P25"/>
  <c i="2" r="P26"/>
  <c i="2" r="P27"/>
  <c i="2" r="P28"/>
  <c i="2" r="P29"/>
  <c i="2" r="P30"/>
  <c i="2" r="P31"/>
  <c i="2" r="P32"/>
  <c i="2" r="P33"/>
  <c i="2" r="P34"/>
  <c i="2" r="P35"/>
  <c i="2" r="P36"/>
  <c i="2" r="P37"/>
  <c i="2" r="P38"/>
  <c i="2" r="P39"/>
  <c i="2" r="P2"/>
  <c i="2" r="N39"/>
  <c i="2" l="1" r="K38"/>
  <c i="2" r="N38" s="1"/>
  <c i="1" l="1" r="B40"/>
  <c i="1" r="F40" s="1"/>
  <c i="1" r="B39"/>
  <c i="1" r="F39" s="1"/>
  <c i="1" r="B38"/>
  <c i="1" r="F38" s="1"/>
  <c i="1" r="B37"/>
  <c i="1" r="F37" s="1"/>
  <c i="1" r="B36"/>
  <c i="1" r="F36" s="1"/>
  <c i="1" r="B35"/>
  <c i="1" r="F35" s="1"/>
  <c i="1" r="B34"/>
  <c i="1" r="F34" s="1"/>
  <c i="1" r="B33"/>
  <c i="1" r="F33" s="1"/>
  <c i="1" r="B32"/>
  <c i="1" r="F32" s="1"/>
  <c i="1" r="B31"/>
  <c i="1" r="F31" s="1"/>
  <c i="1" r="B30"/>
  <c i="1" r="F30" s="1"/>
  <c i="1" r="B29"/>
  <c i="1" r="F29" s="1"/>
  <c i="1" r="B28"/>
  <c i="1" r="F28" s="1"/>
  <c i="1" r="B27"/>
  <c i="1" r="F27" s="1"/>
  <c i="1" r="B26"/>
  <c i="1" r="F26" s="1"/>
  <c i="1" r="B21"/>
  <c i="1" r="D21" s="1"/>
  <c i="1" r="B20"/>
  <c i="1" r="B19"/>
  <c i="1" r="B18"/>
  <c i="1" r="B17"/>
  <c i="1" r="D17" s="1"/>
  <c i="1" r="B16"/>
  <c i="1" r="B15"/>
  <c i="1" r="B14"/>
  <c i="1" r="B13"/>
  <c i="1" r="D13" s="1"/>
  <c i="1" r="B12"/>
  <c i="1" r="B11"/>
  <c i="1" r="B10"/>
  <c i="1" r="B9"/>
  <c i="1" r="D9" s="1"/>
  <c i="1" r="B8"/>
  <c i="1" r="J8" s="1"/>
  <c i="1" r="B7"/>
  <c i="1" r="F7" s="1"/>
  <c i="2" r="N7"/>
  <c i="2" r="N21"/>
  <c i="2" r="N19"/>
  <c i="2" r="N18"/>
  <c i="2" r="N17"/>
  <c i="2" r="N16"/>
  <c i="2" r="N15"/>
  <c i="2" r="N14"/>
  <c i="2" r="N13"/>
  <c i="2" r="N12"/>
  <c i="2" r="N11"/>
  <c i="2" r="N10"/>
  <c i="2" r="N9"/>
  <c i="2" r="N8"/>
  <c i="2" r="N6"/>
  <c i="2" r="N5"/>
  <c i="2" r="N4"/>
  <c i="1" l="1" r="J16"/>
  <c i="1" r="D16"/>
  <c i="1" r="L15"/>
  <c i="1" r="D15"/>
  <c i="1" r="F10"/>
  <c i="1" r="D10"/>
  <c i="1" r="F18"/>
  <c i="1" r="D18"/>
  <c i="1" r="F14"/>
  <c i="1" r="D14"/>
  <c i="1" r="L11"/>
  <c i="1" r="D11"/>
  <c i="1" r="L19"/>
  <c i="1" r="D19"/>
  <c i="1" r="J12"/>
  <c i="1" r="D12"/>
  <c i="1" r="J20"/>
  <c i="1" r="D20"/>
  <c i="1" r="J33"/>
  <c i="1" r="D33"/>
  <c i="1" r="D26"/>
  <c i="1" r="J26"/>
  <c i="1" r="D34"/>
  <c i="1" r="J34"/>
  <c i="1" r="D27"/>
  <c i="1" r="J27"/>
  <c i="1" r="D35"/>
  <c i="1" r="J35"/>
  <c i="1" r="D28"/>
  <c i="1" r="J28"/>
  <c i="1" r="D36"/>
  <c i="1" r="J36"/>
  <c i="1" r="J29"/>
  <c i="1" r="D29"/>
  <c i="1" r="J37"/>
  <c i="1" r="D37"/>
  <c i="1" r="D30"/>
  <c i="1" r="J30"/>
  <c i="1" r="D38"/>
  <c i="1" r="J38"/>
  <c i="1" r="J31"/>
  <c i="1" r="D31"/>
  <c i="1" r="J39"/>
  <c i="1" r="D39"/>
  <c i="1" r="J32"/>
  <c i="1" r="D32"/>
  <c i="1" r="J40"/>
  <c i="1" r="D40"/>
  <c i="1" r="D7"/>
  <c i="1" r="F21"/>
  <c i="1" r="F17"/>
  <c i="1" r="F13"/>
  <c i="1" r="F9"/>
  <c i="1" r="H20"/>
  <c i="1" r="H16"/>
  <c i="1" r="H12"/>
  <c i="1" r="H8"/>
  <c i="1" r="J19"/>
  <c i="1" r="J15"/>
  <c i="1" r="J11"/>
  <c i="1" r="L7"/>
  <c i="1" r="L18"/>
  <c i="1" r="L14"/>
  <c i="1" r="L10"/>
  <c i="1" r="F20"/>
  <c i="1" r="F16"/>
  <c i="1" r="F12"/>
  <c i="1" r="F8"/>
  <c i="1" r="H19"/>
  <c i="1" r="H15"/>
  <c i="1" r="H11"/>
  <c i="1" r="J7"/>
  <c i="1" r="J18"/>
  <c i="1" r="J14"/>
  <c i="1" r="J10"/>
  <c i="1" r="L21"/>
  <c i="1" r="L17"/>
  <c i="1" r="L13"/>
  <c i="1" r="L9"/>
  <c i="1" r="D8"/>
  <c i="1" r="F19"/>
  <c i="1" r="F15"/>
  <c i="1" r="F11"/>
  <c i="1" r="H7"/>
  <c i="1" r="H18"/>
  <c i="1" r="H14"/>
  <c i="1" r="H10"/>
  <c i="1" r="J21"/>
  <c i="1" r="J17"/>
  <c i="1" r="J13"/>
  <c i="1" r="J9"/>
  <c i="1" r="L20"/>
  <c i="1" r="L16"/>
  <c i="1" r="L12"/>
  <c i="1" r="L8"/>
  <c i="1" r="H21"/>
  <c i="1" r="H17"/>
  <c i="1" r="H13"/>
  <c i="1" r="H9"/>
  <c i="1" l="1" r="H36"/>
  <c i="1" r="L36" s="1"/>
  <c i="1" r="H31"/>
  <c i="1" r="L31" s="1"/>
  <c i="1" r="H29"/>
  <c i="1" r="L29" s="1"/>
  <c i="1" r="H34"/>
  <c i="1" r="L34" s="1"/>
  <c i="1" r="H33"/>
  <c i="1" r="L33" s="1"/>
  <c i="1" r="H38"/>
  <c i="1" r="L38" s="1"/>
  <c i="1" r="H27"/>
  <c i="1" r="L27" s="1"/>
  <c i="1" r="H37"/>
  <c i="1" r="L37" s="1"/>
  <c i="1" r="H26"/>
  <c i="1" r="L26" s="1"/>
  <c i="1" r="H35"/>
  <c i="1" r="L35" s="1"/>
  <c i="1" r="H39"/>
  <c i="1" r="L39" s="1"/>
  <c i="1" r="H28"/>
  <c i="1" r="L28" s="1"/>
  <c i="1" r="H32"/>
  <c i="1" r="L32" s="1"/>
  <c i="1" r="H30"/>
  <c i="1" r="L30" s="1"/>
  <c i="1" r="H40"/>
  <c i="1" r="L40" s="1"/>
</calcChain>
</file>

<file path=xl/sharedStrings.xml><?xml version="1.0" encoding="utf-8"?>
<sst xmlns="http://schemas.openxmlformats.org/spreadsheetml/2006/main" count="73" uniqueCount="44">
  <si>
    <t>Fiscal</t>
  </si>
  <si>
    <t>Agricultural</t>
  </si>
  <si>
    <t xml:space="preserve">   Year   </t>
  </si>
  <si>
    <t>Military</t>
  </si>
  <si>
    <t>Service</t>
  </si>
  <si>
    <t>Net</t>
  </si>
  <si>
    <t xml:space="preserve"> Year </t>
  </si>
  <si>
    <t xml:space="preserve">NA </t>
  </si>
  <si>
    <t>3)  Totals may not add due to rounding.</t>
  </si>
  <si>
    <t>(dollars in thousands)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</si>
  <si>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</si>
  <si>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</si>
  <si>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</si>
  <si>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</si>
  <si>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</si>
  <si>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</si>
  <si>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</si>
  <si>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</si>
  <si>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MilitaryServiceCredit</t>
  </si>
  <si>
    <t>FiscalYear</t>
  </si>
  <si>
    <t>Residential</t>
  </si>
  <si>
    <t>AgriculturalLand</t>
  </si>
  <si>
    <t>AgriculturalBuildings</t>
  </si>
  <si>
    <t>Commercial</t>
  </si>
  <si>
    <t>Industrial</t>
  </si>
  <si>
    <t>Utilities</t>
  </si>
  <si>
    <t>Other</t>
  </si>
  <si>
    <t>Total</t>
  </si>
  <si>
    <t>Special</t>
  </si>
  <si>
    <t>NetTotal</t>
  </si>
  <si>
    <t>MachineryEquipmentandRailroads</t>
  </si>
  <si>
    <t>Multiresidential</t>
  </si>
  <si>
    <t>Land</t>
  </si>
  <si>
    <t>Buildings</t>
  </si>
  <si>
    <t>filler</t>
  </si>
  <si>
    <t>Gross</t>
  </si>
  <si>
    <t>&amp; Other</t>
  </si>
  <si>
    <t>Exemption</t>
  </si>
  <si>
    <t>2)  Other includes reimbursable and nonreimbursable machinery, equipment, and computers.</t>
  </si>
  <si>
    <t>subtotal - Utilities, Rail + Other</t>
  </si>
  <si>
    <t xml:space="preserve">Iowa Statewide Property Taxes by Class of Property    </t>
  </si>
  <si>
    <t>Utilities, Rail,</t>
  </si>
  <si>
    <t>Notes:</t>
  </si>
  <si>
    <t>1)  Does not include gas and electric utility property tax replacement ($163.294 million for FY 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</si>
</sst>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#,##0\ ;"/>
    <numFmt numFmtId="167" formatCode="&quot;$&quot;* #,##0_);&quot;$&quot;* \-\ #,##0_)"/>
    <numFmt numFmtId="168" formatCode="_(* #,##0_);_(* \(#,##0\);_(* &quot;-&quot;??_);_(@_)"/>
    <numFmt numFmtId="169" formatCode="&quot;$&quot;* #,##0_);&quot;$&quot;* &quot;-&quot;#,##0_)"/>
    <numFmt numFmtId="170" formatCode="* #,##0_);* &quot;-&quot;#,##0_)"/>
  </numFmts>
  <fonts count="10" x14ac:knownFonts="1">
    <font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9"/>
      <color indexed="8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4">
    <xf borderId="0" fillId="0" fontId="0" numFmtId="0"/>
    <xf applyAlignment="0" applyBorder="0" applyFill="0" applyFont="0" applyProtection="0" borderId="0" fillId="0" fontId="1" numFmtId="164"/>
    <xf applyAlignment="0" applyBorder="0" applyFill="0" applyFont="0" applyProtection="0" borderId="0" fillId="0" fontId="1" numFmtId="165"/>
    <xf borderId="0" fillId="0" fontId="9" numFmtId="0"/>
  </cellStyleXfs>
  <cellXfs count="82">
    <xf borderId="0" fillId="0" fontId="0" numFmtId="0" xfId="0"/>
    <xf applyNumberFormat="1" borderId="0" fillId="0" fontId="0" numFmtId="166" xfId="0"/>
    <xf applyNumberFormat="1" applyProtection="1" borderId="0" fillId="0" fontId="0" numFmtId="166" xfId="0">
      <protection locked="0"/>
    </xf>
    <xf applyFont="1" borderId="0" fillId="0" fontId="1" numFmtId="0" xfId="0"/>
    <xf applyAlignment="1" applyFont="1" borderId="0" fillId="0" fontId="1" numFmtId="0" xfId="0">
      <alignment vertical="top"/>
    </xf>
    <xf applyAlignment="1" applyFont="1" borderId="0" fillId="0" fontId="2" numFmtId="0" xfId="0">
      <alignment horizontal="centerContinuous"/>
    </xf>
    <xf applyAlignment="1" applyFont="1" borderId="0" fillId="0" fontId="3" numFmtId="0" xfId="0">
      <alignment horizontal="centerContinuous"/>
    </xf>
    <xf applyFont="1" borderId="0" fillId="0" fontId="4" numFmtId="0" xfId="0"/>
    <xf applyFont="1" borderId="0" fillId="0" fontId="5" numFmtId="0" xfId="0"/>
    <xf applyAlignment="1" applyFont="1" borderId="0" fillId="0" fontId="5" numFmtId="0" xfId="0">
      <alignment horizontal="center"/>
    </xf>
    <xf applyAlignment="1" applyFont="1" borderId="0" fillId="0" fontId="5" numFmtId="0" xfId="0">
      <alignment horizontal="center" vertical="top"/>
    </xf>
    <xf applyAlignment="1" applyFont="1" borderId="0" fillId="0" fontId="4" numFmtId="0" xfId="0">
      <alignment horizontal="center"/>
    </xf>
    <xf applyBorder="1" applyFill="1" applyFont="1" borderId="0" fillId="0" fontId="5" numFmtId="0" xfId="0"/>
    <xf applyFont="1" applyNumberFormat="1" borderId="0" fillId="0" fontId="5" numFmtId="1" xfId="0"/>
    <xf applyAlignment="1" applyBorder="1" applyFill="1" applyFont="1" applyNumberFormat="1" borderId="0" fillId="0" fontId="5" numFmtId="0" xfId="0">
      <alignment horizontal="right"/>
    </xf>
    <xf applyFont="1" applyNumberFormat="1" applyProtection="1" borderId="0" fillId="0" fontId="5" numFmtId="166" xfId="0">
      <protection locked="0"/>
    </xf>
    <xf applyFont="1" applyNumberFormat="1" borderId="0" fillId="0" fontId="5" numFmtId="3" xfId="0"/>
    <xf applyAlignment="1" applyFont="1" applyProtection="1" borderId="0" fillId="0" fontId="4" numFmtId="0" xfId="0">
      <alignment horizontal="left"/>
      <protection locked="0"/>
    </xf>
    <xf applyAlignment="1" applyFont="1" borderId="0" fillId="0" fontId="6" numFmtId="0" xfId="0">
      <alignment horizontal="centerContinuous"/>
    </xf>
    <xf applyFont="1" borderId="0" fillId="0" fontId="3" numFmtId="0" xfId="0"/>
    <xf applyAlignment="1" applyFont="1" borderId="0" fillId="0" fontId="7" numFmtId="0" xfId="0">
      <alignment horizontal="centerContinuous"/>
    </xf>
    <xf applyAlignment="1" applyFont="1" borderId="0" fillId="0" fontId="2" numFmtId="0" xfId="0"/>
    <xf applyAlignment="1" applyBorder="1" applyFont="1" borderId="0" fillId="0" fontId="5" numFmtId="0" xfId="0">
      <alignment horizontal="center"/>
    </xf>
    <xf applyAlignment="1" applyFont="1" borderId="0" fillId="0" fontId="1" numFmtId="0" xfId="0"/>
    <xf applyAlignment="1" applyBorder="1" applyFill="1" applyFont="1" applyProtection="1" borderId="0" fillId="0" fontId="0" numFmtId="0" xfId="0">
      <alignment horizontal="center"/>
      <protection locked="0"/>
    </xf>
    <xf applyAlignment="1" applyFont="1" applyProtection="1" borderId="0" fillId="0" fontId="0" numFmtId="0" xfId="0">
      <alignment horizontal="left"/>
      <protection locked="0"/>
    </xf>
    <xf applyFont="1" borderId="0" fillId="0" fontId="0" numFmtId="0" xfId="0"/>
    <xf applyFont="1" borderId="0" fillId="0" fontId="8" numFmtId="0" xfId="0"/>
    <xf applyAlignment="1" applyFont="1" borderId="0" fillId="0" fontId="8" numFmtId="0" xfId="0">
      <alignment wrapText="1"/>
    </xf>
    <xf applyAlignment="1" applyBorder="1" applyFont="1" applyNumberFormat="1" borderId="0" fillId="0" fontId="8" numFmtId="1" xfId="0">
      <alignment horizontal="left" vertical="top" wrapText="1"/>
    </xf>
    <xf applyAlignment="1" applyBorder="1" applyFill="1" applyFont="1" applyNumberFormat="1" borderId="0" fillId="0" fontId="5" numFmtId="1" xfId="0">
      <alignment horizontal="right"/>
    </xf>
    <xf applyAlignment="1" applyBorder="1" applyFill="1" applyFont="1" applyNumberFormat="1" borderId="0" fillId="0" fontId="5" numFmtId="3" xfId="0">
      <alignment horizontal="right"/>
    </xf>
    <xf applyAlignment="1" applyBorder="1" applyFill="1" applyFont="1" applyNumberFormat="1" applyProtection="1" borderId="0" fillId="0" fontId="5" numFmtId="3" xfId="0">
      <alignment horizontal="right"/>
      <protection locked="0"/>
    </xf>
    <xf applyAlignment="1" applyBorder="1" applyFill="1" applyFont="1" applyNumberFormat="1" borderId="0" fillId="0" fontId="0" numFmtId="3" xfId="0">
      <alignment horizontal="right"/>
    </xf>
    <xf applyAlignment="1" applyBorder="1" borderId="0" fillId="0" fontId="0" numFmtId="0" xfId="0">
      <alignment horizontal="right"/>
    </xf>
    <xf applyAlignment="1" applyBorder="1" applyFill="1" applyFont="1" applyNumberFormat="1" borderId="0" fillId="0" fontId="0" numFmtId="2" xfId="0">
      <alignment horizontal="right"/>
    </xf>
    <xf applyAlignment="1" applyBorder="1" applyFont="1" applyNumberFormat="1" borderId="0" fillId="0" fontId="5" numFmtId="1" xfId="0">
      <alignment horizontal="right"/>
    </xf>
    <xf applyAlignment="1" applyBorder="1" applyNumberFormat="1" applyProtection="1" borderId="0" fillId="0" fontId="0" numFmtId="1" xfId="0">
      <alignment horizontal="right"/>
      <protection locked="0"/>
    </xf>
    <xf applyAlignment="1" applyBorder="1" applyFont="1" applyNumberFormat="1" applyProtection="1" borderId="0" fillId="0" fontId="5" numFmtId="3" xfId="0">
      <alignment horizontal="right"/>
      <protection locked="0"/>
    </xf>
    <xf applyAlignment="1" applyBorder="1" applyNumberFormat="1" borderId="0" fillId="0" fontId="0" numFmtId="1" xfId="0">
      <alignment horizontal="right"/>
    </xf>
    <xf applyAlignment="1" applyBorder="1" applyNumberFormat="1" borderId="0" fillId="0" fontId="0" numFmtId="3" xfId="0">
      <alignment horizontal="right"/>
    </xf>
    <xf applyAlignment="1" applyBorder="1" applyFont="1" applyNumberFormat="1" borderId="0" fillId="0" fontId="0" numFmtId="1" xfId="0">
      <alignment horizontal="left"/>
    </xf>
    <xf applyAlignment="1" applyBorder="1" applyFont="1" applyNumberFormat="1" borderId="0" fillId="0" fontId="5" numFmtId="3" xfId="0">
      <alignment horizontal="left"/>
    </xf>
    <xf applyAlignment="1" applyBorder="1" applyFont="1" applyNumberFormat="1" borderId="0" fillId="0" fontId="5" numFmtId="3" xfId="0">
      <alignment horizontal="left" vertical="top"/>
    </xf>
    <xf applyAlignment="1" applyBorder="1" applyNumberFormat="1" borderId="0" fillId="0" fontId="0" numFmtId="3" xfId="0">
      <alignment horizontal="left" vertical="top"/>
    </xf>
    <xf applyAlignment="1" applyBorder="1" borderId="0" fillId="0" fontId="0" numFmtId="0" xfId="0">
      <alignment horizontal="left"/>
    </xf>
    <xf applyFont="1" applyProtection="1" borderId="0" fillId="0" fontId="4" numFmtId="0" xfId="0">
      <protection hidden="1"/>
    </xf>
    <xf applyFont="1" applyProtection="1" borderId="0" fillId="0" fontId="5" numFmtId="0" xfId="0">
      <protection hidden="1"/>
    </xf>
    <xf applyAlignment="1" applyFont="1" applyProtection="1" borderId="0" fillId="0" fontId="5" numFmtId="0" xfId="0">
      <alignment horizontal="center" vertical="top"/>
      <protection hidden="1"/>
    </xf>
    <xf applyAlignment="1" applyBorder="1" applyFont="1" applyProtection="1" borderId="0" fillId="0" fontId="5" numFmtId="0" xfId="0">
      <alignment horizontal="center"/>
      <protection hidden="1"/>
    </xf>
    <xf applyAlignment="1" applyBorder="1" applyFill="1" applyFont="1" applyProtection="1" borderId="0" fillId="0" fontId="5" numFmtId="0" xfId="0">
      <alignment horizontal="center" vertical="top"/>
      <protection hidden="1"/>
    </xf>
    <xf applyAlignment="1" applyBorder="1" applyFont="1" applyProtection="1" borderId="1" fillId="0" fontId="5" numFmtId="0" xfId="0">
      <alignment horizontal="center"/>
      <protection hidden="1"/>
    </xf>
    <xf applyAlignment="1" applyBorder="1" applyFont="1" applyProtection="1" borderId="0" fillId="0" fontId="4" numFmtId="0" xfId="0">
      <alignment horizontal="center"/>
      <protection hidden="1"/>
    </xf>
    <xf applyAlignment="1" applyBorder="1" applyFill="1" applyFont="1" applyProtection="1" borderId="1" fillId="0" fontId="5" numFmtId="0" xfId="0">
      <alignment horizontal="center" vertical="top"/>
      <protection hidden="1"/>
    </xf>
    <xf applyAlignment="1" applyBorder="1" applyFill="1" applyFont="1" applyProtection="1" borderId="0" fillId="0" fontId="5" numFmtId="0" xfId="0">
      <alignment horizontal="center"/>
      <protection hidden="1"/>
    </xf>
    <xf applyBorder="1" applyFill="1" applyFont="1" applyNumberFormat="1" applyProtection="1" borderId="0" fillId="0" fontId="5" numFmtId="167" xfId="0">
      <protection hidden="1"/>
    </xf>
    <xf applyBorder="1" applyFont="1" applyProtection="1" borderId="0" fillId="0" fontId="5" numFmtId="0" xfId="0">
      <protection hidden="1"/>
    </xf>
    <xf applyBorder="1" applyFill="1" applyFont="1" applyNumberFormat="1" applyProtection="1" borderId="0" fillId="0" fontId="5" numFmtId="3" xfId="0">
      <protection hidden="1"/>
    </xf>
    <xf applyBorder="1" applyFont="1" applyNumberFormat="1" applyProtection="1" borderId="0" fillId="0" fontId="5" numFmtId="3" xfId="0">
      <protection hidden="1"/>
    </xf>
    <xf applyAlignment="1" applyBorder="1" applyFill="1" applyFont="1" applyProtection="1" borderId="2" fillId="0" fontId="5" numFmtId="0" xfId="0">
      <alignment horizontal="center"/>
      <protection hidden="1"/>
    </xf>
    <xf applyBorder="1" applyFont="1" applyProtection="1" borderId="2" fillId="0" fontId="5" numFmtId="0" xfId="0">
      <protection hidden="1"/>
    </xf>
    <xf applyBorder="1" applyFill="1" applyFont="1" applyNumberFormat="1" applyProtection="1" borderId="2" fillId="0" fontId="5" numFmtId="3" xfId="0">
      <protection hidden="1"/>
    </xf>
    <xf applyBorder="1" applyFont="1" applyNumberFormat="1" applyProtection="1" borderId="2" fillId="0" fontId="5" numFmtId="3" xfId="0">
      <protection hidden="1"/>
    </xf>
    <xf applyAlignment="1" applyBorder="1" applyProtection="1" borderId="0" fillId="0" fontId="0" numFmtId="0" xfId="0">
      <alignment horizontal="center"/>
      <protection hidden="1"/>
    </xf>
    <xf applyBorder="1" applyFont="1" applyNumberFormat="1" applyProtection="1" borderId="0" fillId="0" fontId="5" numFmtId="37" xfId="0">
      <protection hidden="1"/>
    </xf>
    <xf applyAlignment="1" applyFont="1" applyProtection="1" borderId="0" fillId="0" fontId="5" numFmtId="0" xfId="0">
      <alignment vertical="top"/>
      <protection hidden="1"/>
    </xf>
    <xf applyAlignment="1" applyBorder="1" applyFill="1" applyFont="1" applyProtection="1" borderId="0" fillId="0" fontId="4" numFmtId="0" xfId="0">
      <alignment horizontal="center" vertical="top"/>
      <protection hidden="1"/>
    </xf>
    <xf applyBorder="1" applyFill="1" applyFont="1" applyProtection="1" borderId="0" fillId="0" fontId="5" numFmtId="0" xfId="0">
      <protection hidden="1"/>
    </xf>
    <xf applyAlignment="1" applyBorder="1" applyProtection="1" borderId="2" fillId="0" fontId="0" numFmtId="0" xfId="0">
      <alignment horizontal="center"/>
      <protection hidden="1"/>
    </xf>
    <xf applyBorder="1" applyFill="1" applyFont="1" applyProtection="1" borderId="2" fillId="0" fontId="5" numFmtId="0" xfId="0">
      <protection hidden="1"/>
    </xf>
    <xf applyAlignment="1" applyBorder="1" applyFont="1" applyNumberFormat="1" borderId="0" fillId="0" fontId="0" numFmtId="3" xfId="0">
      <alignment horizontal="left"/>
    </xf>
    <xf applyAlignment="1" applyBorder="1" applyFont="1" applyProtection="1" borderId="1" fillId="0" fontId="0" numFmtId="0" xfId="0">
      <alignment horizontal="center"/>
      <protection hidden="1"/>
    </xf>
    <xf applyAlignment="1" applyBorder="1" applyFont="1" applyProtection="1" borderId="0" fillId="0" fontId="0" numFmtId="0" xfId="0">
      <alignment horizontal="center"/>
      <protection hidden="1"/>
    </xf>
    <xf applyAlignment="1" applyFont="1" applyProtection="1" borderId="0" fillId="0" fontId="5" numFmtId="0" xfId="0">
      <alignment horizontal="center"/>
      <protection hidden="1"/>
    </xf>
    <xf applyAlignment="1" applyBorder="1" applyFont="1" applyNumberFormat="1" borderId="0" fillId="0" fontId="0" numFmtId="168" xfId="1">
      <alignment horizontal="right"/>
    </xf>
    <xf applyFont="1" applyNumberFormat="1" borderId="0" fillId="0" fontId="0" numFmtId="169" xfId="2"/>
    <xf applyFont="1" applyNumberFormat="1" borderId="0" fillId="0" fontId="0" numFmtId="170" xfId="2"/>
    <xf applyBorder="1" applyFill="1" applyFont="1" applyNumberFormat="1" applyProtection="1" borderId="2" fillId="0" fontId="5" numFmtId="170" xfId="0">
      <protection hidden="1"/>
    </xf>
    <xf applyBorder="1" applyFill="1" applyFont="1" applyNumberFormat="1" applyProtection="1" borderId="0" fillId="0" fontId="5" numFmtId="170" xfId="0">
      <protection hidden="1"/>
    </xf>
    <xf applyAlignment="1" applyFont="1" borderId="0" fillId="0" fontId="3" numFmtId="0" xfId="0">
      <alignment horizontal="left"/>
    </xf>
    <xf applyAlignment="1" applyFont="1" borderId="0" fillId="0" fontId="0" numFmtId="0" xfId="0">
      <alignment horizontal="left"/>
    </xf>
    <xf applyAlignment="1" applyFont="1" borderId="0" fillId="0" fontId="5" numFmtId="0" xfId="0">
      <alignment horizontal="left"/>
    </xf>
  </cellXfs>
  <cellStyles count="4">
    <cellStyle builtinId="3" name="Comma" xfId="1"/>
    <cellStyle builtinId="4" name="Currency" xfId="2"/>
    <cellStyle builtinId="0" name="Normal" xfId="0"/>
    <cellStyle name="Normal 2" xfId="3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P52"/>
  <sheetViews>
    <sheetView showGridLines="0" tabSelected="1" topLeftCell="B19" view="pageLayout" workbookViewId="0" zoomScaleNormal="100">
      <selection activeCell="F60" sqref="F60:F62"/>
    </sheetView>
  </sheetViews>
  <sheetFormatPr defaultRowHeight="12" x14ac:dyDescent="0.2"/>
  <cols>
    <col min="1" max="1" customWidth="true" hidden="true" width="3.28515625" collapsed="false"/>
    <col min="2" max="2" customWidth="true" width="5.42578125" collapsed="false"/>
    <col min="3" max="3" customWidth="true" width="1.7109375" collapsed="false"/>
    <col min="4" max="4" customWidth="true" width="15.140625" collapsed="false"/>
    <col min="5" max="5" customWidth="true" width="1.7109375" collapsed="false"/>
    <col min="6" max="6" customWidth="true" width="12.140625" collapsed="false"/>
    <col min="7" max="7" customWidth="true" width="1.7109375" collapsed="false"/>
    <col min="8" max="8" customWidth="true" width="13.0" collapsed="false"/>
    <col min="9" max="9" customWidth="true" width="1.7109375" collapsed="false"/>
    <col min="10" max="10" customWidth="true" width="11.7109375" collapsed="false"/>
    <col min="11" max="11" customWidth="true" width="1.7109375" collapsed="false"/>
    <col min="12" max="12" customWidth="true" width="11.28515625" collapsed="false"/>
    <col min="13" max="13" customWidth="true" width="2.28515625" collapsed="false"/>
    <col min="14" max="14" customWidth="true" width="11.42578125" collapsed="false"/>
    <col min="15" max="15" customWidth="true" width="2.5703125" collapsed="false"/>
  </cols>
  <sheetData>
    <row customFormat="1" customHeight="1" ht="18" r="1" s="19" spans="1:15" x14ac:dyDescent="0.25">
      <c r="A1" s="79" t="s">
        <v>40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18"/>
      <c r="O1" s="6"/>
    </row>
    <row customFormat="1" customHeight="1" ht="15" r="2" s="21" spans="1:15" x14ac:dyDescent="0.25">
      <c r="A2" s="80" t="s">
        <v>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20"/>
      <c r="O2" s="5"/>
    </row>
    <row customFormat="1" customHeight="1" ht="6.75" r="3" s="21" spans="1:15" x14ac:dyDescent="0.25">
      <c r="A3" s="5"/>
      <c r="B3" s="5"/>
      <c r="C3" s="20"/>
      <c r="D3" s="5"/>
      <c r="E3" s="5"/>
      <c r="F3" s="5"/>
      <c r="G3" s="5"/>
      <c r="H3" s="5"/>
      <c r="I3" s="5"/>
      <c r="J3" s="5"/>
      <c r="K3" s="5"/>
      <c r="L3" s="5"/>
      <c r="M3" s="5"/>
      <c r="N3" s="20"/>
      <c r="O3" s="5"/>
    </row>
    <row customFormat="1" r="4" s="3" spans="1:15" x14ac:dyDescent="0.2">
      <c r="A4" s="7"/>
      <c r="B4" s="46"/>
      <c r="C4" s="47"/>
      <c r="D4" s="73"/>
      <c r="E4" s="47"/>
      <c r="F4" s="47"/>
      <c r="G4" s="47"/>
      <c r="H4" s="47"/>
      <c r="I4" s="47"/>
      <c r="J4" s="47"/>
      <c r="K4" s="47"/>
      <c r="L4" s="47"/>
      <c r="M4" s="8"/>
      <c r="N4" s="8"/>
    </row>
    <row customFormat="1" r="5" s="23" spans="1:15" x14ac:dyDescent="0.2">
      <c r="A5" s="9"/>
      <c r="B5" s="49" t="s">
        <v>0</v>
      </c>
      <c r="C5" s="49"/>
      <c r="D5" s="49"/>
      <c r="E5" s="49"/>
      <c r="F5" s="49" t="s">
        <v>1</v>
      </c>
      <c r="G5" s="49"/>
      <c r="H5" s="49" t="s">
        <v>1</v>
      </c>
      <c r="I5" s="49"/>
      <c r="J5" s="49"/>
      <c r="K5" s="49"/>
      <c r="L5" s="49"/>
      <c r="M5" s="22"/>
      <c r="N5" s="9"/>
    </row>
    <row customFormat="1" r="6" s="23" spans="1:15" x14ac:dyDescent="0.2">
      <c r="A6" s="11"/>
      <c r="B6" s="51" t="s">
        <v>2</v>
      </c>
      <c r="C6" s="52"/>
      <c r="D6" s="71" t="s">
        <v>20</v>
      </c>
      <c r="E6" s="52"/>
      <c r="F6" s="71" t="s">
        <v>32</v>
      </c>
      <c r="G6" s="52"/>
      <c r="H6" s="71" t="s">
        <v>33</v>
      </c>
      <c r="I6" s="52"/>
      <c r="J6" s="71" t="s">
        <v>23</v>
      </c>
      <c r="K6" s="52"/>
      <c r="L6" s="71" t="s">
        <v>24</v>
      </c>
      <c r="M6" s="22"/>
      <c r="N6" s="11"/>
    </row>
    <row customFormat="1" customHeight="1" ht="12" r="7" s="3" spans="1:15" x14ac:dyDescent="0.2">
      <c r="A7" s="13"/>
      <c r="B7" s="54">
        <f>LARGE(Data!$A$2:$A$93,15)</f>
        <v>2005</v>
      </c>
      <c r="C7" s="54"/>
      <c r="D7" s="75">
        <f>INDEX(Data!$A$2:$N$93,MATCH(Factbook!$B7,Data!$A$2:$A$93,0),2)</f>
        <v>1558366</v>
      </c>
      <c r="E7" s="55"/>
      <c r="F7" s="75">
        <f>INDEX(Data!$A$2:$N$93,MATCH(Factbook!$B7,Data!$A$2:$A$93,0),3)</f>
        <v>469096</v>
      </c>
      <c r="G7" s="55"/>
      <c r="H7" s="75">
        <f>INDEX(Data!$A$2:$N$93,MATCH(Factbook!$B7,Data!$A$2:$A$93,0),4)</f>
        <v>66690</v>
      </c>
      <c r="I7" s="55"/>
      <c r="J7" s="75">
        <f>INDEX(Data!$A$2:$N$93,MATCH(Factbook!$B7,Data!$A$2:$A$93,0),5)</f>
        <v>954202</v>
      </c>
      <c r="K7" s="55"/>
      <c r="L7" s="75">
        <f>INDEX(Data!$A$2:$N$93,MATCH(Factbook!$B7,Data!$A$2:$A$93,0),6)</f>
        <v>162476</v>
      </c>
      <c r="M7" s="8"/>
      <c r="N7" s="8"/>
    </row>
    <row customFormat="1" customHeight="1" ht="12" r="8" s="3" spans="1:15" x14ac:dyDescent="0.2">
      <c r="A8" s="13"/>
      <c r="B8" s="54">
        <f>LARGE(Data!$A$2:$A$93,14)</f>
        <v>2006</v>
      </c>
      <c r="C8" s="56"/>
      <c r="D8" s="76">
        <f>INDEX(Data!$A$2:$N$93,MATCH(Factbook!$B8,Data!$A$2:$A$93,0),2)</f>
        <v>1625646</v>
      </c>
      <c r="E8" s="58"/>
      <c r="F8" s="76">
        <f>INDEX(Data!$A$2:$N$93,MATCH(Factbook!$B8,Data!$A$2:$A$93,0),3)</f>
        <v>474909</v>
      </c>
      <c r="G8" s="58"/>
      <c r="H8" s="76">
        <f>INDEX(Data!$A$2:$N$93,MATCH(Factbook!$B8,Data!$A$2:$A$93,0),4)</f>
        <v>68653</v>
      </c>
      <c r="I8" s="58"/>
      <c r="J8" s="76">
        <f>INDEX(Data!$A$2:$N$93,MATCH(Factbook!$B8,Data!$A$2:$A$93,0),5)</f>
        <v>994955</v>
      </c>
      <c r="K8" s="58"/>
      <c r="L8" s="76">
        <f>INDEX(Data!$A$2:$N$93,MATCH(Factbook!$B8,Data!$A$2:$A$93,0),6)</f>
        <v>167428</v>
      </c>
      <c r="M8" s="8"/>
      <c r="N8" s="8"/>
    </row>
    <row customFormat="1" customHeight="1" ht="12" r="9" s="3" spans="1:15" x14ac:dyDescent="0.2">
      <c r="A9" s="13"/>
      <c r="B9" s="59">
        <f>LARGE(Data!$A$2:$A$93,13)</f>
        <v>2007</v>
      </c>
      <c r="C9" s="60"/>
      <c r="D9" s="77">
        <f>INDEX(Data!$A$2:$N$93,MATCH(Factbook!$B9,Data!$A$2:$A$93,0),2)</f>
        <v>1733559</v>
      </c>
      <c r="E9" s="62"/>
      <c r="F9" s="77">
        <f>INDEX(Data!$A$2:$N$93,MATCH(Factbook!$B9,Data!$A$2:$A$93,0),3)</f>
        <v>492911</v>
      </c>
      <c r="G9" s="62"/>
      <c r="H9" s="77">
        <f>INDEX(Data!$A$2:$N$93,MATCH(Factbook!$B9,Data!$A$2:$A$93,0),4)</f>
        <v>70745</v>
      </c>
      <c r="I9" s="62"/>
      <c r="J9" s="77">
        <f>INDEX(Data!$A$2:$N$93,MATCH(Factbook!$B9,Data!$A$2:$A$93,0),5)</f>
        <v>1076792</v>
      </c>
      <c r="K9" s="62"/>
      <c r="L9" s="77">
        <f>INDEX(Data!$A$2:$N$93,MATCH(Factbook!$B9,Data!$A$2:$A$93,0),6)</f>
        <v>174473</v>
      </c>
      <c r="M9" s="8"/>
      <c r="N9" s="8"/>
    </row>
    <row customFormat="1" customHeight="1" ht="12" r="10" s="3" spans="1:15" x14ac:dyDescent="0.2">
      <c r="A10" s="13"/>
      <c r="B10" s="54">
        <f>LARGE(Data!$A$2:$A$93,12)</f>
        <v>2008</v>
      </c>
      <c r="C10" s="56"/>
      <c r="D10" s="78">
        <f>INDEX(Data!$A$2:$N$93,MATCH(Factbook!$B10,Data!$A$2:$A$93,0),2)</f>
        <v>1804494</v>
      </c>
      <c r="E10" s="58"/>
      <c r="F10" s="78">
        <f>INDEX(Data!$A$2:$N$93,MATCH(Factbook!$B10,Data!$A$2:$A$93,0),3)</f>
        <v>500120</v>
      </c>
      <c r="G10" s="58"/>
      <c r="H10" s="78">
        <f>INDEX(Data!$A$2:$N$93,MATCH(Factbook!$B10,Data!$A$2:$A$93,0),4)</f>
        <v>74375</v>
      </c>
      <c r="I10" s="58"/>
      <c r="J10" s="78">
        <f>INDEX(Data!$A$2:$N$93,MATCH(Factbook!$B10,Data!$A$2:$A$93,0),5)</f>
        <v>1137984</v>
      </c>
      <c r="K10" s="58"/>
      <c r="L10" s="78">
        <f>INDEX(Data!$A$2:$N$93,MATCH(Factbook!$B10,Data!$A$2:$A$93,0),6)</f>
        <v>178220</v>
      </c>
      <c r="M10" s="8"/>
      <c r="N10" s="8"/>
    </row>
    <row customFormat="1" customHeight="1" ht="12" r="11" s="3" spans="1:15" x14ac:dyDescent="0.2">
      <c r="A11" s="13"/>
      <c r="B11" s="54">
        <f>LARGE(Data!$A$2:$A$93,11)</f>
        <v>2009</v>
      </c>
      <c r="C11" s="56"/>
      <c r="D11" s="78">
        <f>INDEX(Data!$A$2:$N$93,MATCH(Factbook!$B11,Data!$A$2:$A$93,0),2)</f>
        <v>1927518</v>
      </c>
      <c r="E11" s="58"/>
      <c r="F11" s="78">
        <f>INDEX(Data!$A$2:$N$93,MATCH(Factbook!$B11,Data!$A$2:$A$93,0),3)</f>
        <v>535440</v>
      </c>
      <c r="G11" s="58"/>
      <c r="H11" s="78">
        <f>INDEX(Data!$A$2:$N$93,MATCH(Factbook!$B11,Data!$A$2:$A$93,0),4)</f>
        <v>69055</v>
      </c>
      <c r="I11" s="58"/>
      <c r="J11" s="78">
        <f>INDEX(Data!$A$2:$N$93,MATCH(Factbook!$B11,Data!$A$2:$A$93,0),5)</f>
        <v>1213183</v>
      </c>
      <c r="K11" s="58"/>
      <c r="L11" s="78">
        <f>INDEX(Data!$A$2:$N$93,MATCH(Factbook!$B11,Data!$A$2:$A$93,0),6)</f>
        <v>185452</v>
      </c>
      <c r="M11" s="8"/>
      <c r="N11" s="8"/>
    </row>
    <row customFormat="1" customHeight="1" ht="12" r="12" s="3" spans="1:15" x14ac:dyDescent="0.2">
      <c r="A12" s="13"/>
      <c r="B12" s="59">
        <f>LARGE(Data!$A$2:$A$93,10)</f>
        <v>2010</v>
      </c>
      <c r="C12" s="60"/>
      <c r="D12" s="77">
        <f>INDEX(Data!$A$2:$N$93,MATCH(Factbook!$B12,Data!$A$2:$A$93,0),2)</f>
        <v>2052806</v>
      </c>
      <c r="E12" s="62"/>
      <c r="F12" s="77">
        <f>INDEX(Data!$A$2:$N$93,MATCH(Factbook!$B12,Data!$A$2:$A$93,0),3)</f>
        <v>559326</v>
      </c>
      <c r="G12" s="62"/>
      <c r="H12" s="77">
        <f>INDEX(Data!$A$2:$N$93,MATCH(Factbook!$B12,Data!$A$2:$A$93,0),4)</f>
        <v>76102</v>
      </c>
      <c r="I12" s="62"/>
      <c r="J12" s="77">
        <f>INDEX(Data!$A$2:$N$93,MATCH(Factbook!$B12,Data!$A$2:$A$93,0),5)</f>
        <v>1243895</v>
      </c>
      <c r="K12" s="62"/>
      <c r="L12" s="77">
        <f>INDEX(Data!$A$2:$N$93,MATCH(Factbook!$B12,Data!$A$2:$A$93,0),6)</f>
        <v>195947</v>
      </c>
      <c r="M12" s="8"/>
      <c r="N12" s="8"/>
    </row>
    <row customFormat="1" customHeight="1" ht="12" r="13" s="3" spans="1:15" x14ac:dyDescent="0.2">
      <c r="A13" s="13"/>
      <c r="B13" s="54">
        <f>LARGE(Data!$A$2:$A$93,9)</f>
        <v>2011</v>
      </c>
      <c r="C13" s="56"/>
      <c r="D13" s="78">
        <f>INDEX(Data!$A$2:$N$93,MATCH(Factbook!$B13,Data!$A$2:$A$93,0),2)</f>
        <v>2201874</v>
      </c>
      <c r="E13" s="58"/>
      <c r="F13" s="78">
        <f>INDEX(Data!$A$2:$N$93,MATCH(Factbook!$B13,Data!$A$2:$A$93,0),3)</f>
        <v>620804</v>
      </c>
      <c r="G13" s="58"/>
      <c r="H13" s="78">
        <f>INDEX(Data!$A$2:$N$93,MATCH(Factbook!$B13,Data!$A$2:$A$93,0),4)</f>
        <v>53234</v>
      </c>
      <c r="I13" s="58"/>
      <c r="J13" s="78">
        <f>INDEX(Data!$A$2:$N$93,MATCH(Factbook!$B13,Data!$A$2:$A$93,0),5)</f>
        <v>1288697</v>
      </c>
      <c r="K13" s="58"/>
      <c r="L13" s="78">
        <f>INDEX(Data!$A$2:$N$93,MATCH(Factbook!$B13,Data!$A$2:$A$93,0),6)</f>
        <v>206059</v>
      </c>
      <c r="M13" s="8"/>
      <c r="N13" s="8"/>
    </row>
    <row customFormat="1" customHeight="1" ht="12" r="14" s="3" spans="1:15" x14ac:dyDescent="0.2">
      <c r="A14" s="13"/>
      <c r="B14" s="54">
        <f>LARGE(Data!$A$2:$A$93,8)</f>
        <v>2012</v>
      </c>
      <c r="C14" s="56"/>
      <c r="D14" s="78">
        <f>INDEX(Data!$A$2:$N$93,MATCH(Factbook!$B14,Data!$A$2:$A$93,0),2)</f>
        <v>2314967</v>
      </c>
      <c r="E14" s="58"/>
      <c r="F14" s="78">
        <f>INDEX(Data!$A$2:$N$93,MATCH(Factbook!$B14,Data!$A$2:$A$93,0),3)</f>
        <v>640707</v>
      </c>
      <c r="G14" s="58"/>
      <c r="H14" s="78">
        <f>INDEX(Data!$A$2:$N$93,MATCH(Factbook!$B14,Data!$A$2:$A$93,0),4)</f>
        <v>55351</v>
      </c>
      <c r="I14" s="58"/>
      <c r="J14" s="78">
        <f>INDEX(Data!$A$2:$N$93,MATCH(Factbook!$B14,Data!$A$2:$A$93,0),5)</f>
        <v>1296348</v>
      </c>
      <c r="K14" s="58"/>
      <c r="L14" s="78">
        <f>INDEX(Data!$A$2:$N$93,MATCH(Factbook!$B14,Data!$A$2:$A$93,0),6)</f>
        <v>215284</v>
      </c>
      <c r="M14" s="8"/>
      <c r="N14" s="8"/>
    </row>
    <row customFormat="1" customHeight="1" ht="12" r="15" s="3" spans="1:15" x14ac:dyDescent="0.2">
      <c r="A15" s="13"/>
      <c r="B15" s="59">
        <f>LARGE(Data!$A$2:$A$93,7)</f>
        <v>2013</v>
      </c>
      <c r="C15" s="60"/>
      <c r="D15" s="77">
        <f>INDEX(Data!$A$2:$N$93,MATCH(Factbook!$B15,Data!$A$2:$A$93,0),2)</f>
        <v>2411784</v>
      </c>
      <c r="E15" s="62"/>
      <c r="F15" s="77">
        <f>INDEX(Data!$A$2:$N$93,MATCH(Factbook!$B15,Data!$A$2:$A$93,0),3)</f>
        <v>662238</v>
      </c>
      <c r="G15" s="62"/>
      <c r="H15" s="77">
        <f>INDEX(Data!$A$2:$N$93,MATCH(Factbook!$B15,Data!$A$2:$A$93,0),4)</f>
        <v>46527</v>
      </c>
      <c r="I15" s="62"/>
      <c r="J15" s="77">
        <f>INDEX(Data!$A$2:$N$93,MATCH(Factbook!$B15,Data!$A$2:$A$93,0),5)</f>
        <v>1288865</v>
      </c>
      <c r="K15" s="62"/>
      <c r="L15" s="77">
        <f>INDEX(Data!$A$2:$N$93,MATCH(Factbook!$B15,Data!$A$2:$A$93,0),6)</f>
        <v>221286</v>
      </c>
      <c r="M15" s="8"/>
      <c r="N15" s="8"/>
    </row>
    <row customFormat="1" customHeight="1" ht="12" r="16" s="3" spans="1:15" x14ac:dyDescent="0.2">
      <c r="A16" s="13"/>
      <c r="B16" s="54">
        <f>LARGE(Data!$A$2:$A$93,6)</f>
        <v>2014</v>
      </c>
      <c r="C16" s="56"/>
      <c r="D16" s="78">
        <f>INDEX(Data!$A$2:$N$93,MATCH(Factbook!$B16,Data!$A$2:$A$93,0),2)</f>
        <v>2509530</v>
      </c>
      <c r="E16" s="58"/>
      <c r="F16" s="78">
        <f>INDEX(Data!$A$2:$N$93,MATCH(Factbook!$B16,Data!$A$2:$A$93,0),3)</f>
        <v>673191</v>
      </c>
      <c r="G16" s="58"/>
      <c r="H16" s="78">
        <f>INDEX(Data!$A$2:$N$93,MATCH(Factbook!$B16,Data!$A$2:$A$93,0),4)</f>
        <v>49438</v>
      </c>
      <c r="I16" s="58"/>
      <c r="J16" s="78">
        <f>INDEX(Data!$A$2:$N$93,MATCH(Factbook!$B16,Data!$A$2:$A$93,0),5)</f>
        <v>1285027</v>
      </c>
      <c r="K16" s="58"/>
      <c r="L16" s="78">
        <f>INDEX(Data!$A$2:$N$93,MATCH(Factbook!$B16,Data!$A$2:$A$93,0),6)</f>
        <v>226971</v>
      </c>
      <c r="M16" s="8"/>
      <c r="N16" s="8"/>
    </row>
    <row customFormat="1" customHeight="1" ht="12" r="17" s="3" spans="1:14" x14ac:dyDescent="0.2">
      <c r="A17" s="13"/>
      <c r="B17" s="54">
        <f>LARGE(Data!$A$2:$A$93,5)</f>
        <v>2015</v>
      </c>
      <c r="C17" s="56"/>
      <c r="D17" s="78">
        <f>INDEX(Data!$A$2:$N$93,MATCH(Factbook!$B17,Data!$A$2:$A$93,0),2)</f>
        <v>2628547</v>
      </c>
      <c r="E17" s="58"/>
      <c r="F17" s="78">
        <f>INDEX(Data!$A$2:$N$93,MATCH(Factbook!$B17,Data!$A$2:$A$93,0),3)</f>
        <v>696017</v>
      </c>
      <c r="G17" s="58"/>
      <c r="H17" s="78">
        <f>INDEX(Data!$A$2:$N$93,MATCH(Factbook!$B17,Data!$A$2:$A$93,0),4)</f>
        <v>44724</v>
      </c>
      <c r="I17" s="58"/>
      <c r="J17" s="78">
        <f>INDEX(Data!$A$2:$N$93,MATCH(Factbook!$B17,Data!$A$2:$A$93,0),5)</f>
        <v>1264273</v>
      </c>
      <c r="K17" s="58"/>
      <c r="L17" s="78">
        <f>INDEX(Data!$A$2:$N$93,MATCH(Factbook!$B17,Data!$A$2:$A$93,0),6)</f>
        <v>228589</v>
      </c>
      <c r="M17" s="8"/>
      <c r="N17" s="8"/>
    </row>
    <row customFormat="1" customHeight="1" ht="12" r="18" s="3" spans="1:14" x14ac:dyDescent="0.2">
      <c r="A18" s="13"/>
      <c r="B18" s="59">
        <f>LARGE(Data!$A$2:$A$93,4)</f>
        <v>2016</v>
      </c>
      <c r="C18" s="60"/>
      <c r="D18" s="77">
        <f>INDEX(Data!$A$2:$N$93,MATCH(Factbook!$B18,Data!$A$2:$A$93,0),2)</f>
        <v>2758986</v>
      </c>
      <c r="E18" s="62"/>
      <c r="F18" s="77">
        <f>INDEX(Data!$A$2:$N$93,MATCH(Factbook!$B18,Data!$A$2:$A$93,0),3)</f>
        <v>718452</v>
      </c>
      <c r="G18" s="62"/>
      <c r="H18" s="77">
        <f>INDEX(Data!$A$2:$N$93,MATCH(Factbook!$B18,Data!$A$2:$A$93,0),4)</f>
        <v>48265</v>
      </c>
      <c r="I18" s="62"/>
      <c r="J18" s="77">
        <f>INDEX(Data!$A$2:$N$93,MATCH(Factbook!$B18,Data!$A$2:$A$93,0),5)</f>
        <v>1221262</v>
      </c>
      <c r="K18" s="62"/>
      <c r="L18" s="77">
        <f>INDEX(Data!$A$2:$N$93,MATCH(Factbook!$B18,Data!$A$2:$A$93,0),6)</f>
        <v>230476</v>
      </c>
      <c r="M18" s="8"/>
      <c r="N18" s="8"/>
    </row>
    <row customFormat="1" customHeight="1" ht="12" r="19" s="3" spans="1:14" x14ac:dyDescent="0.2">
      <c r="A19" s="13"/>
      <c r="B19" s="54">
        <f>LARGE(Data!$A$2:$A$93,3)</f>
        <v>2017</v>
      </c>
      <c r="C19" s="56"/>
      <c r="D19" s="78">
        <f>INDEX(Data!$A$2:$N$93,MATCH(Factbook!$B19,Data!$A$2:$A$93,0),2)</f>
        <v>2873303.355</v>
      </c>
      <c r="E19" s="58"/>
      <c r="F19" s="78">
        <f>INDEX(Data!$A$2:$N$93,MATCH(Factbook!$B19,Data!$A$2:$A$93,0),3)</f>
        <v>749438.36100000003</v>
      </c>
      <c r="G19" s="58"/>
      <c r="H19" s="78">
        <f>INDEX(Data!$A$2:$N$93,MATCH(Factbook!$B19,Data!$A$2:$A$93,0),4)</f>
        <v>38852.046000000002</v>
      </c>
      <c r="I19" s="58"/>
      <c r="J19" s="78">
        <f>INDEX(Data!$A$2:$N$93,MATCH(Factbook!$B19,Data!$A$2:$A$93,0),5)</f>
        <v>1125495.4269999999</v>
      </c>
      <c r="K19" s="58"/>
      <c r="L19" s="78">
        <f>INDEX(Data!$A$2:$N$93,MATCH(Factbook!$B19,Data!$A$2:$A$93,0),6)</f>
        <v>244427.408</v>
      </c>
      <c r="M19" s="8"/>
      <c r="N19" s="8"/>
    </row>
    <row customFormat="1" customHeight="1" ht="12" r="20" s="3" spans="1:14" x14ac:dyDescent="0.2">
      <c r="A20" s="13"/>
      <c r="B20" s="54">
        <f>LARGE(Data!$A$2:$A$93,2)</f>
        <v>2018</v>
      </c>
      <c r="C20" s="56"/>
      <c r="D20" s="78">
        <f>INDEX(Data!$A$2:$N$93,MATCH(Factbook!$B20,Data!$A$2:$A$93,0),2)</f>
        <v>3003655.264</v>
      </c>
      <c r="E20" s="58"/>
      <c r="F20" s="78">
        <f>INDEX(Data!$A$2:$N$93,MATCH(Factbook!$B20,Data!$A$2:$A$93,0),3)</f>
        <v>766645.37800000003</v>
      </c>
      <c r="G20" s="58"/>
      <c r="H20" s="78">
        <f>INDEX(Data!$A$2:$N$93,MATCH(Factbook!$B20,Data!$A$2:$A$93,0),4)</f>
        <v>41477.000999999997</v>
      </c>
      <c r="I20" s="58"/>
      <c r="J20" s="78">
        <f>INDEX(Data!$A$2:$N$93,MATCH(Factbook!$B20,Data!$A$2:$A$93,0),5)</f>
        <v>1160127.8130000001</v>
      </c>
      <c r="K20" s="58"/>
      <c r="L20" s="78">
        <f>INDEX(Data!$A$2:$N$93,MATCH(Factbook!$B20,Data!$A$2:$A$93,0),6)</f>
        <v>253397.32399999999</v>
      </c>
      <c r="M20" s="8"/>
      <c r="N20" s="8"/>
    </row>
    <row customFormat="1" customHeight="1" ht="12" r="21" s="3" spans="1:14" x14ac:dyDescent="0.2">
      <c r="A21" s="13"/>
      <c r="B21" s="54">
        <f>LARGE(Data!$A$2:$A$93,1)</f>
        <v>2019</v>
      </c>
      <c r="C21" s="56"/>
      <c r="D21" s="78">
        <f>INDEX(Data!$A$2:$N$93,MATCH(Factbook!$B21,Data!$A$2:$A$93,0),2)</f>
        <v>3128347</v>
      </c>
      <c r="E21" s="58"/>
      <c r="F21" s="78">
        <f>INDEX(Data!$A$2:$N$93,MATCH(Factbook!$B21,Data!$A$2:$A$93,0),3)</f>
        <v>796839</v>
      </c>
      <c r="G21" s="58"/>
      <c r="H21" s="78">
        <f>INDEX(Data!$A$2:$N$93,MATCH(Factbook!$B21,Data!$A$2:$A$93,0),4)</f>
        <v>36088</v>
      </c>
      <c r="I21" s="58"/>
      <c r="J21" s="78">
        <f>INDEX(Data!$A$2:$N$93,MATCH(Factbook!$B21,Data!$A$2:$A$93,0),5)</f>
        <v>1252266</v>
      </c>
      <c r="K21" s="58"/>
      <c r="L21" s="78">
        <f>INDEX(Data!$A$2:$N$93,MATCH(Factbook!$B21,Data!$A$2:$A$93,0),6)</f>
        <v>267023</v>
      </c>
      <c r="M21" s="8"/>
      <c r="N21" s="8"/>
    </row>
    <row customFormat="1" customHeight="1" ht="6.6" r="22" s="3" spans="1:14" x14ac:dyDescent="0.2">
      <c r="A22" s="13"/>
      <c r="B22" s="63"/>
      <c r="C22" s="56"/>
      <c r="D22" s="64"/>
      <c r="E22" s="64"/>
      <c r="F22" s="64"/>
      <c r="G22" s="64"/>
      <c r="H22" s="64"/>
      <c r="I22" s="64"/>
      <c r="J22" s="64"/>
      <c r="K22" s="64"/>
      <c r="L22" s="64"/>
      <c r="M22" s="8"/>
      <c r="N22" s="8"/>
    </row>
    <row customFormat="1" r="23" s="4" spans="1:14" x14ac:dyDescent="0.2">
      <c r="A23" s="10"/>
      <c r="B23" s="65"/>
      <c r="C23" s="65"/>
      <c r="D23" s="65"/>
      <c r="E23" s="65"/>
      <c r="F23" s="65"/>
      <c r="G23" s="65"/>
      <c r="H23" s="65"/>
      <c r="I23" s="65"/>
      <c r="J23" s="49" t="s">
        <v>3</v>
      </c>
      <c r="K23" s="65"/>
      <c r="L23" s="48"/>
    </row>
    <row customFormat="1" r="24" s="3" spans="1:14" x14ac:dyDescent="0.2">
      <c r="A24" s="9"/>
      <c r="B24" s="50" t="s">
        <v>0</v>
      </c>
      <c r="C24" s="50"/>
      <c r="D24" s="49"/>
      <c r="E24" s="50"/>
      <c r="F24" s="72" t="s">
        <v>41</v>
      </c>
      <c r="G24" s="50"/>
      <c r="H24" s="49" t="s">
        <v>35</v>
      </c>
      <c r="I24" s="50"/>
      <c r="J24" s="49" t="s">
        <v>4</v>
      </c>
      <c r="K24" s="50"/>
      <c r="L24" s="49" t="s">
        <v>5</v>
      </c>
    </row>
    <row customFormat="1" r="25" s="4" spans="1:14" x14ac:dyDescent="0.2">
      <c r="A25" s="10"/>
      <c r="B25" s="53" t="s">
        <v>6</v>
      </c>
      <c r="C25" s="66"/>
      <c r="D25" s="71" t="s">
        <v>31</v>
      </c>
      <c r="E25" s="66"/>
      <c r="F25" s="71" t="s">
        <v>36</v>
      </c>
      <c r="G25" s="66"/>
      <c r="H25" s="71" t="s">
        <v>27</v>
      </c>
      <c r="I25" s="66"/>
      <c r="J25" s="71" t="s">
        <v>37</v>
      </c>
      <c r="K25" s="66"/>
      <c r="L25" s="71" t="s">
        <v>27</v>
      </c>
    </row>
    <row customFormat="1" customHeight="1" ht="12" r="26" s="3" spans="1:14" x14ac:dyDescent="0.2">
      <c r="A26" s="17"/>
      <c r="B26" s="63">
        <f>LARGE(Data!$A$2:$A$93,15)</f>
        <v>2005</v>
      </c>
      <c r="C26" s="67"/>
      <c r="D26" s="75">
        <f>INDEX(Data!$A$2:$N$93,MATCH(Factbook!$B26,Data!$A$2:$A$93,0),7)</f>
        <v>0</v>
      </c>
      <c r="E26" s="55"/>
      <c r="F26" s="75">
        <f>INDEX(Data!$A$2:$P$93,MATCH(Factbook!$B26,Data!$A$2:$A$93,0),16)</f>
        <v>107799</v>
      </c>
      <c r="G26" s="55"/>
      <c r="H26" s="75">
        <f>D7+F7+H7+J7+L7+D26+F26</f>
        <v>3318629</v>
      </c>
      <c r="I26" s="55"/>
      <c r="J26" s="75">
        <f>INDEX(Data!$A$2:$N$93,MATCH(Factbook!$B26,Data!$A$2:$A$93,0),12)</f>
        <v>-12800</v>
      </c>
      <c r="K26" s="55"/>
      <c r="L26" s="75">
        <f>H26+J26</f>
        <v>3305829</v>
      </c>
    </row>
    <row customFormat="1" customHeight="1" ht="12" r="27" s="3" spans="1:14" x14ac:dyDescent="0.2">
      <c r="A27" s="17"/>
      <c r="B27" s="63">
        <f>LARGE(Data!$A$2:$A$93,14)</f>
        <v>2006</v>
      </c>
      <c r="C27" s="67"/>
      <c r="D27" s="76">
        <f>INDEX(Data!$A$2:$N$93,MATCH(Factbook!$B27,Data!$A$2:$A$93,0),7)</f>
        <v>0</v>
      </c>
      <c r="E27" s="57"/>
      <c r="F27" s="76">
        <f>INDEX(Data!$A$2:$P$93,MATCH(Factbook!$B27,Data!$A$2:$A$93,0),16)</f>
        <v>110977</v>
      </c>
      <c r="G27" s="57"/>
      <c r="H27" s="76">
        <f ref="H27:H40" si="0" t="shared">D8+F8+H8+J8+L8+D27+F27</f>
        <v>3442568</v>
      </c>
      <c r="I27" s="57"/>
      <c r="J27" s="76">
        <f>INDEX(Data!$A$2:$N$93,MATCH(Factbook!$B27,Data!$A$2:$A$93,0),12)</f>
        <v>-12834</v>
      </c>
      <c r="K27" s="57"/>
      <c r="L27" s="76">
        <f ref="L27:L40" si="1" t="shared">H27+J27</f>
        <v>3429734</v>
      </c>
    </row>
    <row customFormat="1" customHeight="1" ht="12" r="28" s="3" spans="1:14" x14ac:dyDescent="0.2">
      <c r="A28" s="17"/>
      <c r="B28" s="68">
        <f>LARGE(Data!$A$2:$A$93,13)</f>
        <v>2007</v>
      </c>
      <c r="C28" s="69"/>
      <c r="D28" s="77">
        <f>INDEX(Data!$A$2:$N$93,MATCH(Factbook!$B28,Data!$A$2:$A$93,0),7)</f>
        <v>0</v>
      </c>
      <c r="E28" s="61"/>
      <c r="F28" s="77">
        <f>INDEX(Data!$A$2:$P$93,MATCH(Factbook!$B28,Data!$A$2:$A$93,0),16)</f>
        <v>114313</v>
      </c>
      <c r="G28" s="61"/>
      <c r="H28" s="77">
        <f si="0" t="shared"/>
        <v>3662793</v>
      </c>
      <c r="I28" s="61"/>
      <c r="J28" s="77">
        <f>INDEX(Data!$A$2:$N$93,MATCH(Factbook!$B28,Data!$A$2:$A$93,0),12)</f>
        <v>-12667</v>
      </c>
      <c r="K28" s="61"/>
      <c r="L28" s="77">
        <f si="1" t="shared"/>
        <v>3650126</v>
      </c>
    </row>
    <row customFormat="1" customHeight="1" ht="12" r="29" s="3" spans="1:14" x14ac:dyDescent="0.2">
      <c r="A29" s="17"/>
      <c r="B29" s="63">
        <f>LARGE(Data!$A$2:$A$93,12)</f>
        <v>2008</v>
      </c>
      <c r="C29" s="67"/>
      <c r="D29" s="78">
        <f>INDEX(Data!$A$2:$N$93,MATCH(Factbook!$B29,Data!$A$2:$A$93,0),7)</f>
        <v>0</v>
      </c>
      <c r="E29" s="57"/>
      <c r="F29" s="78">
        <f>INDEX(Data!$A$2:$P$93,MATCH(Factbook!$B29,Data!$A$2:$A$93,0),16)</f>
        <v>110890</v>
      </c>
      <c r="G29" s="57"/>
      <c r="H29" s="78">
        <f si="0" t="shared"/>
        <v>3806083</v>
      </c>
      <c r="I29" s="57"/>
      <c r="J29" s="78">
        <f>INDEX(Data!$A$2:$N$93,MATCH(Factbook!$B29,Data!$A$2:$A$93,0),12)</f>
        <v>-12694</v>
      </c>
      <c r="K29" s="57"/>
      <c r="L29" s="78">
        <f si="1" t="shared"/>
        <v>3793389</v>
      </c>
    </row>
    <row customFormat="1" customHeight="1" ht="12" r="30" s="3" spans="1:14" x14ac:dyDescent="0.2">
      <c r="A30" s="17"/>
      <c r="B30" s="63">
        <f>LARGE(Data!$A$2:$A$93,11)</f>
        <v>2009</v>
      </c>
      <c r="C30" s="67"/>
      <c r="D30" s="78">
        <f>INDEX(Data!$A$2:$N$93,MATCH(Factbook!$B30,Data!$A$2:$A$93,0),7)</f>
        <v>0</v>
      </c>
      <c r="E30" s="57"/>
      <c r="F30" s="78">
        <f>INDEX(Data!$A$2:$P$93,MATCH(Factbook!$B30,Data!$A$2:$A$93,0),16)</f>
        <v>114819</v>
      </c>
      <c r="G30" s="57"/>
      <c r="H30" s="78">
        <f si="0" t="shared"/>
        <v>4045467</v>
      </c>
      <c r="I30" s="57"/>
      <c r="J30" s="78">
        <f>INDEX(Data!$A$2:$N$93,MATCH(Factbook!$B30,Data!$A$2:$A$93,0),12)</f>
        <v>-12532</v>
      </c>
      <c r="K30" s="57"/>
      <c r="L30" s="78">
        <f si="1" t="shared"/>
        <v>4032935</v>
      </c>
    </row>
    <row customFormat="1" customHeight="1" ht="12" r="31" s="3" spans="1:14" x14ac:dyDescent="0.2">
      <c r="A31" s="17"/>
      <c r="B31" s="68">
        <f>LARGE(Data!$A$2:$A$93,10)</f>
        <v>2010</v>
      </c>
      <c r="C31" s="69"/>
      <c r="D31" s="77">
        <f>INDEX(Data!$A$2:$N$93,MATCH(Factbook!$B31,Data!$A$2:$A$93,0),7)</f>
        <v>0</v>
      </c>
      <c r="E31" s="61"/>
      <c r="F31" s="77">
        <f>INDEX(Data!$A$2:$P$93,MATCH(Factbook!$B31,Data!$A$2:$A$93,0),16)</f>
        <v>120313</v>
      </c>
      <c r="G31" s="61"/>
      <c r="H31" s="77">
        <f si="0" t="shared"/>
        <v>4248389</v>
      </c>
      <c r="I31" s="61"/>
      <c r="J31" s="77">
        <f>INDEX(Data!$A$2:$N$93,MATCH(Factbook!$B31,Data!$A$2:$A$93,0),12)</f>
        <v>-12329</v>
      </c>
      <c r="K31" s="61"/>
      <c r="L31" s="77">
        <f si="1" t="shared"/>
        <v>4236060</v>
      </c>
    </row>
    <row customFormat="1" customHeight="1" ht="12" r="32" s="3" spans="1:14" x14ac:dyDescent="0.2">
      <c r="A32" s="17"/>
      <c r="B32" s="63">
        <f>LARGE(Data!$A$2:$A$93,9)</f>
        <v>2011</v>
      </c>
      <c r="C32" s="67"/>
      <c r="D32" s="78">
        <f>INDEX(Data!$A$2:$N$93,MATCH(Factbook!$B32,Data!$A$2:$A$93,0),7)</f>
        <v>0</v>
      </c>
      <c r="E32" s="57"/>
      <c r="F32" s="78">
        <f>INDEX(Data!$A$2:$P$93,MATCH(Factbook!$B32,Data!$A$2:$A$93,0),16)</f>
        <v>128750</v>
      </c>
      <c r="G32" s="57"/>
      <c r="H32" s="78">
        <f si="0" t="shared"/>
        <v>4499418</v>
      </c>
      <c r="I32" s="57"/>
      <c r="J32" s="78">
        <f>INDEX(Data!$A$2:$N$93,MATCH(Factbook!$B32,Data!$A$2:$A$93,0),12)</f>
        <v>-12278</v>
      </c>
      <c r="K32" s="57"/>
      <c r="L32" s="78">
        <f si="1" t="shared"/>
        <v>4487140</v>
      </c>
    </row>
    <row customFormat="1" customHeight="1" ht="12" r="33" s="3" spans="1:14" x14ac:dyDescent="0.2">
      <c r="A33" s="17"/>
      <c r="B33" s="63">
        <f>LARGE(Data!$A$2:$A$93,8)</f>
        <v>2012</v>
      </c>
      <c r="C33" s="67"/>
      <c r="D33" s="78">
        <f>INDEX(Data!$A$2:$N$93,MATCH(Factbook!$B33,Data!$A$2:$A$93,0),7)</f>
        <v>0</v>
      </c>
      <c r="E33" s="57"/>
      <c r="F33" s="78">
        <f>INDEX(Data!$A$2:$P$93,MATCH(Factbook!$B33,Data!$A$2:$A$93,0),16)</f>
        <v>130869</v>
      </c>
      <c r="G33" s="57"/>
      <c r="H33" s="78">
        <f si="0" t="shared"/>
        <v>4653526</v>
      </c>
      <c r="I33" s="57"/>
      <c r="J33" s="78">
        <f>INDEX(Data!$A$2:$N$93,MATCH(Factbook!$B33,Data!$A$2:$A$93,0),12)</f>
        <v>-11990</v>
      </c>
      <c r="K33" s="57"/>
      <c r="L33" s="78">
        <f si="1" t="shared"/>
        <v>4641536</v>
      </c>
    </row>
    <row customFormat="1" customHeight="1" ht="12" r="34" s="3" spans="1:14" x14ac:dyDescent="0.2">
      <c r="A34" s="17"/>
      <c r="B34" s="68">
        <f>LARGE(Data!$A$2:$A$93,7)</f>
        <v>2013</v>
      </c>
      <c r="C34" s="69"/>
      <c r="D34" s="77">
        <f>INDEX(Data!$A$2:$N$93,MATCH(Factbook!$B34,Data!$A$2:$A$93,0),7)</f>
        <v>0</v>
      </c>
      <c r="E34" s="61"/>
      <c r="F34" s="77">
        <f>INDEX(Data!$A$2:$P$93,MATCH(Factbook!$B34,Data!$A$2:$A$93,0),16)</f>
        <v>134894</v>
      </c>
      <c r="G34" s="61"/>
      <c r="H34" s="77">
        <f si="0" t="shared"/>
        <v>4765594</v>
      </c>
      <c r="I34" s="61"/>
      <c r="J34" s="77">
        <f>INDEX(Data!$A$2:$N$93,MATCH(Factbook!$B34,Data!$A$2:$A$93,0),12)</f>
        <v>-11530</v>
      </c>
      <c r="K34" s="61"/>
      <c r="L34" s="77">
        <f si="1" t="shared"/>
        <v>4754064</v>
      </c>
    </row>
    <row customFormat="1" customHeight="1" ht="12" r="35" s="3" spans="1:14" x14ac:dyDescent="0.2">
      <c r="A35" s="17"/>
      <c r="B35" s="63">
        <f>LARGE(Data!$A$2:$A$93,6)</f>
        <v>2014</v>
      </c>
      <c r="C35" s="67"/>
      <c r="D35" s="78">
        <f>INDEX(Data!$A$2:$N$93,MATCH(Factbook!$B35,Data!$A$2:$A$93,0),7)</f>
        <v>0</v>
      </c>
      <c r="E35" s="57"/>
      <c r="F35" s="78">
        <f>INDEX(Data!$A$2:$P$93,MATCH(Factbook!$B35,Data!$A$2:$A$93,0),16)</f>
        <v>136831</v>
      </c>
      <c r="G35" s="57"/>
      <c r="H35" s="78">
        <f si="0" t="shared"/>
        <v>4880988</v>
      </c>
      <c r="I35" s="57"/>
      <c r="J35" s="78">
        <f>INDEX(Data!$A$2:$N$93,MATCH(Factbook!$B35,Data!$A$2:$A$93,0),12)</f>
        <v>-11059</v>
      </c>
      <c r="K35" s="57"/>
      <c r="L35" s="78">
        <f si="1" t="shared"/>
        <v>4869929</v>
      </c>
    </row>
    <row customFormat="1" customHeight="1" ht="12" r="36" s="3" spans="1:14" x14ac:dyDescent="0.2">
      <c r="A36" s="17"/>
      <c r="B36" s="63">
        <f>LARGE(Data!$A$2:$A$93,5)</f>
        <v>2015</v>
      </c>
      <c r="C36" s="67"/>
      <c r="D36" s="78">
        <f>INDEX(Data!$A$2:$N$93,MATCH(Factbook!$B36,Data!$A$2:$A$93,0),7)</f>
        <v>0</v>
      </c>
      <c r="E36" s="57"/>
      <c r="F36" s="78">
        <f>INDEX(Data!$A$2:$P$93,MATCH(Factbook!$B36,Data!$A$2:$A$93,0),16)</f>
        <v>128982</v>
      </c>
      <c r="G36" s="57"/>
      <c r="H36" s="78">
        <f si="0" t="shared"/>
        <v>4991132</v>
      </c>
      <c r="I36" s="57"/>
      <c r="J36" s="78">
        <f>INDEX(Data!$A$2:$N$93,MATCH(Factbook!$B36,Data!$A$2:$A$93,0),12)</f>
        <v>-10786</v>
      </c>
      <c r="K36" s="57"/>
      <c r="L36" s="78">
        <f si="1" t="shared"/>
        <v>4980346</v>
      </c>
    </row>
    <row customFormat="1" customHeight="1" ht="12" r="37" s="3" spans="1:14" x14ac:dyDescent="0.2">
      <c r="A37" s="17"/>
      <c r="B37" s="68">
        <f>LARGE(Data!$A$2:$A$93,4)</f>
        <v>2016</v>
      </c>
      <c r="C37" s="69"/>
      <c r="D37" s="77">
        <f>INDEX(Data!$A$2:$N$93,MATCH(Factbook!$B37,Data!$A$2:$A$93,0),7)</f>
        <v>0</v>
      </c>
      <c r="E37" s="61"/>
      <c r="F37" s="77">
        <f>INDEX(Data!$A$2:$P$93,MATCH(Factbook!$B37,Data!$A$2:$A$93,0),16)</f>
        <v>123270</v>
      </c>
      <c r="G37" s="61"/>
      <c r="H37" s="77">
        <f si="0" t="shared"/>
        <v>5100711</v>
      </c>
      <c r="I37" s="61"/>
      <c r="J37" s="77">
        <f>INDEX(Data!$A$2:$N$93,MATCH(Factbook!$B37,Data!$A$2:$A$93,0),12)</f>
        <v>-10455</v>
      </c>
      <c r="K37" s="61"/>
      <c r="L37" s="77">
        <f si="1" t="shared"/>
        <v>5090256</v>
      </c>
    </row>
    <row customFormat="1" customHeight="1" ht="12" r="38" s="3" spans="1:14" x14ac:dyDescent="0.2">
      <c r="A38" s="17"/>
      <c r="B38" s="63">
        <f>LARGE(Data!$A$2:$A$93,3)</f>
        <v>2017</v>
      </c>
      <c r="C38" s="67"/>
      <c r="D38" s="78">
        <f>INDEX(Data!$A$2:$N$93,MATCH(Factbook!$B38,Data!$A$2:$A$93,0),7)</f>
        <v>155029.807</v>
      </c>
      <c r="E38" s="57"/>
      <c r="F38" s="78">
        <f>INDEX(Data!$A$2:$P$93,MATCH(Factbook!$B38,Data!$A$2:$A$93,0),16)</f>
        <v>125182.868</v>
      </c>
      <c r="G38" s="57"/>
      <c r="H38" s="78">
        <f si="0" t="shared"/>
        <v>5311729.2719999999</v>
      </c>
      <c r="I38" s="57"/>
      <c r="J38" s="78">
        <f>INDEX(Data!$A$2:$N$93,MATCH(Factbook!$B38,Data!$A$2:$A$93,0),12)</f>
        <v>-9991.9130000000005</v>
      </c>
      <c r="K38" s="57"/>
      <c r="L38" s="78">
        <f si="1" t="shared"/>
        <v>5301737.3590000002</v>
      </c>
    </row>
    <row customFormat="1" customHeight="1" ht="12" r="39" s="3" spans="1:14" x14ac:dyDescent="0.2">
      <c r="A39" s="17"/>
      <c r="B39" s="63">
        <f>LARGE(Data!$A$2:$A$93,2)</f>
        <v>2018</v>
      </c>
      <c r="C39" s="67"/>
      <c r="D39" s="78">
        <f>INDEX(Data!$A$2:$N$93,MATCH(Factbook!$B39,Data!$A$2:$A$93,0),7)</f>
        <v>151074.41800000001</v>
      </c>
      <c r="E39" s="57"/>
      <c r="F39" s="78">
        <f>INDEX(Data!$A$2:$P$93,MATCH(Factbook!$B39,Data!$A$2:$A$93,0),16)</f>
        <v>130195.22799999999</v>
      </c>
      <c r="G39" s="57"/>
      <c r="H39" s="78">
        <f si="0" t="shared"/>
        <v>5506572.426</v>
      </c>
      <c r="I39" s="57"/>
      <c r="J39" s="78">
        <f>INDEX(Data!$A$2:$N$93,MATCH(Factbook!$B39,Data!$A$2:$A$93,0),12)</f>
        <v>-9648.1749999999993</v>
      </c>
      <c r="K39" s="57"/>
      <c r="L39" s="78">
        <f si="1" t="shared"/>
        <v>5496924.2510000002</v>
      </c>
    </row>
    <row customFormat="1" customHeight="1" ht="12" r="40" s="3" spans="1:14" x14ac:dyDescent="0.2">
      <c r="A40" s="17"/>
      <c r="B40" s="63">
        <f>LARGE(Data!$A$2:$A$93,1)</f>
        <v>2019</v>
      </c>
      <c r="C40" s="67"/>
      <c r="D40" s="78">
        <f>INDEX(Data!$A$2:$N$93,MATCH(Factbook!$B40,Data!$A$2:$A$93,0),7)</f>
        <v>164248</v>
      </c>
      <c r="E40" s="57"/>
      <c r="F40" s="78">
        <f>INDEX(Data!$A$2:$P$93,MATCH(Factbook!$B40,Data!$A$2:$A$93,0),16)</f>
        <v>131048</v>
      </c>
      <c r="G40" s="57"/>
      <c r="H40" s="78">
        <f si="0" t="shared"/>
        <v>5775859</v>
      </c>
      <c r="I40" s="57"/>
      <c r="J40" s="78">
        <f>INDEX(Data!$A$2:$N$93,MATCH(Factbook!$B40,Data!$A$2:$A$93,0),12)</f>
        <v>-9252</v>
      </c>
      <c r="K40" s="57"/>
      <c r="L40" s="78">
        <f si="1" t="shared"/>
        <v>5766607</v>
      </c>
    </row>
    <row customFormat="1" customHeight="1" ht="10.15" r="41" s="3" spans="1:14" x14ac:dyDescent="0.2">
      <c r="A41" s="8"/>
      <c r="B41" s="24"/>
      <c r="C41" s="9"/>
      <c r="D41" s="15"/>
      <c r="E41" s="16"/>
      <c r="F41" s="15"/>
      <c r="G41" s="12"/>
      <c r="H41" s="12"/>
      <c r="I41" s="12"/>
      <c r="J41" s="12"/>
      <c r="K41" s="12"/>
      <c r="L41" s="12"/>
      <c r="M41" s="12"/>
      <c r="N41" s="8"/>
    </row>
    <row customFormat="1" customHeight="1" ht="12" r="42" s="3" spans="1:14" x14ac:dyDescent="0.2">
      <c r="A42" s="8"/>
      <c r="B42" s="25" t="s">
        <v>42</v>
      </c>
      <c r="C42" s="26"/>
      <c r="D42" s="8"/>
      <c r="E42" s="8"/>
      <c r="F42" s="8"/>
      <c r="G42" s="12"/>
      <c r="H42" s="12"/>
      <c r="I42" s="12"/>
      <c r="J42" s="12"/>
      <c r="K42" s="12"/>
      <c r="L42" s="12"/>
      <c r="M42" s="8"/>
      <c r="N42" s="8"/>
    </row>
    <row customFormat="1" customHeight="1" ht="12" r="43" s="3" spans="1:14" x14ac:dyDescent="0.2">
      <c r="A43" s="8"/>
      <c r="B43" s="80" t="s">
        <v>43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customFormat="1" customHeight="1" ht="3" r="44" s="3" spans="1:14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customFormat="1" customHeight="1" ht="12" r="45" s="3" spans="1:14" x14ac:dyDescent="0.2">
      <c r="A45" s="8"/>
      <c r="B45" s="80" t="s">
        <v>38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"/>
    </row>
    <row customFormat="1" customHeight="1" ht="3" r="46" s="3" spans="1:14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customFormat="1" customHeight="1" ht="12" r="47" s="3" spans="1:14" x14ac:dyDescent="0.2">
      <c r="A47" s="8"/>
      <c r="B47" s="80" t="s">
        <v>8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"/>
      <c r="N47" s="8"/>
    </row>
    <row customFormat="1" customHeight="1" ht="8.25" r="48" s="3" spans="1:14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customFormat="1" customHeight="1" ht="12" r="49" s="3" spans="1:14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customHeight="1" ht="11.1" r="50" spans="1:14" x14ac:dyDescent="0.2">
      <c r="G50" s="8"/>
      <c r="H50" s="8"/>
      <c r="I50" s="8"/>
      <c r="J50" s="8"/>
      <c r="K50" s="8"/>
      <c r="L50" s="8"/>
      <c r="M50" s="2"/>
    </row>
    <row r="51" spans="1:14" x14ac:dyDescent="0.2">
      <c r="G51" s="1"/>
      <c r="H51" s="2"/>
      <c r="I51" s="2"/>
      <c r="J51" s="2"/>
      <c r="K51" s="1"/>
      <c r="L51" s="2"/>
      <c r="M51" s="2"/>
    </row>
    <row r="52" spans="1:14" x14ac:dyDescent="0.2">
      <c r="G52" s="1"/>
      <c r="H52" s="2"/>
      <c r="I52" s="2"/>
      <c r="J52" s="2"/>
      <c r="K52" s="1"/>
      <c r="L52" s="2"/>
    </row>
  </sheetData>
  <mergeCells count="5">
    <mergeCell ref="A1:M1"/>
    <mergeCell ref="A2:M2"/>
    <mergeCell ref="B45:M45"/>
    <mergeCell ref="B47:L47"/>
    <mergeCell ref="B43:N43"/>
  </mergeCells>
  <phoneticPr fontId="0" type="noConversion"/>
  <pageMargins bottom="1" footer="0.25" header="0.5" left="0.5" right="0.5" top="0.7"/>
  <pageSetup cellComments="atEnd" orientation="portrait" r:id="rId1"/>
  <headerFooter>
    <oddFooter><![CDATA[&L&8Source:  Department of Management
LSA Staff Contact:  Jeff Robinson (515.281.4614) &Ujeff.robinson@legis.iowa.gov&9&U
&C&G
&R&G]]></oddFooter>
  </headerFooter>
  <ignoredErrors>
    <ignoredError sqref="B26:B40" unlockedFormula="1"/>
  </ignoredErrors>
  <legacyDrawingHF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Q48"/>
  <sheetViews>
    <sheetView workbookViewId="0">
      <pane activePane="bottomLeft" state="frozen" topLeftCell="A11" ySplit="1"/>
      <selection activeCell="T19" pane="bottomLeft" sqref="T19"/>
    </sheetView>
  </sheetViews>
  <sheetFormatPr defaultColWidth="9" defaultRowHeight="12" x14ac:dyDescent="0.2"/>
  <cols>
    <col min="1" max="1" bestFit="true" customWidth="true" style="39" width="9.42578125" collapsed="false"/>
    <col min="2" max="2" bestFit="true" customWidth="true" style="40" width="9.85546875" collapsed="false"/>
    <col min="3" max="3" bestFit="true" customWidth="true" style="40" width="14.0" collapsed="false"/>
    <col min="4" max="4" bestFit="true" customWidth="true" style="40" width="17.42578125" collapsed="false"/>
    <col min="5" max="5" bestFit="true" customWidth="true" style="40" width="10.85546875" collapsed="false"/>
    <col min="6" max="6" bestFit="true" customWidth="true" style="40" width="8.140625" collapsed="false"/>
    <col min="7" max="7" bestFit="true" customWidth="true" style="40" width="12.85546875" collapsed="false"/>
    <col min="8" max="8" bestFit="true" customWidth="true" style="40" width="29.140625" collapsed="false"/>
    <col min="9" max="9" bestFit="true" customWidth="true" style="40" width="7.42578125" collapsed="false"/>
    <col min="10" max="10" bestFit="true" customWidth="true" style="40" width="8.28515625" collapsed="false"/>
    <col min="11" max="11" bestFit="true" customWidth="true" style="40" width="9.42578125" collapsed="false"/>
    <col min="12" max="12" bestFit="true" customWidth="true" style="40" width="17.5703125" collapsed="false"/>
    <col min="13" max="13" bestFit="true" customWidth="true" style="40" width="6.85546875" collapsed="false"/>
    <col min="14" max="14" bestFit="true" customWidth="true" style="40" width="9.42578125" collapsed="false"/>
    <col min="15" max="15" style="34" width="9.0" collapsed="false"/>
    <col min="16" max="16" bestFit="true" customWidth="true" style="34" width="16.7109375" collapsed="false"/>
    <col min="17" max="16384" style="34" width="9.0" collapsed="false"/>
  </cols>
  <sheetData>
    <row customFormat="1" r="1" s="45" spans="1:16" x14ac:dyDescent="0.2">
      <c r="A1" s="41" t="s">
        <v>19</v>
      </c>
      <c r="B1" s="42" t="s">
        <v>20</v>
      </c>
      <c r="C1" s="42" t="s">
        <v>21</v>
      </c>
      <c r="D1" s="42" t="s">
        <v>22</v>
      </c>
      <c r="E1" s="42" t="s">
        <v>23</v>
      </c>
      <c r="F1" s="42" t="s">
        <v>24</v>
      </c>
      <c r="G1" s="70" t="s">
        <v>31</v>
      </c>
      <c r="H1" s="43" t="s">
        <v>30</v>
      </c>
      <c r="I1" s="43" t="s">
        <v>25</v>
      </c>
      <c r="J1" s="43" t="s">
        <v>26</v>
      </c>
      <c r="K1" s="43" t="s">
        <v>27</v>
      </c>
      <c r="L1" s="43" t="s">
        <v>18</v>
      </c>
      <c r="M1" s="43" t="s">
        <v>28</v>
      </c>
      <c r="N1" s="44" t="s">
        <v>29</v>
      </c>
      <c r="O1" s="45" t="s">
        <v>34</v>
      </c>
      <c r="P1" s="45" t="s">
        <v>39</v>
      </c>
    </row>
    <row r="2" spans="1:16" x14ac:dyDescent="0.2">
      <c r="A2" s="14">
        <v>1979</v>
      </c>
      <c r="B2" s="31">
        <v>414085.08299999998</v>
      </c>
      <c r="C2" s="31">
        <v>280013.28499999997</v>
      </c>
      <c r="D2" s="31">
        <v>67312.751000000004</v>
      </c>
      <c r="E2" s="31">
        <v>147405.36799999999</v>
      </c>
      <c r="F2" s="31">
        <v>65409.743000000002</v>
      </c>
      <c r="G2" s="31"/>
      <c r="H2" s="35"/>
      <c r="I2" s="31">
        <v>94561.585999999996</v>
      </c>
      <c r="J2" s="31">
        <v>371.00400000000002</v>
      </c>
      <c r="K2" s="31">
        <v>1136839.1170000001</v>
      </c>
      <c r="L2" s="31">
        <v>13827.558000000001</v>
      </c>
      <c r="M2" s="33" t="s">
        <v>7</v>
      </c>
      <c r="N2" s="31">
        <v>1123011.5589999999</v>
      </c>
      <c r="O2" s="40"/>
      <c r="P2" s="74">
        <f>H2+I2+J2</f>
        <v>94932.59</v>
      </c>
    </row>
    <row r="3" spans="1:16" x14ac:dyDescent="0.2">
      <c r="A3" s="14">
        <v>1980</v>
      </c>
      <c r="B3" s="31">
        <v>431026.12300000002</v>
      </c>
      <c r="C3" s="31">
        <v>293647.94500000001</v>
      </c>
      <c r="D3" s="31">
        <v>76295.012000000002</v>
      </c>
      <c r="E3" s="31">
        <v>177917.10800000001</v>
      </c>
      <c r="F3" s="31">
        <v>79414.009999999995</v>
      </c>
      <c r="G3" s="31"/>
      <c r="H3" s="35"/>
      <c r="I3" s="31">
        <v>102928.91</v>
      </c>
      <c r="J3" s="31">
        <v>328.96800000000002</v>
      </c>
      <c r="K3" s="31">
        <v>1228926.233</v>
      </c>
      <c r="L3" s="31">
        <v>13802.146000000001</v>
      </c>
      <c r="M3" s="33" t="s">
        <v>7</v>
      </c>
      <c r="N3" s="31">
        <v>1215124.0870000001</v>
      </c>
      <c r="O3" s="40"/>
      <c r="P3" s="74">
        <f ref="P3:P41" si="0" t="shared">H3+I3+J3</f>
        <v>103257.878</v>
      </c>
    </row>
    <row r="4" spans="1:16" x14ac:dyDescent="0.2">
      <c r="A4" s="14">
        <v>1981</v>
      </c>
      <c r="B4" s="31">
        <v>480486.07500000001</v>
      </c>
      <c r="C4" s="31">
        <v>317929.576</v>
      </c>
      <c r="D4" s="31">
        <v>86216.370999999999</v>
      </c>
      <c r="E4" s="31">
        <v>199070.43</v>
      </c>
      <c r="F4" s="31">
        <v>88572.534</v>
      </c>
      <c r="G4" s="31"/>
      <c r="H4" s="35"/>
      <c r="I4" s="31">
        <v>115019.68799999999</v>
      </c>
      <c r="J4" s="31">
        <v>269.71100000000001</v>
      </c>
      <c r="K4" s="31">
        <v>1356536.5020000001</v>
      </c>
      <c r="L4" s="31">
        <v>-13978.644</v>
      </c>
      <c r="M4" s="33" t="s">
        <v>7</v>
      </c>
      <c r="N4" s="31">
        <f ref="N4:N19" si="1" t="shared">SUM(K4:M4)</f>
        <v>1342557.858</v>
      </c>
      <c r="O4" s="40"/>
      <c r="P4" s="74">
        <f si="0" t="shared"/>
        <v>115289.39899999999</v>
      </c>
    </row>
    <row r="5" spans="1:16" x14ac:dyDescent="0.2">
      <c r="A5" s="14">
        <v>1982</v>
      </c>
      <c r="B5" s="31">
        <v>520297.33100000001</v>
      </c>
      <c r="C5" s="31">
        <v>335190.77500000002</v>
      </c>
      <c r="D5" s="31">
        <v>95710.165999999997</v>
      </c>
      <c r="E5" s="31">
        <v>216419.027</v>
      </c>
      <c r="F5" s="31">
        <v>76777.248999999996</v>
      </c>
      <c r="G5" s="31"/>
      <c r="H5" s="31">
        <v>25141.205999999998</v>
      </c>
      <c r="I5" s="31">
        <v>120409.993</v>
      </c>
      <c r="J5" s="31">
        <v>306.06599999999997</v>
      </c>
      <c r="K5" s="31">
        <v>1460135.53</v>
      </c>
      <c r="L5" s="31">
        <v>-14026.244000000001</v>
      </c>
      <c r="M5" s="31">
        <v>905.67200000000003</v>
      </c>
      <c r="N5" s="31">
        <f si="1" t="shared"/>
        <v>1447014.9580000001</v>
      </c>
      <c r="O5" s="40"/>
      <c r="P5" s="74">
        <f si="0" t="shared"/>
        <v>145857.26499999998</v>
      </c>
    </row>
    <row r="6" spans="1:16" x14ac:dyDescent="0.2">
      <c r="A6" s="14">
        <v>1983</v>
      </c>
      <c r="B6" s="31">
        <v>615110.25399999996</v>
      </c>
      <c r="C6" s="31">
        <v>356301.63</v>
      </c>
      <c r="D6" s="31">
        <v>42569.048000000003</v>
      </c>
      <c r="E6" s="31">
        <v>229672.274</v>
      </c>
      <c r="F6" s="31">
        <v>56638.26</v>
      </c>
      <c r="G6" s="31"/>
      <c r="H6" s="31">
        <v>54358.262000000002</v>
      </c>
      <c r="I6" s="31">
        <v>124082.726</v>
      </c>
      <c r="J6" s="31">
        <v>258.88499999999999</v>
      </c>
      <c r="K6" s="31">
        <v>1548170.3119999999</v>
      </c>
      <c r="L6" s="31">
        <v>-13784.629000000001</v>
      </c>
      <c r="M6" s="31">
        <v>1079.5440000000001</v>
      </c>
      <c r="N6" s="31">
        <f si="1" t="shared"/>
        <v>1535465.227</v>
      </c>
      <c r="O6" s="40"/>
      <c r="P6" s="74">
        <f si="0" t="shared"/>
        <v>178699.87300000002</v>
      </c>
    </row>
    <row r="7" spans="1:16" x14ac:dyDescent="0.2">
      <c r="A7" s="14">
        <v>1984</v>
      </c>
      <c r="B7" s="31">
        <v>643976.82700000005</v>
      </c>
      <c r="C7" s="31">
        <v>370241.56300000002</v>
      </c>
      <c r="D7" s="31">
        <v>45316.11</v>
      </c>
      <c r="E7" s="31">
        <v>244304.41800000001</v>
      </c>
      <c r="F7" s="31">
        <v>64532.415000000001</v>
      </c>
      <c r="G7" s="31"/>
      <c r="H7" s="31">
        <v>54204.447</v>
      </c>
      <c r="I7" s="31">
        <v>127242.15399999999</v>
      </c>
      <c r="J7" s="31">
        <v>234.137</v>
      </c>
      <c r="K7" s="31">
        <v>1618950.983</v>
      </c>
      <c r="L7" s="31">
        <v>-13711.941999999999</v>
      </c>
      <c r="M7" s="31">
        <v>1633.5930000000001</v>
      </c>
      <c r="N7" s="31">
        <f si="1" t="shared"/>
        <v>1606872.6340000001</v>
      </c>
      <c r="O7" s="40"/>
      <c r="P7" s="74">
        <f si="0" t="shared"/>
        <v>181680.73799999998</v>
      </c>
    </row>
    <row r="8" spans="1:16" x14ac:dyDescent="0.2">
      <c r="A8" s="14">
        <v>1985</v>
      </c>
      <c r="B8" s="31">
        <v>673685.15700000001</v>
      </c>
      <c r="C8" s="31">
        <v>393510.86700000003</v>
      </c>
      <c r="D8" s="31">
        <v>41256.661999999997</v>
      </c>
      <c r="E8" s="31">
        <v>259937.63200000001</v>
      </c>
      <c r="F8" s="31">
        <v>65228.222999999998</v>
      </c>
      <c r="G8" s="31"/>
      <c r="H8" s="31">
        <v>59584.160000000003</v>
      </c>
      <c r="I8" s="31">
        <v>137075.16500000001</v>
      </c>
      <c r="J8" s="31">
        <v>214.166</v>
      </c>
      <c r="K8" s="31">
        <v>1699431.6340000001</v>
      </c>
      <c r="L8" s="31">
        <v>-13695.968000000001</v>
      </c>
      <c r="M8" s="31">
        <v>3700.768</v>
      </c>
      <c r="N8" s="31">
        <f si="1" t="shared"/>
        <v>1689436.4339999999</v>
      </c>
      <c r="O8" s="40"/>
      <c r="P8" s="74">
        <f si="0" t="shared"/>
        <v>196873.49100000001</v>
      </c>
    </row>
    <row r="9" spans="1:16" x14ac:dyDescent="0.2">
      <c r="A9" s="14">
        <v>1986</v>
      </c>
      <c r="B9" s="31">
        <v>703985.26599999995</v>
      </c>
      <c r="C9" s="31">
        <v>403312.99200000003</v>
      </c>
      <c r="D9" s="31">
        <v>43634.625999999997</v>
      </c>
      <c r="E9" s="31">
        <v>274270.74300000002</v>
      </c>
      <c r="F9" s="31">
        <v>69521.241999999998</v>
      </c>
      <c r="G9" s="31"/>
      <c r="H9" s="31">
        <v>58236.273999999998</v>
      </c>
      <c r="I9" s="31">
        <v>148288.03099999999</v>
      </c>
      <c r="J9" s="31">
        <v>287.18599999999998</v>
      </c>
      <c r="K9" s="31">
        <v>1770077.5719999999</v>
      </c>
      <c r="L9" s="31">
        <v>-13569.64</v>
      </c>
      <c r="M9" s="31">
        <v>3098.5149999999999</v>
      </c>
      <c r="N9" s="31">
        <f si="1" t="shared"/>
        <v>1759606.4469999999</v>
      </c>
      <c r="O9" s="40"/>
      <c r="P9" s="74">
        <f si="0" t="shared"/>
        <v>206811.49099999998</v>
      </c>
    </row>
    <row r="10" spans="1:16" x14ac:dyDescent="0.2">
      <c r="A10" s="14">
        <v>1987</v>
      </c>
      <c r="B10" s="31">
        <v>740574.10800000001</v>
      </c>
      <c r="C10" s="31">
        <v>417235.62</v>
      </c>
      <c r="D10" s="31">
        <v>41224.531999999999</v>
      </c>
      <c r="E10" s="31">
        <v>292312.13500000001</v>
      </c>
      <c r="F10" s="31">
        <v>68842.995999999999</v>
      </c>
      <c r="G10" s="31"/>
      <c r="H10" s="31">
        <v>65992.998000000007</v>
      </c>
      <c r="I10" s="31">
        <v>147628.234</v>
      </c>
      <c r="J10" s="31">
        <v>292.85399999999998</v>
      </c>
      <c r="K10" s="31">
        <v>1842650.361</v>
      </c>
      <c r="L10" s="31">
        <v>-13375.464</v>
      </c>
      <c r="M10" s="31">
        <v>13400.013999999999</v>
      </c>
      <c r="N10" s="31">
        <f si="1" t="shared"/>
        <v>1842674.9110000001</v>
      </c>
      <c r="O10" s="40"/>
      <c r="P10" s="74">
        <f si="0" t="shared"/>
        <v>213914.08600000001</v>
      </c>
    </row>
    <row r="11" spans="1:16" x14ac:dyDescent="0.2">
      <c r="A11" s="30">
        <v>1988</v>
      </c>
      <c r="B11" s="31">
        <v>747178.33400000003</v>
      </c>
      <c r="C11" s="31">
        <v>418418.59399999998</v>
      </c>
      <c r="D11" s="31">
        <v>42667.646000000001</v>
      </c>
      <c r="E11" s="31">
        <v>305208.228</v>
      </c>
      <c r="F11" s="31">
        <v>69370.153000000006</v>
      </c>
      <c r="G11" s="31"/>
      <c r="H11" s="31">
        <v>63839.851000000002</v>
      </c>
      <c r="I11" s="31">
        <v>159239.889</v>
      </c>
      <c r="J11" s="31">
        <v>305.11700000000002</v>
      </c>
      <c r="K11" s="31">
        <v>1806227.8119999999</v>
      </c>
      <c r="L11" s="31">
        <v>-13149.811</v>
      </c>
      <c r="M11" s="31">
        <v>14092.895</v>
      </c>
      <c r="N11" s="31">
        <f si="1" t="shared"/>
        <v>1807170.8959999999</v>
      </c>
      <c r="O11" s="40"/>
      <c r="P11" s="74">
        <f si="0" t="shared"/>
        <v>223384.85699999999</v>
      </c>
    </row>
    <row r="12" spans="1:16" x14ac:dyDescent="0.2">
      <c r="A12" s="30">
        <v>1989</v>
      </c>
      <c r="B12" s="31">
        <v>768551.43299999996</v>
      </c>
      <c r="C12" s="31">
        <v>384996.03899999999</v>
      </c>
      <c r="D12" s="31">
        <v>39632.46</v>
      </c>
      <c r="E12" s="31">
        <v>311780.03200000001</v>
      </c>
      <c r="F12" s="31">
        <v>69362.596999999994</v>
      </c>
      <c r="G12" s="31"/>
      <c r="H12" s="31">
        <v>59722.459000000003</v>
      </c>
      <c r="I12" s="31">
        <v>176279.36900000001</v>
      </c>
      <c r="J12" s="31">
        <v>282.68099999999998</v>
      </c>
      <c r="K12" s="31">
        <v>1810607</v>
      </c>
      <c r="L12" s="31">
        <v>-13207.287</v>
      </c>
      <c r="M12" s="31">
        <v>13458</v>
      </c>
      <c r="N12" s="31">
        <f si="1" t="shared"/>
        <v>1810857.713</v>
      </c>
      <c r="O12" s="40"/>
      <c r="P12" s="74">
        <f si="0" t="shared"/>
        <v>236284.50900000002</v>
      </c>
    </row>
    <row r="13" spans="1:16" x14ac:dyDescent="0.2">
      <c r="A13" s="30">
        <v>1990</v>
      </c>
      <c r="B13" s="31">
        <v>793417</v>
      </c>
      <c r="C13" s="31">
        <v>396411</v>
      </c>
      <c r="D13" s="31">
        <v>41072</v>
      </c>
      <c r="E13" s="31">
        <v>325707</v>
      </c>
      <c r="F13" s="31">
        <v>72787</v>
      </c>
      <c r="G13" s="31"/>
      <c r="H13" s="32">
        <v>59510</v>
      </c>
      <c r="I13" s="32">
        <v>176433</v>
      </c>
      <c r="J13" s="32">
        <v>297</v>
      </c>
      <c r="K13" s="32">
        <v>1865636</v>
      </c>
      <c r="L13" s="31">
        <v>-13256</v>
      </c>
      <c r="M13" s="32">
        <v>13970</v>
      </c>
      <c r="N13" s="31">
        <f si="1" t="shared"/>
        <v>1866350</v>
      </c>
      <c r="O13" s="40"/>
      <c r="P13" s="74">
        <f si="0" t="shared"/>
        <v>236240</v>
      </c>
    </row>
    <row r="14" spans="1:16" x14ac:dyDescent="0.2">
      <c r="A14" s="36">
        <v>1991</v>
      </c>
      <c r="B14" s="31">
        <v>835610</v>
      </c>
      <c r="C14" s="31">
        <v>406649</v>
      </c>
      <c r="D14" s="31">
        <v>42950</v>
      </c>
      <c r="E14" s="31">
        <v>349285</v>
      </c>
      <c r="F14" s="31">
        <v>77569</v>
      </c>
      <c r="G14" s="31"/>
      <c r="H14" s="32">
        <v>62581</v>
      </c>
      <c r="I14" s="32">
        <v>189502</v>
      </c>
      <c r="J14" s="32">
        <v>241</v>
      </c>
      <c r="K14" s="32">
        <v>1964386</v>
      </c>
      <c r="L14" s="31">
        <v>-13561</v>
      </c>
      <c r="M14" s="32">
        <v>16450</v>
      </c>
      <c r="N14" s="31">
        <f si="1" t="shared"/>
        <v>1967275</v>
      </c>
      <c r="O14" s="40"/>
      <c r="P14" s="74">
        <f si="0" t="shared"/>
        <v>252324</v>
      </c>
    </row>
    <row r="15" spans="1:16" x14ac:dyDescent="0.2">
      <c r="A15" s="30">
        <v>1992</v>
      </c>
      <c r="B15" s="31">
        <v>881455</v>
      </c>
      <c r="C15" s="31">
        <v>428238</v>
      </c>
      <c r="D15" s="31">
        <v>45735</v>
      </c>
      <c r="E15" s="31">
        <v>370531</v>
      </c>
      <c r="F15" s="31">
        <v>82530</v>
      </c>
      <c r="G15" s="31"/>
      <c r="H15" s="32">
        <v>66624</v>
      </c>
      <c r="I15" s="32">
        <v>198569</v>
      </c>
      <c r="J15" s="32">
        <v>205</v>
      </c>
      <c r="K15" s="32">
        <v>2073995</v>
      </c>
      <c r="L15" s="31">
        <v>-13915</v>
      </c>
      <c r="M15" s="32">
        <v>20586</v>
      </c>
      <c r="N15" s="31">
        <f si="1" t="shared"/>
        <v>2080666</v>
      </c>
      <c r="O15" s="40"/>
      <c r="P15" s="74">
        <f si="0" t="shared"/>
        <v>265398</v>
      </c>
    </row>
    <row r="16" spans="1:16" x14ac:dyDescent="0.2">
      <c r="A16" s="30">
        <v>1993</v>
      </c>
      <c r="B16" s="31">
        <v>934913</v>
      </c>
      <c r="C16" s="31">
        <v>436350</v>
      </c>
      <c r="D16" s="31">
        <v>46310</v>
      </c>
      <c r="E16" s="31">
        <v>409673</v>
      </c>
      <c r="F16" s="31">
        <v>85810</v>
      </c>
      <c r="G16" s="31"/>
      <c r="H16" s="32">
        <v>72435</v>
      </c>
      <c r="I16" s="32">
        <v>210788</v>
      </c>
      <c r="J16" s="32">
        <v>307</v>
      </c>
      <c r="K16" s="32">
        <v>2196587</v>
      </c>
      <c r="L16" s="31">
        <v>-14224</v>
      </c>
      <c r="M16" s="32">
        <v>21482</v>
      </c>
      <c r="N16" s="31">
        <f si="1" t="shared"/>
        <v>2203845</v>
      </c>
      <c r="O16" s="40"/>
      <c r="P16" s="74">
        <f si="0" t="shared"/>
        <v>283530</v>
      </c>
    </row>
    <row r="17" spans="1:16" x14ac:dyDescent="0.2">
      <c r="A17" s="30">
        <v>1994</v>
      </c>
      <c r="B17" s="31">
        <v>958887</v>
      </c>
      <c r="C17" s="31">
        <v>439704</v>
      </c>
      <c r="D17" s="31">
        <v>47416</v>
      </c>
      <c r="E17" s="31">
        <v>428370</v>
      </c>
      <c r="F17" s="31">
        <v>87866</v>
      </c>
      <c r="G17" s="31"/>
      <c r="H17" s="31">
        <v>75482</v>
      </c>
      <c r="I17" s="31">
        <v>226028</v>
      </c>
      <c r="J17" s="31">
        <v>313</v>
      </c>
      <c r="K17" s="31">
        <v>2264067</v>
      </c>
      <c r="L17" s="31">
        <v>-14272</v>
      </c>
      <c r="M17" s="31">
        <v>30560</v>
      </c>
      <c r="N17" s="31">
        <f si="1" t="shared"/>
        <v>2280355</v>
      </c>
      <c r="O17" s="40"/>
      <c r="P17" s="74">
        <f si="0" t="shared"/>
        <v>301823</v>
      </c>
    </row>
    <row r="18" spans="1:16" x14ac:dyDescent="0.2">
      <c r="A18" s="37">
        <v>1995</v>
      </c>
      <c r="B18" s="38">
        <v>1006073</v>
      </c>
      <c r="C18" s="38">
        <v>455652</v>
      </c>
      <c r="D18" s="38">
        <v>47749</v>
      </c>
      <c r="E18" s="38">
        <v>454619</v>
      </c>
      <c r="F18" s="38">
        <v>88112</v>
      </c>
      <c r="G18" s="38"/>
      <c r="H18" s="32">
        <v>79506</v>
      </c>
      <c r="I18" s="32">
        <v>209228</v>
      </c>
      <c r="J18" s="32">
        <v>513</v>
      </c>
      <c r="K18" s="32">
        <v>2341451</v>
      </c>
      <c r="L18" s="31">
        <v>-14103</v>
      </c>
      <c r="M18" s="32">
        <v>39361</v>
      </c>
      <c r="N18" s="31">
        <f si="1" t="shared"/>
        <v>2366709</v>
      </c>
      <c r="O18" s="40"/>
      <c r="P18" s="74">
        <f si="0" t="shared"/>
        <v>289247</v>
      </c>
    </row>
    <row r="19" spans="1:16" x14ac:dyDescent="0.2">
      <c r="A19" s="30">
        <v>1996</v>
      </c>
      <c r="B19" s="31">
        <v>1013903</v>
      </c>
      <c r="C19" s="31">
        <v>450142</v>
      </c>
      <c r="D19" s="31">
        <v>47755</v>
      </c>
      <c r="E19" s="31">
        <v>463236</v>
      </c>
      <c r="F19" s="31">
        <v>88512</v>
      </c>
      <c r="G19" s="31"/>
      <c r="H19" s="32">
        <v>83707</v>
      </c>
      <c r="I19" s="31">
        <v>231713</v>
      </c>
      <c r="J19" s="31">
        <v>659</v>
      </c>
      <c r="K19" s="31">
        <v>2379629</v>
      </c>
      <c r="L19" s="31">
        <v>-13754</v>
      </c>
      <c r="M19" s="31">
        <v>42834</v>
      </c>
      <c r="N19" s="32">
        <f si="1" t="shared"/>
        <v>2408709</v>
      </c>
      <c r="O19" s="40"/>
      <c r="P19" s="74">
        <f si="0" t="shared"/>
        <v>316079</v>
      </c>
    </row>
    <row r="20" spans="1:16" x14ac:dyDescent="0.2">
      <c r="A20" s="37">
        <v>1997</v>
      </c>
      <c r="B20" s="38">
        <v>1001733</v>
      </c>
      <c r="C20" s="38">
        <v>427513</v>
      </c>
      <c r="D20" s="38">
        <v>46483</v>
      </c>
      <c r="E20" s="38">
        <v>476515</v>
      </c>
      <c r="F20" s="38">
        <v>87976</v>
      </c>
      <c r="G20" s="38"/>
      <c r="H20" s="31">
        <v>81327</v>
      </c>
      <c r="I20" s="31">
        <v>222412</v>
      </c>
      <c r="J20" s="31">
        <v>292</v>
      </c>
      <c r="K20" s="31">
        <v>2344251</v>
      </c>
      <c r="L20" s="31">
        <v>-13188</v>
      </c>
      <c r="M20" s="31">
        <v>58407</v>
      </c>
      <c r="N20" s="31">
        <v>2389470</v>
      </c>
      <c r="O20" s="40"/>
      <c r="P20" s="74">
        <f si="0" t="shared"/>
        <v>304031</v>
      </c>
    </row>
    <row r="21" spans="1:16" x14ac:dyDescent="0.2">
      <c r="A21" s="30">
        <v>1998</v>
      </c>
      <c r="B21" s="31">
        <v>1027613</v>
      </c>
      <c r="C21" s="31">
        <v>432702</v>
      </c>
      <c r="D21" s="31">
        <v>48159</v>
      </c>
      <c r="E21" s="31">
        <v>505414</v>
      </c>
      <c r="F21" s="31">
        <v>94652</v>
      </c>
      <c r="G21" s="31"/>
      <c r="H21" s="32">
        <v>79114</v>
      </c>
      <c r="I21" s="31">
        <v>231207</v>
      </c>
      <c r="J21" s="31">
        <v>204</v>
      </c>
      <c r="K21" s="31">
        <v>2418862</v>
      </c>
      <c r="L21" s="31">
        <v>-13064</v>
      </c>
      <c r="M21" s="31">
        <v>63520</v>
      </c>
      <c r="N21" s="32">
        <f>SUM(K21:M21)</f>
        <v>2469318</v>
      </c>
      <c r="O21" s="40"/>
      <c r="P21" s="74">
        <f si="0" t="shared"/>
        <v>310525</v>
      </c>
    </row>
    <row r="22" spans="1:16" x14ac:dyDescent="0.2">
      <c r="A22" s="30">
        <v>1999</v>
      </c>
      <c r="B22" s="31">
        <v>1084103</v>
      </c>
      <c r="C22" s="31">
        <v>453549</v>
      </c>
      <c r="D22" s="31">
        <v>49609</v>
      </c>
      <c r="E22" s="31">
        <v>537050</v>
      </c>
      <c r="F22" s="31">
        <v>96970</v>
      </c>
      <c r="G22" s="31"/>
      <c r="H22" s="32">
        <v>72822</v>
      </c>
      <c r="I22" s="31">
        <v>245450</v>
      </c>
      <c r="J22" s="31">
        <v>201</v>
      </c>
      <c r="K22" s="31">
        <v>2539553</v>
      </c>
      <c r="L22" s="31">
        <v>-12809</v>
      </c>
      <c r="M22" s="31">
        <v>80372</v>
      </c>
      <c r="N22" s="32">
        <v>2607116</v>
      </c>
      <c r="O22" s="40"/>
      <c r="P22" s="74">
        <f si="0" t="shared"/>
        <v>318473</v>
      </c>
    </row>
    <row r="23" spans="1:16" x14ac:dyDescent="0.2">
      <c r="A23" s="30">
        <v>2000</v>
      </c>
      <c r="B23" s="31">
        <v>1130210</v>
      </c>
      <c r="C23" s="31">
        <v>459101</v>
      </c>
      <c r="D23" s="31">
        <v>53723</v>
      </c>
      <c r="E23" s="31">
        <v>568265</v>
      </c>
      <c r="F23" s="31">
        <v>96574</v>
      </c>
      <c r="G23" s="31"/>
      <c r="H23" s="32">
        <v>84226</v>
      </c>
      <c r="I23" s="31">
        <v>216181</v>
      </c>
      <c r="J23" s="31">
        <v>188</v>
      </c>
      <c r="K23" s="31">
        <v>2608279</v>
      </c>
      <c r="L23" s="31">
        <v>-12414</v>
      </c>
      <c r="M23" s="31">
        <v>59874</v>
      </c>
      <c r="N23" s="32">
        <v>2655739</v>
      </c>
      <c r="O23" s="40"/>
      <c r="P23" s="74">
        <f si="0" t="shared"/>
        <v>300595</v>
      </c>
    </row>
    <row r="24" spans="1:16" x14ac:dyDescent="0.2">
      <c r="A24" s="30">
        <v>2002</v>
      </c>
      <c r="B24" s="31">
        <v>1324650</v>
      </c>
      <c r="C24" s="31">
        <v>504358</v>
      </c>
      <c r="D24" s="31">
        <v>61620</v>
      </c>
      <c r="E24" s="31">
        <v>736215</v>
      </c>
      <c r="F24" s="31">
        <v>134129</v>
      </c>
      <c r="G24" s="31"/>
      <c r="H24" s="32">
        <v>16276</v>
      </c>
      <c r="I24" s="31">
        <v>78747</v>
      </c>
      <c r="J24" s="31">
        <v>210</v>
      </c>
      <c r="K24" s="31">
        <v>2892788</v>
      </c>
      <c r="L24" s="31">
        <v>-12255</v>
      </c>
      <c r="M24" s="31" t="s">
        <v>7</v>
      </c>
      <c r="N24" s="32">
        <v>2880533</v>
      </c>
      <c r="O24" s="40"/>
      <c r="P24" s="74">
        <f si="0" t="shared"/>
        <v>95233</v>
      </c>
    </row>
    <row r="25" spans="1:16" x14ac:dyDescent="0.2">
      <c r="A25" s="30">
        <v>2003</v>
      </c>
      <c r="B25" s="31">
        <v>1416708</v>
      </c>
      <c r="C25" s="31">
        <v>531979</v>
      </c>
      <c r="D25" s="31">
        <v>65382</v>
      </c>
      <c r="E25" s="31">
        <v>814978</v>
      </c>
      <c r="F25" s="31">
        <v>144787</v>
      </c>
      <c r="G25" s="31"/>
      <c r="H25" s="32">
        <v>15851</v>
      </c>
      <c r="I25" s="31">
        <v>85549</v>
      </c>
      <c r="J25" s="31">
        <v>235</v>
      </c>
      <c r="K25" s="31">
        <v>3090833</v>
      </c>
      <c r="L25" s="31">
        <v>-12495</v>
      </c>
      <c r="M25" s="31" t="s">
        <v>7</v>
      </c>
      <c r="N25" s="32">
        <v>3078338</v>
      </c>
      <c r="O25" s="40"/>
      <c r="P25" s="74">
        <f si="0" t="shared"/>
        <v>101635</v>
      </c>
    </row>
    <row r="26" spans="1:16" x14ac:dyDescent="0.2">
      <c r="A26" s="30">
        <v>2004</v>
      </c>
      <c r="B26" s="31">
        <v>1467371</v>
      </c>
      <c r="C26" s="31">
        <v>539707</v>
      </c>
      <c r="D26" s="31">
        <v>68316</v>
      </c>
      <c r="E26" s="31">
        <v>868984</v>
      </c>
      <c r="F26" s="31">
        <v>151275</v>
      </c>
      <c r="G26" s="31"/>
      <c r="H26" s="32">
        <v>16666</v>
      </c>
      <c r="I26" s="31">
        <v>92401</v>
      </c>
      <c r="J26" s="31">
        <v>221</v>
      </c>
      <c r="K26" s="31">
        <v>3205143</v>
      </c>
      <c r="L26" s="31">
        <v>-12545</v>
      </c>
      <c r="M26" s="31" t="s">
        <v>7</v>
      </c>
      <c r="N26" s="32">
        <v>3192598</v>
      </c>
      <c r="O26" s="40"/>
      <c r="P26" s="74">
        <f si="0" t="shared"/>
        <v>109288</v>
      </c>
    </row>
    <row r="27" spans="1:16" x14ac:dyDescent="0.2">
      <c r="A27" s="30">
        <v>2005</v>
      </c>
      <c r="B27" s="31">
        <v>1558366</v>
      </c>
      <c r="C27" s="31">
        <v>469096</v>
      </c>
      <c r="D27" s="31">
        <v>66690</v>
      </c>
      <c r="E27" s="31">
        <v>954202</v>
      </c>
      <c r="F27" s="31">
        <v>162476</v>
      </c>
      <c r="G27" s="31"/>
      <c r="H27" s="32">
        <v>18127</v>
      </c>
      <c r="I27" s="31">
        <v>89439</v>
      </c>
      <c r="J27" s="31">
        <v>233</v>
      </c>
      <c r="K27" s="31">
        <v>3318396</v>
      </c>
      <c r="L27" s="31">
        <v>-12800</v>
      </c>
      <c r="M27" s="31" t="s">
        <v>7</v>
      </c>
      <c r="N27" s="32">
        <v>3305596</v>
      </c>
      <c r="O27" s="40"/>
      <c r="P27" s="74">
        <f si="0" t="shared"/>
        <v>107799</v>
      </c>
    </row>
    <row r="28" spans="1:16" x14ac:dyDescent="0.2">
      <c r="A28" s="30">
        <v>2006</v>
      </c>
      <c r="B28" s="31">
        <v>1625646</v>
      </c>
      <c r="C28" s="31">
        <v>474909</v>
      </c>
      <c r="D28" s="31">
        <v>68653</v>
      </c>
      <c r="E28" s="31">
        <v>994955</v>
      </c>
      <c r="F28" s="31">
        <v>167428</v>
      </c>
      <c r="G28" s="31"/>
      <c r="H28" s="32">
        <v>19108</v>
      </c>
      <c r="I28" s="31">
        <v>91631</v>
      </c>
      <c r="J28" s="31">
        <v>238</v>
      </c>
      <c r="K28" s="31">
        <v>3442331</v>
      </c>
      <c r="L28" s="31">
        <v>-12834</v>
      </c>
      <c r="M28" s="31" t="s">
        <v>7</v>
      </c>
      <c r="N28" s="32">
        <v>3429497</v>
      </c>
      <c r="O28" s="40"/>
      <c r="P28" s="74">
        <f si="0" t="shared"/>
        <v>110977</v>
      </c>
    </row>
    <row r="29" spans="1:16" x14ac:dyDescent="0.2">
      <c r="A29" s="30">
        <v>2007</v>
      </c>
      <c r="B29" s="31">
        <v>1733559</v>
      </c>
      <c r="C29" s="31">
        <v>492911</v>
      </c>
      <c r="D29" s="31">
        <v>70745</v>
      </c>
      <c r="E29" s="31">
        <v>1076792</v>
      </c>
      <c r="F29" s="31">
        <v>174473</v>
      </c>
      <c r="G29" s="31"/>
      <c r="H29" s="32">
        <v>19789</v>
      </c>
      <c r="I29" s="31">
        <v>94286</v>
      </c>
      <c r="J29" s="31">
        <v>238</v>
      </c>
      <c r="K29" s="31">
        <v>3662555</v>
      </c>
      <c r="L29" s="31">
        <v>-12667</v>
      </c>
      <c r="M29" s="31" t="s">
        <v>7</v>
      </c>
      <c r="N29" s="32">
        <v>3649888</v>
      </c>
      <c r="O29" s="40"/>
      <c r="P29" s="74">
        <f si="0" t="shared"/>
        <v>114313</v>
      </c>
    </row>
    <row r="30" spans="1:16" x14ac:dyDescent="0.2">
      <c r="A30" s="30">
        <v>2008</v>
      </c>
      <c r="B30" s="31">
        <v>1804494</v>
      </c>
      <c r="C30" s="31">
        <v>500120</v>
      </c>
      <c r="D30" s="31">
        <v>74375</v>
      </c>
      <c r="E30" s="31">
        <v>1137984</v>
      </c>
      <c r="F30" s="31">
        <v>178220</v>
      </c>
      <c r="G30" s="31"/>
      <c r="H30" s="32">
        <v>21720</v>
      </c>
      <c r="I30" s="31">
        <v>88929</v>
      </c>
      <c r="J30" s="31">
        <v>241</v>
      </c>
      <c r="K30" s="31">
        <v>3805842</v>
      </c>
      <c r="L30" s="31">
        <v>-12694</v>
      </c>
      <c r="M30" s="31" t="s">
        <v>7</v>
      </c>
      <c r="N30" s="32">
        <v>3793148</v>
      </c>
      <c r="O30" s="40"/>
      <c r="P30" s="74">
        <f si="0" t="shared"/>
        <v>110890</v>
      </c>
    </row>
    <row r="31" spans="1:16" x14ac:dyDescent="0.2">
      <c r="A31" s="30">
        <v>2009</v>
      </c>
      <c r="B31" s="31">
        <v>1927518</v>
      </c>
      <c r="C31" s="31">
        <v>535440</v>
      </c>
      <c r="D31" s="31">
        <v>69055</v>
      </c>
      <c r="E31" s="31">
        <v>1213183</v>
      </c>
      <c r="F31" s="31">
        <v>185452</v>
      </c>
      <c r="G31" s="31"/>
      <c r="H31" s="32">
        <v>25471</v>
      </c>
      <c r="I31" s="31">
        <v>89096</v>
      </c>
      <c r="J31" s="31">
        <v>252</v>
      </c>
      <c r="K31" s="31">
        <v>4045216</v>
      </c>
      <c r="L31" s="31">
        <v>-12532</v>
      </c>
      <c r="M31" s="31" t="s">
        <v>7</v>
      </c>
      <c r="N31" s="32">
        <v>4032684</v>
      </c>
      <c r="O31" s="40"/>
      <c r="P31" s="74">
        <f si="0" t="shared"/>
        <v>114819</v>
      </c>
    </row>
    <row r="32" spans="1:16" x14ac:dyDescent="0.2">
      <c r="A32" s="30">
        <v>2010</v>
      </c>
      <c r="B32" s="31">
        <v>2052806</v>
      </c>
      <c r="C32" s="31">
        <v>559326</v>
      </c>
      <c r="D32" s="31">
        <v>76102</v>
      </c>
      <c r="E32" s="31">
        <v>1243895</v>
      </c>
      <c r="F32" s="31">
        <v>195947</v>
      </c>
      <c r="G32" s="31"/>
      <c r="H32" s="32">
        <v>27293</v>
      </c>
      <c r="I32" s="31">
        <v>92793</v>
      </c>
      <c r="J32" s="31">
        <v>227</v>
      </c>
      <c r="K32" s="31">
        <v>4248162</v>
      </c>
      <c r="L32" s="31">
        <v>-12329</v>
      </c>
      <c r="M32" s="31" t="s">
        <v>7</v>
      </c>
      <c r="N32" s="32">
        <v>4235833</v>
      </c>
      <c r="O32" s="40"/>
      <c r="P32" s="74">
        <f si="0" t="shared"/>
        <v>120313</v>
      </c>
    </row>
    <row r="33" spans="1:16" x14ac:dyDescent="0.2">
      <c r="A33" s="30">
        <v>2011</v>
      </c>
      <c r="B33" s="31">
        <v>2201874</v>
      </c>
      <c r="C33" s="31">
        <v>620804</v>
      </c>
      <c r="D33" s="31">
        <v>53234</v>
      </c>
      <c r="E33" s="31">
        <v>1288697</v>
      </c>
      <c r="F33" s="31">
        <v>206059</v>
      </c>
      <c r="G33" s="31"/>
      <c r="H33" s="32">
        <v>30558</v>
      </c>
      <c r="I33" s="31">
        <v>97959</v>
      </c>
      <c r="J33" s="31">
        <v>233</v>
      </c>
      <c r="K33" s="31">
        <v>4499419</v>
      </c>
      <c r="L33" s="31">
        <v>-12278</v>
      </c>
      <c r="M33" s="31" t="s">
        <v>7</v>
      </c>
      <c r="N33" s="32">
        <v>4487141</v>
      </c>
      <c r="O33" s="40"/>
      <c r="P33" s="74">
        <f si="0" t="shared"/>
        <v>128750</v>
      </c>
    </row>
    <row r="34" spans="1:16" x14ac:dyDescent="0.2">
      <c r="A34" s="30">
        <v>2012</v>
      </c>
      <c r="B34" s="31">
        <v>2314967</v>
      </c>
      <c r="C34" s="31">
        <v>640707</v>
      </c>
      <c r="D34" s="31">
        <v>55351</v>
      </c>
      <c r="E34" s="31">
        <v>1296348</v>
      </c>
      <c r="F34" s="31">
        <v>215284</v>
      </c>
      <c r="G34" s="31"/>
      <c r="H34" s="32">
        <v>32195</v>
      </c>
      <c r="I34" s="31">
        <v>98446</v>
      </c>
      <c r="J34" s="31">
        <v>228</v>
      </c>
      <c r="K34" s="31">
        <v>4653528</v>
      </c>
      <c r="L34" s="31">
        <v>-11990</v>
      </c>
      <c r="M34" s="31" t="s">
        <v>7</v>
      </c>
      <c r="N34" s="32">
        <v>4641538</v>
      </c>
      <c r="O34" s="40"/>
      <c r="P34" s="74">
        <f si="0" t="shared"/>
        <v>130869</v>
      </c>
    </row>
    <row r="35" spans="1:16" x14ac:dyDescent="0.2">
      <c r="A35" s="30">
        <v>2013</v>
      </c>
      <c r="B35" s="31">
        <v>2411784</v>
      </c>
      <c r="C35" s="31">
        <v>662238</v>
      </c>
      <c r="D35" s="31">
        <v>46527</v>
      </c>
      <c r="E35" s="31">
        <v>1288865</v>
      </c>
      <c r="F35" s="31">
        <v>221286</v>
      </c>
      <c r="G35" s="31"/>
      <c r="H35" s="32">
        <v>37952</v>
      </c>
      <c r="I35" s="31">
        <v>96718</v>
      </c>
      <c r="J35" s="31">
        <v>224</v>
      </c>
      <c r="K35" s="31">
        <v>4765596</v>
      </c>
      <c r="L35" s="31">
        <v>-11530</v>
      </c>
      <c r="M35" s="31" t="s">
        <v>7</v>
      </c>
      <c r="N35" s="32">
        <v>4754066</v>
      </c>
      <c r="O35" s="40"/>
      <c r="P35" s="74">
        <f si="0" t="shared"/>
        <v>134894</v>
      </c>
    </row>
    <row r="36" spans="1:16" x14ac:dyDescent="0.2">
      <c r="A36" s="30">
        <v>2014</v>
      </c>
      <c r="B36" s="31">
        <v>2509530</v>
      </c>
      <c r="C36" s="31">
        <v>673191</v>
      </c>
      <c r="D36" s="31">
        <v>49438</v>
      </c>
      <c r="E36" s="31">
        <v>1285027</v>
      </c>
      <c r="F36" s="31">
        <v>226971</v>
      </c>
      <c r="G36" s="31"/>
      <c r="H36" s="32">
        <v>42230</v>
      </c>
      <c r="I36" s="31">
        <v>94330</v>
      </c>
      <c r="J36" s="31">
        <v>271</v>
      </c>
      <c r="K36" s="31">
        <v>4880991</v>
      </c>
      <c r="L36" s="31">
        <v>-11059</v>
      </c>
      <c r="M36" s="31" t="s">
        <v>7</v>
      </c>
      <c r="N36" s="32">
        <v>4869932</v>
      </c>
      <c r="O36" s="40"/>
      <c r="P36" s="74">
        <f si="0" t="shared"/>
        <v>136831</v>
      </c>
    </row>
    <row r="37" spans="1:16" x14ac:dyDescent="0.2">
      <c r="A37" s="30">
        <v>2015</v>
      </c>
      <c r="B37" s="31">
        <v>2628547</v>
      </c>
      <c r="C37" s="31">
        <v>696017</v>
      </c>
      <c r="D37" s="31">
        <v>44724</v>
      </c>
      <c r="E37" s="31">
        <v>1264273</v>
      </c>
      <c r="F37" s="31">
        <v>228589</v>
      </c>
      <c r="G37" s="31"/>
      <c r="H37" s="32">
        <v>42795</v>
      </c>
      <c r="I37" s="31">
        <v>85927</v>
      </c>
      <c r="J37" s="31">
        <v>260</v>
      </c>
      <c r="K37" s="31">
        <v>4991132</v>
      </c>
      <c r="L37" s="31">
        <v>-10786</v>
      </c>
      <c r="M37" s="31" t="s">
        <v>7</v>
      </c>
      <c r="N37" s="32">
        <v>4980346</v>
      </c>
      <c r="O37" s="40"/>
      <c r="P37" s="74">
        <f si="0" t="shared"/>
        <v>128982</v>
      </c>
    </row>
    <row r="38" spans="1:16" x14ac:dyDescent="0.2">
      <c r="A38" s="30">
        <v>2016</v>
      </c>
      <c r="B38" s="31">
        <v>2758986</v>
      </c>
      <c r="C38" s="31">
        <v>718452</v>
      </c>
      <c r="D38" s="31">
        <v>48265</v>
      </c>
      <c r="E38" s="31">
        <v>1221262</v>
      </c>
      <c r="F38" s="31">
        <v>230476</v>
      </c>
      <c r="G38" s="31"/>
      <c r="H38" s="32">
        <v>42415</v>
      </c>
      <c r="I38" s="31">
        <v>80630</v>
      </c>
      <c r="J38" s="31">
        <v>225</v>
      </c>
      <c r="K38" s="31">
        <f>SUM(B38:J38)</f>
        <v>5100711</v>
      </c>
      <c r="L38" s="31">
        <v>-10455</v>
      </c>
      <c r="M38" s="31" t="s">
        <v>7</v>
      </c>
      <c r="N38" s="32">
        <f>SUM(K38+L38)</f>
        <v>5090256</v>
      </c>
      <c r="O38" s="40"/>
      <c r="P38" s="74">
        <f si="0" t="shared"/>
        <v>123270</v>
      </c>
    </row>
    <row r="39" spans="1:16" x14ac:dyDescent="0.2">
      <c r="A39" s="30">
        <v>2017</v>
      </c>
      <c r="B39" s="31">
        <v>2873303.355</v>
      </c>
      <c r="C39" s="31">
        <v>749438.36100000003</v>
      </c>
      <c r="D39" s="31">
        <v>38852.046000000002</v>
      </c>
      <c r="E39" s="31">
        <v>1125495.4269999999</v>
      </c>
      <c r="F39" s="31">
        <v>244427.408</v>
      </c>
      <c r="G39" s="31">
        <v>155029.807</v>
      </c>
      <c r="H39" s="32">
        <v>47930.731</v>
      </c>
      <c r="I39" s="31">
        <v>76992.27</v>
      </c>
      <c r="J39" s="31">
        <v>259.86700000000002</v>
      </c>
      <c r="K39" s="31">
        <f ref="K39:K41" si="2" t="shared">SUM(B39:J39)</f>
        <v>5311729.2719999989</v>
      </c>
      <c r="L39" s="31">
        <v>-9991.9130000000005</v>
      </c>
      <c r="M39" s="31" t="s">
        <v>7</v>
      </c>
      <c r="N39" s="32">
        <f>SUM(K39+L39)</f>
        <v>5301737.3589999992</v>
      </c>
      <c r="O39" s="40"/>
      <c r="P39" s="74">
        <f si="0" t="shared"/>
        <v>125182.868</v>
      </c>
    </row>
    <row r="40" spans="1:16" x14ac:dyDescent="0.2">
      <c r="A40" s="30">
        <v>2018</v>
      </c>
      <c r="B40" s="31">
        <v>3003655.264</v>
      </c>
      <c r="C40" s="31">
        <v>766645.37800000003</v>
      </c>
      <c r="D40" s="31">
        <v>41477.000999999997</v>
      </c>
      <c r="E40" s="31">
        <v>1160127.8130000001</v>
      </c>
      <c r="F40" s="31">
        <v>253397.32399999999</v>
      </c>
      <c r="G40" s="31">
        <v>151074.41800000001</v>
      </c>
      <c r="H40" s="32">
        <v>54771.955999999998</v>
      </c>
      <c r="I40" s="31">
        <v>75158.131999999998</v>
      </c>
      <c r="J40" s="31">
        <v>265.14</v>
      </c>
      <c r="K40" s="31">
        <f si="2" t="shared"/>
        <v>5506572.426</v>
      </c>
      <c r="L40" s="31">
        <v>-9648.1749999999993</v>
      </c>
      <c r="M40" s="31" t="s">
        <v>7</v>
      </c>
      <c r="N40" s="32">
        <f>SUM(K40+L40)</f>
        <v>5496924.2510000002</v>
      </c>
      <c r="O40" s="40"/>
      <c r="P40" s="74">
        <f si="0" t="shared"/>
        <v>130195.22799999999</v>
      </c>
    </row>
    <row r="41" spans="1:16" x14ac:dyDescent="0.2">
      <c r="A41" s="30">
        <v>2019</v>
      </c>
      <c r="B41" s="31">
        <v>3128347</v>
      </c>
      <c r="C41" s="31">
        <v>796839</v>
      </c>
      <c r="D41" s="31">
        <v>36088</v>
      </c>
      <c r="E41" s="31">
        <v>1252266</v>
      </c>
      <c r="F41" s="31">
        <v>267023</v>
      </c>
      <c r="G41" s="31">
        <v>164248</v>
      </c>
      <c r="H41" s="32">
        <v>53373</v>
      </c>
      <c r="I41" s="31">
        <v>77447</v>
      </c>
      <c r="J41" s="31">
        <v>228</v>
      </c>
      <c r="K41" s="31">
        <f si="2" t="shared"/>
        <v>5775859</v>
      </c>
      <c r="L41" s="31">
        <v>-9252</v>
      </c>
      <c r="M41" s="31" t="s">
        <v>7</v>
      </c>
      <c r="N41" s="32">
        <f>SUM(K41+L41)</f>
        <v>5766607</v>
      </c>
      <c r="O41" s="40"/>
      <c r="P41" s="74">
        <f>H41+I41+J41</f>
        <v>131048</v>
      </c>
    </row>
    <row r="42" spans="1:16" x14ac:dyDescent="0.2">
      <c r="A42" s="30"/>
      <c r="B42" s="31"/>
      <c r="C42" s="31"/>
      <c r="D42" s="31"/>
      <c r="E42" s="31"/>
      <c r="F42" s="31"/>
      <c r="G42" s="31"/>
      <c r="H42" s="32"/>
      <c r="I42" s="31"/>
      <c r="J42" s="31"/>
      <c r="K42" s="31"/>
      <c r="L42" s="31"/>
      <c r="M42" s="31"/>
      <c r="N42" s="32"/>
      <c r="O42" s="40"/>
      <c r="P42" s="74"/>
    </row>
    <row r="43" spans="1:16" x14ac:dyDescent="0.2">
      <c r="A43" s="30"/>
      <c r="B43" s="31"/>
      <c r="C43" s="31"/>
      <c r="D43" s="31"/>
      <c r="E43" s="31"/>
      <c r="F43" s="31"/>
      <c r="G43" s="31"/>
      <c r="H43" s="32"/>
      <c r="I43" s="31"/>
      <c r="J43" s="31"/>
      <c r="K43" s="31"/>
      <c r="L43" s="31"/>
      <c r="M43" s="31"/>
      <c r="N43" s="32"/>
      <c r="O43" s="40"/>
      <c r="P43" s="74"/>
    </row>
    <row r="44" spans="1:16" x14ac:dyDescent="0.2">
      <c r="A44" s="30"/>
      <c r="B44" s="31"/>
      <c r="C44" s="31"/>
      <c r="D44" s="31"/>
      <c r="E44" s="31"/>
      <c r="F44" s="31"/>
      <c r="G44" s="31"/>
      <c r="H44" s="32"/>
      <c r="I44" s="31"/>
      <c r="J44" s="31"/>
      <c r="K44" s="31"/>
      <c r="L44" s="31"/>
      <c r="M44" s="31"/>
      <c r="N44" s="32"/>
      <c r="O44" s="40"/>
      <c r="P44" s="74"/>
    </row>
    <row r="45" spans="1:16" x14ac:dyDescent="0.2">
      <c r="A45" s="30"/>
      <c r="B45" s="31"/>
      <c r="C45" s="31"/>
      <c r="D45" s="31"/>
      <c r="E45" s="31"/>
      <c r="F45" s="31"/>
      <c r="G45" s="31"/>
      <c r="H45" s="32"/>
      <c r="I45" s="31"/>
      <c r="J45" s="31"/>
      <c r="K45" s="31"/>
      <c r="L45" s="31"/>
      <c r="M45" s="31"/>
      <c r="N45" s="32"/>
      <c r="O45" s="40"/>
      <c r="P45" s="74"/>
    </row>
    <row r="46" spans="1:16" x14ac:dyDescent="0.2">
      <c r="A46" s="30"/>
      <c r="B46" s="31"/>
      <c r="C46" s="31"/>
      <c r="D46" s="31"/>
      <c r="E46" s="31"/>
      <c r="F46" s="31"/>
      <c r="G46" s="31"/>
      <c r="H46" s="32"/>
      <c r="I46" s="31"/>
      <c r="J46" s="31"/>
      <c r="K46" s="31"/>
      <c r="L46" s="31"/>
      <c r="M46" s="31"/>
      <c r="N46" s="32"/>
      <c r="O46" s="40"/>
      <c r="P46" s="74"/>
    </row>
    <row r="47" spans="1:16" x14ac:dyDescent="0.2">
      <c r="A47" s="30"/>
      <c r="B47" s="31"/>
      <c r="C47" s="31"/>
      <c r="D47" s="31"/>
      <c r="E47" s="31"/>
      <c r="F47" s="31"/>
      <c r="G47" s="31"/>
      <c r="H47" s="32"/>
      <c r="I47" s="31"/>
      <c r="J47" s="31"/>
      <c r="K47" s="31"/>
      <c r="L47" s="31"/>
      <c r="M47" s="31"/>
      <c r="N47" s="32"/>
      <c r="O47" s="40"/>
      <c r="P47" s="74"/>
    </row>
    <row r="48" spans="1:16" x14ac:dyDescent="0.2">
      <c r="A48" s="30"/>
      <c r="B48" s="31"/>
      <c r="C48" s="31"/>
      <c r="D48" s="31"/>
      <c r="E48" s="31"/>
      <c r="F48" s="31"/>
      <c r="G48" s="31"/>
      <c r="H48" s="32"/>
      <c r="I48" s="31"/>
      <c r="J48" s="31"/>
      <c r="K48" s="31"/>
      <c r="L48" s="31"/>
      <c r="M48" s="31"/>
      <c r="N48" s="32"/>
      <c r="O48" s="40"/>
      <c r="P48" s="74"/>
    </row>
  </sheetData>
  <pageMargins bottom="0.75" footer="0.3" header="0.3" left="0.7" right="0.7" top="0.75"/>
  <pageSetup orientation="portrait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5"/>
  <sheetViews>
    <sheetView workbookViewId="0"/>
  </sheetViews>
  <sheetFormatPr defaultColWidth="10.28515625" defaultRowHeight="12" x14ac:dyDescent="0.2"/>
  <cols>
    <col min="1" max="1" bestFit="true" customWidth="true" style="27" width="34.28515625" collapsed="false"/>
    <col min="2" max="2" bestFit="true" customWidth="true" style="27" width="58.85546875" collapsed="false"/>
    <col min="3" max="4" style="27" width="10.28515625" collapsed="false"/>
    <col min="5" max="5" customWidth="true" style="27" width="35.5703125" collapsed="false"/>
    <col min="6" max="8" style="27" width="10.28515625" collapsed="false"/>
    <col min="9" max="9" customWidth="true" hidden="true" style="27" width="0.0" collapsed="false"/>
    <col min="10" max="16384" style="27" width="10.28515625" collapsed="false"/>
  </cols>
  <sheetData>
    <row r="1" spans="1:9" x14ac:dyDescent="0.2">
      <c r="A1" s="27" t="s">
        <v>10</v>
      </c>
      <c r="B1" s="28"/>
      <c r="I1" s="27" t="s">
        <v>11</v>
      </c>
    </row>
    <row r="2" spans="1:9" x14ac:dyDescent="0.2">
      <c r="A2" s="27" t="s">
        <v>12</v>
      </c>
      <c r="B2" s="28"/>
      <c r="I2" s="27" t="s">
        <v>13</v>
      </c>
    </row>
    <row r="3" spans="1:9" x14ac:dyDescent="0.2">
      <c r="A3" s="27" t="s">
        <v>14</v>
      </c>
      <c r="B3" s="27" t="s">
        <v>11</v>
      </c>
      <c r="I3" s="27" t="s">
        <v>15</v>
      </c>
    </row>
    <row r="4" spans="1:9" x14ac:dyDescent="0.2">
      <c r="A4" s="27" t="s">
        <v>16</v>
      </c>
      <c r="B4" s="29"/>
      <c r="I4" s="27" t="s">
        <v>17</v>
      </c>
    </row>
    <row r="5" spans="1:9" x14ac:dyDescent="0.2">
      <c r="E5" s="28"/>
    </row>
  </sheetData>
  <dataValidations count="1">
    <dataValidation allowBlank="1" showErrorMessage="1" showInputMessage="1" sqref="B3" type="list">
      <formula1>$I$1:$I$4</formula1>
    </dataValidation>
  </dataValidations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2007-01-16T14:27:10Z</dcterms:created>
  <dc:creator>Guanci, Michael [LEGIS]</dc:creator>
  <cp:lastModifiedBy>Robinson, Jeff [LEGIS]</cp:lastModifiedBy>
  <cp:lastPrinted>2018-07-30T18:11:10Z</cp:lastPrinted>
  <dcterms:modified xsi:type="dcterms:W3CDTF">2018-10-30T14:59:52Z</dcterms:modified>
</cp:coreProperties>
</file>