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Fiscal Services\Projects\Fee Project\2024\Composite Documents\"/>
    </mc:Choice>
  </mc:AlternateContent>
  <xr:revisionPtr revIDLastSave="0" documentId="13_ncr:1_{2B5812DD-5EF8-480A-8DD5-8D722FBE1238}" xr6:coauthVersionLast="47" xr6:coauthVersionMax="47" xr10:uidLastSave="{00000000-0000-0000-0000-000000000000}"/>
  <bookViews>
    <workbookView xWindow="28680" yWindow="-120" windowWidth="29040" windowHeight="15840" xr2:uid="{00000000-000D-0000-FFFF-FFFF00000000}"/>
  </bookViews>
  <sheets>
    <sheet name="Dept of Transportation Fees" sheetId="3" r:id="rId1"/>
  </sheets>
  <definedNames>
    <definedName name="_xlnm._FilterDatabase" localSheetId="0" hidden="1">'Dept of Transportation Fees'!$A$2:$P$405</definedName>
    <definedName name="_xlnm.Print_Area" localSheetId="0">'Dept of Transportation Fees'!$A$1:$O$254</definedName>
    <definedName name="_xlnm.Print_Titles" localSheetId="0">'Dept of Transportation Fees'!$2:$2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3" l="1"/>
  <c r="J53" i="3"/>
  <c r="K53" i="3"/>
  <c r="L53" i="3"/>
  <c r="M53" i="3"/>
  <c r="J58" i="3"/>
  <c r="K58" i="3"/>
  <c r="L58" i="3"/>
  <c r="M58" i="3"/>
  <c r="J63" i="3"/>
  <c r="K63" i="3"/>
  <c r="L65" i="3"/>
  <c r="M65" i="3"/>
  <c r="J68" i="3"/>
  <c r="K68" i="3"/>
  <c r="L68" i="3"/>
  <c r="M68" i="3"/>
  <c r="J69" i="3"/>
  <c r="K69" i="3"/>
  <c r="L69" i="3"/>
  <c r="M69" i="3"/>
  <c r="J70" i="3"/>
  <c r="K70" i="3"/>
  <c r="L70" i="3"/>
  <c r="M70" i="3"/>
  <c r="J72" i="3"/>
  <c r="K72" i="3"/>
  <c r="L72" i="3"/>
  <c r="M72" i="3"/>
  <c r="L73" i="3"/>
  <c r="M73" i="3"/>
  <c r="J74" i="3"/>
  <c r="K74" i="3"/>
  <c r="L74" i="3"/>
  <c r="M74" i="3"/>
  <c r="J87" i="3"/>
  <c r="K87" i="3"/>
  <c r="J90" i="3"/>
  <c r="K90" i="3"/>
  <c r="J91" i="3"/>
  <c r="K91" i="3"/>
  <c r="J92" i="3"/>
  <c r="K92" i="3"/>
  <c r="J97" i="3"/>
  <c r="K97" i="3"/>
  <c r="J99" i="3"/>
  <c r="K99" i="3"/>
  <c r="J100" i="3"/>
  <c r="K100" i="3"/>
  <c r="J131" i="3"/>
  <c r="K131" i="3"/>
  <c r="L131" i="3"/>
  <c r="M131" i="3"/>
  <c r="J133" i="3"/>
  <c r="K133" i="3"/>
  <c r="J156" i="3"/>
  <c r="K156" i="3"/>
  <c r="L156" i="3"/>
  <c r="M156" i="3"/>
  <c r="J157" i="3"/>
  <c r="K157" i="3"/>
  <c r="L157" i="3"/>
  <c r="M157" i="3"/>
  <c r="J158" i="3"/>
  <c r="K158" i="3"/>
  <c r="L158" i="3"/>
  <c r="M158" i="3"/>
  <c r="J161" i="3"/>
  <c r="K161" i="3"/>
  <c r="L161" i="3"/>
  <c r="M161" i="3"/>
  <c r="J163" i="3"/>
  <c r="K163" i="3"/>
  <c r="L163" i="3"/>
  <c r="M163" i="3"/>
  <c r="J166" i="3"/>
  <c r="K166" i="3"/>
  <c r="L166" i="3"/>
  <c r="M166" i="3"/>
  <c r="J167" i="3"/>
  <c r="K167" i="3"/>
  <c r="L167" i="3"/>
  <c r="M167" i="3"/>
  <c r="J188" i="3"/>
  <c r="K188" i="3"/>
  <c r="L188" i="3"/>
  <c r="M188" i="3"/>
  <c r="J189" i="3"/>
  <c r="K189" i="3"/>
  <c r="L189" i="3"/>
  <c r="M189" i="3"/>
  <c r="L201" i="3"/>
  <c r="M201" i="3"/>
</calcChain>
</file>

<file path=xl/sharedStrings.xml><?xml version="1.0" encoding="utf-8"?>
<sst xmlns="http://schemas.openxmlformats.org/spreadsheetml/2006/main" count="1425" uniqueCount="639">
  <si>
    <t>Department</t>
  </si>
  <si>
    <t>Budget Unit or Fund Name and Number</t>
  </si>
  <si>
    <t>Fee Description</t>
  </si>
  <si>
    <t>Payor of Fee</t>
  </si>
  <si>
    <t>Fee Amount</t>
  </si>
  <si>
    <t>Frequency</t>
  </si>
  <si>
    <t>Revenue Deposit Location (Fund)</t>
  </si>
  <si>
    <t>Year Last Revised</t>
  </si>
  <si>
    <t>Code/Admin Rule</t>
  </si>
  <si>
    <t>Number of FY 2023 Payors</t>
  </si>
  <si>
    <t>FY 2023 Total Revenue</t>
  </si>
  <si>
    <t>Number of FY 2024 Payors</t>
  </si>
  <si>
    <t>FY 2024 Total Revenue</t>
  </si>
  <si>
    <t>Where is the fee amount listed? C=Code; R=Rule; N=neither</t>
  </si>
  <si>
    <t>Additional Comments</t>
  </si>
  <si>
    <t>Iowa DOT - 645</t>
  </si>
  <si>
    <t>TIC Subcommittee</t>
  </si>
  <si>
    <t>Primary Road Fund</t>
  </si>
  <si>
    <t xml:space="preserve">OPEN RECORDS    </t>
  </si>
  <si>
    <t xml:space="preserve"> </t>
  </si>
  <si>
    <t>0137</t>
  </si>
  <si>
    <t>The DOT may charge fees for records.</t>
  </si>
  <si>
    <t>Unless another fee is set by Iowa Code or administrative rule, the following fees shall be charged for records:</t>
  </si>
  <si>
    <t>Any person requesting record</t>
  </si>
  <si>
    <t>PPM 030.06</t>
  </si>
  <si>
    <t>N</t>
  </si>
  <si>
    <t>1.  Copy fees (the following fees include labor, materials, and equipment costs):</t>
  </si>
  <si>
    <t xml:space="preserve">Photocopies up to 11" x 17" (one-sided): B/W - $0.20 each; Color - $0.80 each </t>
  </si>
  <si>
    <t xml:space="preserve">B/W - $0.20 each; Color - $0.80 each </t>
  </si>
  <si>
    <t xml:space="preserve">Photocopies up to 11" x 17" (two-sided): B/W - $0.25 each; Color - $1.00 each </t>
  </si>
  <si>
    <t xml:space="preserve">B/W - $0.25 each; Color - $1.00 each </t>
  </si>
  <si>
    <t>Printouts from local printers (one-sided):  B/W - $1.00 each; Color - $2.00 each</t>
  </si>
  <si>
    <t>B/W - $1.00 each; Color - $2.00 each</t>
  </si>
  <si>
    <t>Printouts from local printers (two-sided):  B/W - $1.50 each; Color - $2.50 each</t>
  </si>
  <si>
    <t>B/W - $1.50 each; Color - $2.50 each</t>
  </si>
  <si>
    <t xml:space="preserve"> Microfilm and microfiche $0.20 per sheet</t>
  </si>
  <si>
    <t>$0.20 per sheet</t>
  </si>
  <si>
    <t xml:space="preserve"> City maps - Billed by the Office of Document Services</t>
  </si>
  <si>
    <t>Billed by Office</t>
  </si>
  <si>
    <t xml:space="preserve"> Other (e.g., preprinted pages, magnetic tapes, etc.) - Per the Office of Document Services or the Information Technology Division, as applicable</t>
  </si>
  <si>
    <t>Per Office or ITD</t>
  </si>
  <si>
    <r>
      <t xml:space="preserve">In accordance with Iowa Code section 22.3, the DOT will charge a reasonable fee for fulfilling a request for records. The </t>
    </r>
    <r>
      <rPr>
        <sz val="10"/>
        <color rgb="FFFF0000"/>
        <rFont val="Arial"/>
        <family val="2"/>
      </rPr>
      <t>DOT will provide up to three hours of staff review time and ten pages in hard copy free of</t>
    </r>
    <r>
      <rPr>
        <sz val="10"/>
        <rFont val="Arial"/>
        <family val="2"/>
      </rPr>
      <t xml:space="preserve"> </t>
    </r>
    <r>
      <rPr>
        <sz val="10"/>
        <color rgb="FFFF0000"/>
        <rFont val="Arial"/>
        <family val="2"/>
      </rPr>
      <t>charge</t>
    </r>
    <r>
      <rPr>
        <sz val="10"/>
        <rFont val="Arial"/>
        <family val="2"/>
      </rPr>
      <t xml:space="preserve">. </t>
    </r>
    <r>
      <rPr>
        <sz val="10"/>
        <color rgb="FFFF0000"/>
        <rFont val="Arial"/>
        <family val="2"/>
      </rPr>
      <t>Additional staff time and document costs will be charged at $33/hour and ten cents per hard copy page</t>
    </r>
    <r>
      <rPr>
        <sz val="10"/>
        <rFont val="Arial"/>
        <family val="2"/>
      </rPr>
      <t>.</t>
    </r>
  </si>
  <si>
    <t>The DOT will provide up to three hours of staff review time and ten pages in hard copy free of charge. Additional staff time and document costs will be charged at $33/hour and ten cents per hard copy page.</t>
  </si>
  <si>
    <t>upon request</t>
  </si>
  <si>
    <t>C and N</t>
  </si>
  <si>
    <t>If there is a set statutory fee for motor vehicle records, the Motor Vehicle Division shall charge that fee in lieu of the above defined fees.</t>
  </si>
  <si>
    <t>As applicable</t>
  </si>
  <si>
    <t>1057
1059
1063</t>
  </si>
  <si>
    <t>Records that contain confidential or personally identifiable information often require more than moderate use of DOT resources and staff before they can be 
released to a requester, and therefore the custodian, in consultation with the Records Management program administrator and General Counsel, may incur higher fees.</t>
  </si>
  <si>
    <t>Included in line 16 above</t>
  </si>
  <si>
    <t>If the requester asks that a record be produced in a format different from that which is readily accessible to the DOT, the custodian, in collaboration with the Records Management section, may charge the full costs of processing the record in the requested format</t>
  </si>
  <si>
    <t xml:space="preserve">Fee/charge for copy preparation and mailing of driver's license master file or driver's license suspension and revocation file to blank computer tape cartridges </t>
  </si>
  <si>
    <t>Varies; Code allows DOT to assess reasonable fees for copies of records or services provided</t>
  </si>
  <si>
    <t>Acts 1999, ch. 207 (increased from $5)</t>
  </si>
  <si>
    <t>General Fund</t>
  </si>
  <si>
    <t>Fee for certified abstract of operating record (statutory fee)</t>
  </si>
  <si>
    <t>Person requesting a certified abstract of a driving record</t>
  </si>
  <si>
    <t>0001 (996)</t>
  </si>
  <si>
    <t xml:space="preserve">UTILITY ACCOMMODATION   </t>
  </si>
  <si>
    <t>2100, Transportation Development Division
Contact:  Deanne Popp</t>
  </si>
  <si>
    <t>Attachment fee: Fee paid by utility owner to attach its utility to a primary highway bridge</t>
  </si>
  <si>
    <t>Utility owner</t>
  </si>
  <si>
    <t>$100 + wt/length calc</t>
  </si>
  <si>
    <t>One time upon installation</t>
  </si>
  <si>
    <t>IAC: 11-30-2011</t>
  </si>
  <si>
    <t>IAC  761-115.12.(3)</t>
  </si>
  <si>
    <t>C</t>
  </si>
  <si>
    <t>Engineering fee: Fee paid by utility owner to reimburse DOT for increased cost of design, construction, and inspection due to attachment</t>
  </si>
  <si>
    <t>Varies; billed to owner</t>
  </si>
  <si>
    <t>IAC  761-115.12.(4)</t>
  </si>
  <si>
    <t xml:space="preserve">Occupancy fee:  Annual fee paid by utility owner for longitudinal occupancy of the freeway right of way.  </t>
  </si>
  <si>
    <t>Varies, see rule</t>
  </si>
  <si>
    <t>annual</t>
  </si>
  <si>
    <t>Cost Center 8417 Living Roadway Trust Fund 080</t>
  </si>
  <si>
    <t>IAC  761-115.16(8)</t>
  </si>
  <si>
    <t>Highway Beautification Fund</t>
  </si>
  <si>
    <t xml:space="preserve">OUTDOOR ADVERTISING  </t>
  </si>
  <si>
    <t>Entity applying to erect sign along highway</t>
  </si>
  <si>
    <t>0144</t>
  </si>
  <si>
    <t>R</t>
  </si>
  <si>
    <t>Advertising sign permit fee (initial)</t>
  </si>
  <si>
    <t>Fees shall be determined by rule by the department</t>
  </si>
  <si>
    <t>Iowa Code 306C.18</t>
  </si>
  <si>
    <t>Includes all outdoor advertisiting fees</t>
  </si>
  <si>
    <t>Advertising sign permit fee (renewal)</t>
  </si>
  <si>
    <t>Included in row 27 above</t>
  </si>
  <si>
    <t>Fee to replace permit plate that is missing from sign or is not legible</t>
  </si>
  <si>
    <t>761 IAC 117.6(4)</t>
  </si>
  <si>
    <t xml:space="preserve">New permit required for reconstruction or modification </t>
  </si>
  <si>
    <t>761 IAC 117.6(5)</t>
  </si>
  <si>
    <t xml:space="preserve">Renewal permit required for reconstruction or modification </t>
  </si>
  <si>
    <t>$15, $25, or $50/permit based on size</t>
  </si>
  <si>
    <t>Fees to remove illegal/abandoned advertising devices-assessed to owner</t>
  </si>
  <si>
    <t>Varies with removal costs</t>
  </si>
  <si>
    <t>as needed</t>
  </si>
  <si>
    <t>Iowa Code 306C.19</t>
  </si>
  <si>
    <t xml:space="preserve">LOGO SIGNING  </t>
  </si>
  <si>
    <t>New application fee</t>
  </si>
  <si>
    <t>761 IAC 118.5(5)a</t>
  </si>
  <si>
    <t>Includes all logo signing fees</t>
  </si>
  <si>
    <t>Annual renewal per logo</t>
  </si>
  <si>
    <t>761 IAC 118.5(5)b</t>
  </si>
  <si>
    <t>Included in row 34 above</t>
  </si>
  <si>
    <t>Service fee for replacing</t>
  </si>
  <si>
    <t>761 IAC 118.5(5)c</t>
  </si>
  <si>
    <t>Fees for seasonal operations (lodging, camping, attraction)</t>
  </si>
  <si>
    <t>Varies</t>
  </si>
  <si>
    <t>761 IAC 118.5(7)</t>
  </si>
  <si>
    <t>Fees for temporary specific service signs (logo)</t>
  </si>
  <si>
    <t>$300-$700+ sign fee</t>
  </si>
  <si>
    <t>761 IAC 118.5(8)</t>
  </si>
  <si>
    <t>TOURIST-ORIENTED DEVELOPMENT SIGNS (TODS)</t>
  </si>
  <si>
    <t>Initial fee for fabrication and installation</t>
  </si>
  <si>
    <t>$350/mainline sign, $26/trailblazer</t>
  </si>
  <si>
    <t>761 IAC 119.6(3)</t>
  </si>
  <si>
    <t>Includes all TODS fees</t>
  </si>
  <si>
    <t xml:space="preserve">  Annual fee</t>
  </si>
  <si>
    <t>$50/mainline sign</t>
  </si>
  <si>
    <t>Included in row 40 above</t>
  </si>
  <si>
    <t>Required replacement</t>
  </si>
  <si>
    <t>Destination must pay for the cost of a new sign and its installation prior to installation</t>
  </si>
  <si>
    <t>761 IAC 119.6(5)</t>
  </si>
  <si>
    <t>Modification of a tourist-oriented (TODS) directional sign</t>
  </si>
  <si>
    <t>$50 plus a varied</t>
  </si>
  <si>
    <t>IAC: 11-27-2002</t>
  </si>
  <si>
    <t>IAC 119</t>
  </si>
  <si>
    <t>PRIVATE DIRECTIONAL SIGNING</t>
  </si>
  <si>
    <t>Private directional signs:</t>
  </si>
  <si>
    <t xml:space="preserve">  Initial application fee</t>
  </si>
  <si>
    <t>IAC 120 Rescinded</t>
  </si>
  <si>
    <t xml:space="preserve">  Annual renewal fee</t>
  </si>
  <si>
    <t>Permit plate fee for lost permit plates</t>
  </si>
  <si>
    <t xml:space="preserve">MOTOR VEHICLE FEES  </t>
  </si>
  <si>
    <t>Fee for certified copy of any record of the department</t>
  </si>
  <si>
    <t>Person requesting a certified copy of a DOT record</t>
  </si>
  <si>
    <t>$.50 per copy</t>
  </si>
  <si>
    <t>Daily</t>
  </si>
  <si>
    <t>Acts 1937, ch. 134</t>
  </si>
  <si>
    <t>22.3, 22.3A, 622.46
761-4</t>
  </si>
  <si>
    <t>C and R</t>
  </si>
  <si>
    <t>Vehicle:</t>
  </si>
  <si>
    <t>Road Use Tax Fund</t>
  </si>
  <si>
    <t>Fee for issuance of certificate of vehicle title:</t>
  </si>
  <si>
    <t>Vehicle owner</t>
  </si>
  <si>
    <t>0810, 0964</t>
  </si>
  <si>
    <t>Statutory Allocations Fund</t>
  </si>
  <si>
    <t xml:space="preserve"> A) 321.20 Application for registration and certificate of title</t>
  </si>
  <si>
    <t>Acts 2019, ch. 50 section 12</t>
  </si>
  <si>
    <t>102
104
178-179
250
242
243
256
257
252
111</t>
  </si>
  <si>
    <t xml:space="preserve"> B) 321.20A Certificate of title and registration fees-commercial vehicles</t>
  </si>
  <si>
    <t>Acts 2019, ch. 50 section 13</t>
  </si>
  <si>
    <t>321.20A</t>
  </si>
  <si>
    <t xml:space="preserve"> C) 321.23 Title to specially constructed and reconstructed vehicles</t>
  </si>
  <si>
    <t>Acts 2022, ch. 1027 section 1</t>
  </si>
  <si>
    <t xml:space="preserve"> (1) Application to title specially reconstructed vehicle, etc.</t>
  </si>
  <si>
    <t>(4) Application to title certain specially reconstructed vehicle, etc.</t>
  </si>
  <si>
    <t xml:space="preserve"> D) 321.42 Lost of damaged certificates, cards, and plates-replacements</t>
  </si>
  <si>
    <t>Varies from $3 to $40</t>
  </si>
  <si>
    <t>Acts 2008, ch. 1113 &amp; ch. 1124</t>
  </si>
  <si>
    <t>1039-1042
3090</t>
  </si>
  <si>
    <t xml:space="preserve"> E) 321.46 New title and registration upon transfer of ownership-credit</t>
  </si>
  <si>
    <t>Included in line 53 above</t>
  </si>
  <si>
    <t xml:space="preserve"> F) 321.47 Transfers by operation of law</t>
  </si>
  <si>
    <t>Acts 2023, ch. 143 sections 1, 2</t>
  </si>
  <si>
    <t xml:space="preserve"> G) 321.52(4)(a) Fee for salvage certificate of title</t>
  </si>
  <si>
    <t>Acts 2021, ch. 30 section 1</t>
  </si>
  <si>
    <t xml:space="preserve"> H) 321.109 Motor vehicle fee (certificate of title fee)</t>
  </si>
  <si>
    <t>Acts 2016, ch. 1098 section 15</t>
  </si>
  <si>
    <t>Proof of security against liability-county treasurer administrative fee</t>
  </si>
  <si>
    <t>Vehicle owner or driver</t>
  </si>
  <si>
    <t>County Treasurer</t>
  </si>
  <si>
    <t>Acts 2013, ch. 103 sections 5, 6</t>
  </si>
  <si>
    <t>321.20B</t>
  </si>
  <si>
    <t>199-200</t>
  </si>
  <si>
    <t>Fees for special vehicle registration plates</t>
  </si>
  <si>
    <t>Fees vary; see Code</t>
  </si>
  <si>
    <t>0810</t>
  </si>
  <si>
    <t>Multiple changes</t>
  </si>
  <si>
    <t>Collegiate plates - alternate fees pass thru to institution</t>
  </si>
  <si>
    <t>$25 registration, $25 college registration, $5 renewal</t>
  </si>
  <si>
    <t>upon request, annual</t>
  </si>
  <si>
    <t>RUTF</t>
  </si>
  <si>
    <t>Acts 2023, ch. 144 section 1</t>
  </si>
  <si>
    <t>321.34(7)</t>
  </si>
  <si>
    <t>5-6
84-95
3255-3270
4042-4045
4071-4074
4090-4093
4142-4145
4161-4172
4213-4220
3306-3344
3278-3293</t>
  </si>
  <si>
    <t>Radio Operators plate</t>
  </si>
  <si>
    <t xml:space="preserve">upon request </t>
  </si>
  <si>
    <t>324.34(3)</t>
  </si>
  <si>
    <t>70, 71</t>
  </si>
  <si>
    <t>Ex POW, Legion of Merit</t>
  </si>
  <si>
    <t>$0 registration, $15 renewal</t>
  </si>
  <si>
    <t>324.34(various)</t>
  </si>
  <si>
    <t>119, 24, 137</t>
  </si>
  <si>
    <t>Bronze Star, Service Cross, Gold Star, National Guard,  Pearl Harbor, Purple Heart, Retired Armed Forces, Cross Medal, Armed Forces Medals, Silver Star, and Veterans</t>
  </si>
  <si>
    <t>$0 registration, $5 renewal</t>
  </si>
  <si>
    <t>76-79
107
109-110
119
136-137
172
181-184
202-204
212-236
3220-3224
3228
3230-3233
3236
3238
3240-3242
3244-3245
4097-4100
4105-4116
4120
4123-4125
4127
4131-4132
4010-4011
148
150-151</t>
  </si>
  <si>
    <t>Fire Fighter and EMS plates - alternate fees pass thru to special fund</t>
  </si>
  <si>
    <t>321.34(10)</t>
  </si>
  <si>
    <t>116-117
120-121
3142
4075-4078</t>
  </si>
  <si>
    <t>Breast Cancer Awareness, Cattleman Care, Ducks Unlimited, Education, Fallen Peace Officers, Flying our Colors, Iowa Ag Literacy, Iowa Heritage, Love our Kids, Organ and Tissue Donor, Share the Road and Motorcycle Rider education plates - alternate fees pass thru to special fund</t>
  </si>
  <si>
    <t>$35 issuance, $10 renewal</t>
  </si>
  <si>
    <t>321.34(various)</t>
  </si>
  <si>
    <t>49
30
72-75
80-83
112-115
127-130
138-141
144-147
166-169
3246-3249
3274-3277
4079-4082
4157-4160
4204-4207</t>
  </si>
  <si>
    <t>Blackout plates</t>
  </si>
  <si>
    <t>321.34(11C)</t>
  </si>
  <si>
    <t>4173-4176</t>
  </si>
  <si>
    <t>New special registration (special emblem) plates 
Choose Life, God Bless America, Shriners, and Professional Firefighter</t>
  </si>
  <si>
    <t>$25 issuance, $5 renewal</t>
  </si>
  <si>
    <t>321.34(12)</t>
  </si>
  <si>
    <t>123-126
195-198
4030-4033
4083-4086
4153-4156</t>
  </si>
  <si>
    <t>Natural resources special registration plates - fees pass thru to special fund</t>
  </si>
  <si>
    <t>$45 issuance; $25 renewal</t>
  </si>
  <si>
    <t>321.34(11)</t>
  </si>
  <si>
    <t>152-163
3298-3305</t>
  </si>
  <si>
    <t>New personalized plates (add'l fee for all plate types)</t>
  </si>
  <si>
    <t>321.34(5)</t>
  </si>
  <si>
    <t>103
105
149</t>
  </si>
  <si>
    <t>Administrative fee to change registration plates to another county (pd to county)</t>
  </si>
  <si>
    <t>Acts 1977, ch. 103</t>
  </si>
  <si>
    <t>Lost or damaged certificates, cards, and plates - replacements</t>
  </si>
  <si>
    <t>Replacement registration card</t>
  </si>
  <si>
    <t>Acts 2008, Ch 1124, section 6</t>
  </si>
  <si>
    <t>Replacement plate or set of plates (other than per 321.60)</t>
  </si>
  <si>
    <t>Replacement plate per 321.60</t>
  </si>
  <si>
    <t>Acts 2014, Ch 1123, section 28</t>
  </si>
  <si>
    <t>Replacement for certificate of title (if lost or destroyed)</t>
  </si>
  <si>
    <t xml:space="preserve">Fee for corrected certificate of title </t>
  </si>
  <si>
    <t>Acts 2019, Ch 50, section 12</t>
  </si>
  <si>
    <t xml:space="preserve">321.20
</t>
  </si>
  <si>
    <t>Notation of security interest</t>
  </si>
  <si>
    <t>Acts 2018, Ch 1034, section 1</t>
  </si>
  <si>
    <t xml:space="preserve">321.50
</t>
  </si>
  <si>
    <t>Foreign vehicle acquired by dealer for resale-certificate of title</t>
  </si>
  <si>
    <t>Acts 2014, ch. 1123, section 26</t>
  </si>
  <si>
    <t>Fee for notation of a sheriff's levy as a security interest on title</t>
  </si>
  <si>
    <t>$10 per interest shown</t>
  </si>
  <si>
    <t>761 IAC 400.11 (1)</t>
  </si>
  <si>
    <t>Certification of security interests on title</t>
  </si>
  <si>
    <t>Any person</t>
  </si>
  <si>
    <t>$2 plus $1 per page if on SoS form
$3 plus $1 per page if not on SoS form</t>
  </si>
  <si>
    <t>Fee for salvage theft examination</t>
  </si>
  <si>
    <t>Owner of salvage vehicle</t>
  </si>
  <si>
    <t>$50 fee - 
$5 of fee to IDOT
$5 of fee to ToS
$40 retained by agency performing exam</t>
  </si>
  <si>
    <t>0001 (996) and '0810</t>
  </si>
  <si>
    <t>Acts 2017, ch. 31, section 2</t>
  </si>
  <si>
    <t>Fee for duplicate copy of the salvage theft examination certificate</t>
  </si>
  <si>
    <t>IAC: 7-1-1988</t>
  </si>
  <si>
    <t>761-405.12(2)(c)</t>
  </si>
  <si>
    <t xml:space="preserve">4139-4141
</t>
  </si>
  <si>
    <t>Surcharge in addition to fee req'd for issuance of title certificate</t>
  </si>
  <si>
    <t>$5 remitted to ToS</t>
  </si>
  <si>
    <t>0964</t>
  </si>
  <si>
    <t>Acts 2009, ch. 133, section 116</t>
  </si>
  <si>
    <t>321.52A</t>
  </si>
  <si>
    <t>Dealers</t>
  </si>
  <si>
    <t>Application fee for certificate for dealers, transporters and new motor vehicle wholesalers</t>
  </si>
  <si>
    <t>Dealers, transporters, and wholesalers</t>
  </si>
  <si>
    <t>Bi-annually</t>
  </si>
  <si>
    <t>Acts 2006, ch. 1090, sections 19 and 26</t>
  </si>
  <si>
    <t xml:space="preserve">3000
3003
3050
44
3006
3018
3021
3030
3033
3036
3039
3042
3049
3057
3066
3069
3072
3081
3083
3091
3094
3097
3109
3112
3115
3121
3124
3127
3030
3133
3136
3140-3145
3148
3151
3157
3160
3163
3166
3182
3190
3203-3205
3207-3209
3214
3216
</t>
  </si>
  <si>
    <t>Issuance of special (dealer) plates</t>
  </si>
  <si>
    <t>Dealer</t>
  </si>
  <si>
    <t>Acts 2014, ch. 1123, sections 28</t>
  </si>
  <si>
    <t>3009
3100
3063
3078
3154
3169
3206
4133-4134</t>
  </si>
  <si>
    <t>Fee for new registration (formerly the "use tax")</t>
  </si>
  <si>
    <t>5% of the vehicle purchase price for vehicles subject to registration under chapter 321</t>
  </si>
  <si>
    <t>upon application for new registration and certificate of title</t>
  </si>
  <si>
    <t>Acts 2016, ch. 1098, section 14</t>
  </si>
  <si>
    <t>321.105A</t>
  </si>
  <si>
    <t>Annual registration fee required</t>
  </si>
  <si>
    <t>Established elsewhere in Code</t>
  </si>
  <si>
    <t>Acts 2008, ch. 1113</t>
  </si>
  <si>
    <t>Annual motor vehicle registration fee for new passenger vehicles (based on weight/value)</t>
  </si>
  <si>
    <t>Fee=1% of the vehicle's value + 40 cents per 100 lbs of weight</t>
  </si>
  <si>
    <t>Annual</t>
  </si>
  <si>
    <t>Included on line 63 above</t>
  </si>
  <si>
    <t>Annual registration fee for vehicle equipped for persons with disabilities</t>
  </si>
  <si>
    <t>174
175
177</t>
  </si>
  <si>
    <t>Application for transit plate for nonresident to move vehicle to home state</t>
  </si>
  <si>
    <t>Nonresident owners</t>
  </si>
  <si>
    <t>$3-used; $10-new</t>
  </si>
  <si>
    <t>Dealer in-transit permits</t>
  </si>
  <si>
    <t>At Purchase</t>
  </si>
  <si>
    <t>131
132</t>
  </si>
  <si>
    <t>County in-transit permit for vehicle not currently registered</t>
  </si>
  <si>
    <t>Upon reqeust</t>
  </si>
  <si>
    <t>Included on line 97 above</t>
  </si>
  <si>
    <t>Automatic reduction. Registration fee for older passenger vehicles (based on weight/value/age)</t>
  </si>
  <si>
    <t>7-9 yrs old = 75% of fee calculated in 321.109, or $50 whichever is greater
9-12 yrs old = 50% of fee calculated in 321.109, or $50, whichever is greater
&gt; 12 yrs old = 60% of fee calculated in 321.109 or $50, whichever is greater
Antique model yr 1970-1983 =  60% of fee calculated in 321.109 or $23, whichever is greater
Antique model yr on or before 1969 =  60% of fee calculated in 321.109 or $16, whichever is greater</t>
  </si>
  <si>
    <t>Acts 2011, ch. 38 section 4</t>
  </si>
  <si>
    <t xml:space="preserve">Plug-in hybrid electric motor vehicle </t>
  </si>
  <si>
    <t>$65 in addition to annual registration fee from 321.109</t>
  </si>
  <si>
    <t>Acts 2023, ch. 66 section 72</t>
  </si>
  <si>
    <t>4201
4202</t>
  </si>
  <si>
    <t>Annual fee</t>
  </si>
  <si>
    <t>repealed</t>
  </si>
  <si>
    <t>Acts 2013, ch. 140</t>
  </si>
  <si>
    <t>Annual fee if more than five model years old</t>
  </si>
  <si>
    <t>Acts 2013, ch. 141</t>
  </si>
  <si>
    <t>Motorcycle, ambulance, and hearse fees - annual registration fee</t>
  </si>
  <si>
    <t xml:space="preserve">Motorcycles - 1-5 model years old </t>
  </si>
  <si>
    <t>Motorcycle owner</t>
  </si>
  <si>
    <t>Acts 2023, ch. 66 section 73</t>
  </si>
  <si>
    <t>Grouped with registration</t>
  </si>
  <si>
    <t>Motorcycles - more than 6 model years old</t>
  </si>
  <si>
    <t>Motorized bicycles (mopeds)</t>
  </si>
  <si>
    <t>Motorized bicycle owner</t>
  </si>
  <si>
    <t>Ambulance and hearses</t>
  </si>
  <si>
    <t>Electric motorcycle registration fee</t>
  </si>
  <si>
    <t>$9 in addition to fee required for motorcycle in subsection 1</t>
  </si>
  <si>
    <t>Church buses (9 or more passengers)</t>
  </si>
  <si>
    <t>Acts 2008, ch. 1113 section 92</t>
  </si>
  <si>
    <t xml:space="preserve">Special trucks for farm use </t>
  </si>
  <si>
    <t>Truck owner (farmers)</t>
  </si>
  <si>
    <t>$100 for gross wt = 6 tons
$125 - $315 wt 6-18 tons
$325 gross wt 18-19 tons
$375 gross wt 19-20 tons
$25 for each add'l ton up to 38 tons</t>
  </si>
  <si>
    <t>Acts 2019, Ch 138 section 2</t>
  </si>
  <si>
    <t>Special trucks for farm use owned prior to 1/1/2009</t>
  </si>
  <si>
    <t>$80 gross wt = 6 tons
$100 gross wt = 7 tons
$120 gross wt = 8 tons
$15 add'l per ton 8-18 tons</t>
  </si>
  <si>
    <t>Trucks, truck tractors, and road tractors with gross weight 3 tons or less, except 2010 and subsequent model years registered under 321.109 and special trucks</t>
  </si>
  <si>
    <t>Truck owner</t>
  </si>
  <si>
    <t>$150 - 0-7 yrs old
$120 - 7-9 yrs old
$100 - 9-12 yrs old
$50 - &gt; 12 yrs old</t>
  </si>
  <si>
    <t>Acts 2011, ch. 38 section 6</t>
  </si>
  <si>
    <t>Trucks, truck tractors, and road tractors with gross weight exceeding 3 tons, except 2010 and subsequent model years registered under 321.109 and special trucks</t>
  </si>
  <si>
    <t xml:space="preserve">Ranges from $165 (3 ton) to $1,695 (40 ton)
</t>
  </si>
  <si>
    <t>321.122(1)(a)2 - Applies to all vehicles other than those registered continuously to the same owner as of 1-1-2009; based on gross weight</t>
  </si>
  <si>
    <t xml:space="preserve">Ranges from $150 (3 ton) to  $1,695 (40 ton)
</t>
  </si>
  <si>
    <t>Acts 2008, ch. 1113-LT 14 tons; Acts 1980, ch. 1100-GTE 14 tons</t>
  </si>
  <si>
    <t xml:space="preserve">Trucks, truck tractors, and road tractors with gross weight 3 tons or less registered continuously to the same owner as of 1-1-2009 </t>
  </si>
  <si>
    <t>$65 - 0-10 yrs old
$55 - 10-13 yrs old
$45 - 13-15 yrs old
$35 - &gt; 15 yrs old</t>
  </si>
  <si>
    <t xml:space="preserve">Trucks, truck tractors, and road tractors with gross weight exceeding 3 tons registered continuously to the same owner as of 1-1-2009 </t>
  </si>
  <si>
    <t>Ranges from $80 (3 ton) to $200 (9 ton)</t>
  </si>
  <si>
    <t>Trucks, truck tractors, and road tractors with combined gross weight exceeding 40 tons</t>
  </si>
  <si>
    <t>$1,695 plus $80 per ton over 40 tons</t>
  </si>
  <si>
    <t>Truck tractors and road tracktors equipped with two or more solid rubber tires</t>
  </si>
  <si>
    <t>Annual registration based on weight for truck with pneumatic tires plus add'l 25 percent</t>
  </si>
  <si>
    <t>Class A -  motor homes with list price of $80,000 or more</t>
  </si>
  <si>
    <t>$400 - 0-5 yrs old
$300 over 5 yrs old</t>
  </si>
  <si>
    <t>Acts 2014, ch. 1127 section 7</t>
  </si>
  <si>
    <t>Class A -  motor homes with list price of $40,000 to $79,999</t>
  </si>
  <si>
    <t>$200 - 0-5 yrs old
$150 over 5 yrs old</t>
  </si>
  <si>
    <t>Class A -  motor homes with list price of $20,000 to $39,999</t>
  </si>
  <si>
    <t>$140 - 0-5 yrs old
$105 over 5 yrs old</t>
  </si>
  <si>
    <t>Class A -  motor homes with list price of less than $20,000</t>
  </si>
  <si>
    <t>$120 - 0-5 yrs old
$85 over 5 yrs old</t>
  </si>
  <si>
    <t>Class A -  passenger carrying bus registered at least 5 times (cumulatively) as a motor truck which has been altered to provide temp living quarters</t>
  </si>
  <si>
    <t>$90 - 1-10 yrs old
$65 over 10 yrs old</t>
  </si>
  <si>
    <t>Class B - motor homes</t>
  </si>
  <si>
    <t>$90 - 0-5 yrs old
$65 over 5 yrs old</t>
  </si>
  <si>
    <t xml:space="preserve">Class C - motor homes </t>
  </si>
  <si>
    <t>1992 model year and older multipurpose vehicles</t>
  </si>
  <si>
    <t>Vehicle Owner</t>
  </si>
  <si>
    <t>$200 - 1st and 2nd model year
$175 - 3rd and 4th model year
$150 - 5th model year
$75 - 6th model year
$50 - each succeeding model year</t>
  </si>
  <si>
    <t>Motorsports recreation vehicle</t>
  </si>
  <si>
    <t>Penalty for improper registration of motorsports recreational vehicle</t>
  </si>
  <si>
    <t>$750/registration year not to exceed $2,500</t>
  </si>
  <si>
    <t>Per Occurrence</t>
  </si>
  <si>
    <t>Annual registration fee for multipurpose vehicle equipped for persons with disabilities</t>
  </si>
  <si>
    <t>Vehicles placed in storage - replacement plates</t>
  </si>
  <si>
    <t>$5 for set of plates</t>
  </si>
  <si>
    <t>Upon request</t>
  </si>
  <si>
    <t>761-400.43(2)</t>
  </si>
  <si>
    <t xml:space="preserve">Monthly penalty for late registration fees.  </t>
  </si>
  <si>
    <t>5% of the annual registration fee
150% of the annual registration if not paid after 2 years</t>
  </si>
  <si>
    <t>Accrues monthly until pad</t>
  </si>
  <si>
    <t>Acts 2017, ch. 92 section 1</t>
  </si>
  <si>
    <t>186
211</t>
  </si>
  <si>
    <t>Exceptional cases - annual registration fee</t>
  </si>
  <si>
    <t>$10 higher than previous model year</t>
  </si>
  <si>
    <t>Acts 2008, ch. 1113 section 105</t>
  </si>
  <si>
    <t>Annual vehicle registration fee - trailers:</t>
  </si>
  <si>
    <t>0964 &amp; 0810</t>
  </si>
  <si>
    <t>244
245</t>
  </si>
  <si>
    <t>Trailers with an empty weight of 2,000 lbs or less</t>
  </si>
  <si>
    <t>Acts 2008, ch. 1113 section 24, 25, 94, 95</t>
  </si>
  <si>
    <t>Trailers with an empty weight exceeding 2,000 lbs</t>
  </si>
  <si>
    <t>Travel trailers and fifth-wheel travel trailers</t>
  </si>
  <si>
    <t>1-6 model years - 30 cents/sq. ft. floor space; 7 + model years - 75% X .30 cents/sq. ft. floor space</t>
  </si>
  <si>
    <t>DISPOSITION OF MONEYS AND FEES collected under Code chapter 321</t>
  </si>
  <si>
    <t>RUTF, except for fines, forfeitures, court costs, fees retained by the county treasurer, and fees credited to the SAF</t>
  </si>
  <si>
    <t>Collection fees retained by county:</t>
  </si>
  <si>
    <t>County General Fund</t>
  </si>
  <si>
    <t>From total vehicle registration collection, excluding the fee for new registration</t>
  </si>
  <si>
    <t>Acts 2014, ch. 1127 section 8</t>
  </si>
  <si>
    <t>$2.50 from each certificate of title fee</t>
  </si>
  <si>
    <t>40% of all fees collected for certified copies of certificates of title (replacement titles)</t>
  </si>
  <si>
    <t>40% of all fees collected for certified copies of certificates of title</t>
  </si>
  <si>
    <t>60% of all fees collected for perfection of security interests</t>
  </si>
  <si>
    <t>25% of each penalty for improper business-trade truck registration</t>
  </si>
  <si>
    <t>$1 for each fee for new registration collected pursuant to 321.105A</t>
  </si>
  <si>
    <t>25% of each penalty for improper motor sports recreational vehicle registration under section 321.124 subsection 4</t>
  </si>
  <si>
    <t>25% of each penalty for improper motor sports recreation vehicle registration</t>
  </si>
  <si>
    <t>Driver:</t>
  </si>
  <si>
    <t>Fee for a license or renewal of a license for a private or commercial driver education school</t>
  </si>
  <si>
    <t>Private and commercial driver ed schools</t>
  </si>
  <si>
    <t>IAC: 5-5-2004</t>
  </si>
  <si>
    <t>761-634.8</t>
  </si>
  <si>
    <t>Fee for a license or renewal of a license for an entity to deliver the motorcycle rider education course approved by the department</t>
  </si>
  <si>
    <t>Entity that delivers course</t>
  </si>
  <si>
    <t>761-635.2</t>
  </si>
  <si>
    <t>Driver's license - content. Fee for new license upon turning age 18 or age 21</t>
  </si>
  <si>
    <t>Driver</t>
  </si>
  <si>
    <t>Acts 2022, ch 1026 section 2</t>
  </si>
  <si>
    <t>321.189(6)</t>
  </si>
  <si>
    <t>Included in line 158 below</t>
  </si>
  <si>
    <t>Replacement of lost or destroyed driver's license or nonoperator's ID card</t>
  </si>
  <si>
    <t>Driver/citizen</t>
  </si>
  <si>
    <t>Acts 2013, ch. 82</t>
  </si>
  <si>
    <t>321.195; 761-605.11 &amp; 761-630.3</t>
  </si>
  <si>
    <t>Included on line 153 below</t>
  </si>
  <si>
    <t>Voluntary replacement of a driver's license and nonoperator's ID card</t>
  </si>
  <si>
    <t>$10 as of July 2013 - previously $1</t>
  </si>
  <si>
    <t>daily</t>
  </si>
  <si>
    <t>Driver's license for undercover law enforcement officers - fees - penalties.</t>
  </si>
  <si>
    <t>Law enforcement agency</t>
  </si>
  <si>
    <t>Same as 321.191 fees</t>
  </si>
  <si>
    <t>Upon requst</t>
  </si>
  <si>
    <t>Acts 98, Ch 1073 section 10</t>
  </si>
  <si>
    <t>321.189A</t>
  </si>
  <si>
    <t>Issuance of nonoperator's identification cards - fee.</t>
  </si>
  <si>
    <t>Citizen</t>
  </si>
  <si>
    <t>$8 for 8 years of validity</t>
  </si>
  <si>
    <t>Acts 2022, ch 1026 section 3</t>
  </si>
  <si>
    <t>321.190.; 761-630</t>
  </si>
  <si>
    <t>Fees for driver's licenses issued under sections 321.189/321.191:</t>
  </si>
  <si>
    <t>See Code section 321.191</t>
  </si>
  <si>
    <t>Instruction permit</t>
  </si>
  <si>
    <t>Acts 2022, ch. 1134 section 25</t>
  </si>
  <si>
    <t>Special instruction permit</t>
  </si>
  <si>
    <t>1003
1017
1018</t>
  </si>
  <si>
    <t>Chauffeur's instruction permit or commercial driver's instruction permit</t>
  </si>
  <si>
    <t>1025
4147-4150</t>
  </si>
  <si>
    <t>Noncommercial driver's license, other than a class D license or an instruction permit</t>
  </si>
  <si>
    <t>$4/year of validity</t>
  </si>
  <si>
    <t>1000
1004
1008</t>
  </si>
  <si>
    <t>Fee for DL valid only for operation of a motorized bicycle (good for 2 years)</t>
  </si>
  <si>
    <t>Operator</t>
  </si>
  <si>
    <t>Acts 1990, ch. 1230</t>
  </si>
  <si>
    <t>321.191; 761-602.24</t>
  </si>
  <si>
    <t>Licenses for chauffeurs (noncommercial class D driver's license)</t>
  </si>
  <si>
    <t>$8/year of validity</t>
  </si>
  <si>
    <t>Commercial driver's licenses (CDL)</t>
  </si>
  <si>
    <t>1019
1022-1023
1076-1080
4027</t>
  </si>
  <si>
    <t>Fee for a restricted CDL (agricultural purposes)</t>
  </si>
  <si>
    <t>321.191; 761-607.49</t>
  </si>
  <si>
    <t>Licenses valid for motorcycles</t>
  </si>
  <si>
    <t>Additional $2 fee/year of validity</t>
  </si>
  <si>
    <t>1030
1015</t>
  </si>
  <si>
    <t>Special minors' licenses (school license)</t>
  </si>
  <si>
    <t>CDL endorsements and removal of air brake restrictions:</t>
  </si>
  <si>
    <t>CDL - Fee for double/triple trailer, tank vehicle, or hazardous materials endorsement</t>
  </si>
  <si>
    <t>1034
1031
1033</t>
  </si>
  <si>
    <t>CDL - Fee for passenger endorsement or school bus endorsement</t>
  </si>
  <si>
    <t>1035
1032</t>
  </si>
  <si>
    <t>CDL - Fee for removal of an air brake, full air brake, manual transmission, tractor-trailer or passenger vehicle restriction</t>
  </si>
  <si>
    <t>Fee for reinstatement of a driver's license</t>
  </si>
  <si>
    <t>Fee for license reinstatement after commercial driver's license disqualification (321.208)</t>
  </si>
  <si>
    <t>Included in line 169 above</t>
  </si>
  <si>
    <t>Fee adjustment for upgrading driver's license (set by rule per Code):</t>
  </si>
  <si>
    <t>Noncommercial Class C to Class D</t>
  </si>
  <si>
    <t>761-605.20</t>
  </si>
  <si>
    <t>Included in line 158 above</t>
  </si>
  <si>
    <t>Class M to Class D with motorcycle endorsement</t>
  </si>
  <si>
    <t>Class M to noncommercial Class C with motorcycle endorsement</t>
  </si>
  <si>
    <t>$2 one time fee</t>
  </si>
  <si>
    <t>Fee to add a privilege to a driver's license:  Noncommercial Class C-full privileges; motorized bicycle; minor's restricted license; or minor's school license</t>
  </si>
  <si>
    <t>Fee to add a privilege to a driver's license: Motorcycle instruction permit or motorcycle endorsement</t>
  </si>
  <si>
    <t>$2 per year</t>
  </si>
  <si>
    <t>Included in line 163 above</t>
  </si>
  <si>
    <t>Non-OWI Civil Penalty</t>
  </si>
  <si>
    <t>0001 (0143)</t>
  </si>
  <si>
    <t>Juvenile Detention Home Fund</t>
  </si>
  <si>
    <t xml:space="preserve">Section 321.218A civil penalty assessed prior to license reinstatement following a conviction under chapter 321. </t>
  </si>
  <si>
    <t>Driver whose DL is revoked under chapter 321</t>
  </si>
  <si>
    <t>Repealed by 2020 Acts, ch 1074, §54, 93</t>
  </si>
  <si>
    <t>Juvenile Detention Home Fund (232.142)</t>
  </si>
  <si>
    <t>Acts 1997, ch. 190</t>
  </si>
  <si>
    <t>321.218A</t>
  </si>
  <si>
    <t>1051-1052</t>
  </si>
  <si>
    <t>Processing fee to county treasurer if person remits fee to the county treasurer</t>
  </si>
  <si>
    <t>2005 amendment, effective 7-1-2007</t>
  </si>
  <si>
    <t>Section 321A.32A  Civil penalty assessed prior to license reinstatement following a conviction under chapter 321A.</t>
  </si>
  <si>
    <t>Driver whose DL is revoked under chapter 321A</t>
  </si>
  <si>
    <t>Acts 1997, ch. 190; various session law amendments</t>
  </si>
  <si>
    <t>321A.32A</t>
  </si>
  <si>
    <t>321A.32A &amp; 321.218A</t>
  </si>
  <si>
    <t>Fee for copy of investigating officer's motor vehicle accident report</t>
  </si>
  <si>
    <t>Entities identified per 321.271(2)</t>
  </si>
  <si>
    <t>Acts 1981, ch. 14</t>
  </si>
  <si>
    <t>Fee for preparation of a memorandum for a misdemeanor violation of chapter 321</t>
  </si>
  <si>
    <t>Person cited/convicted</t>
  </si>
  <si>
    <t>General Fund; Not currently collected by courts; if collected would be part of court costs.</t>
  </si>
  <si>
    <t>Acts 1975, ch. 101</t>
  </si>
  <si>
    <t>Motor Vehicle Division Appropriation</t>
  </si>
  <si>
    <t xml:space="preserve">IOWA COURT INFORMATION SYSTEM </t>
  </si>
  <si>
    <t>0143</t>
  </si>
  <si>
    <t>Fee for non-certified abstract of record of court case of person convicted of violating a law regulating the operation of vehicles on highways (pd to clerk of court)</t>
  </si>
  <si>
    <t>Person requesting a non-certified abstract of record of conviction</t>
  </si>
  <si>
    <t>50 cents</t>
  </si>
  <si>
    <t>Acts 2010, ch. 1061 section 120</t>
  </si>
  <si>
    <t>Fee for the courts to electronically provide record of the convictions and forfeitures of bail to a vendor (pd to judicial branch)</t>
  </si>
  <si>
    <t>Private vendor</t>
  </si>
  <si>
    <t>$10,000/month or actual costs, whichever is greater</t>
  </si>
  <si>
    <t>Included in line 185 above</t>
  </si>
  <si>
    <t>VEHICLES OF EXCESSIVE SIZE AND WEIGHT</t>
  </si>
  <si>
    <t>0137, 0810</t>
  </si>
  <si>
    <t>Annual permit</t>
  </si>
  <si>
    <t>Acts 2022, ch 1086 section 2,3</t>
  </si>
  <si>
    <t>321E.14</t>
  </si>
  <si>
    <t>4050
4068</t>
  </si>
  <si>
    <t>Annual oversize/overweight permit</t>
  </si>
  <si>
    <t>4049
4064</t>
  </si>
  <si>
    <t>Self-propelled implement of husbandry - annual permit</t>
  </si>
  <si>
    <t>$600/per county of operation, not to exceed $3,500 annually</t>
  </si>
  <si>
    <t>Acts 2007, ch. 143</t>
  </si>
  <si>
    <t>321E.8A</t>
  </si>
  <si>
    <t>All-systems permit-annual fee pursuant to 321E.8 subsection 1</t>
  </si>
  <si>
    <t>All-systems permit-annual fee pursuant to 321E.8 subsection 2</t>
  </si>
  <si>
    <t>Annual Crane</t>
  </si>
  <si>
    <t>Multi-trip permits</t>
  </si>
  <si>
    <t>Multiple Trips</t>
  </si>
  <si>
    <t>Special alternative energy multi-trip permit</t>
  </si>
  <si>
    <t>Single-trip permit</t>
  </si>
  <si>
    <t>Single Use</t>
  </si>
  <si>
    <t>Excess size divisible and raw milk products permit</t>
  </si>
  <si>
    <t>Compacted rubbish transporters</t>
  </si>
  <si>
    <t xml:space="preserve">Transportation of raw forest products </t>
  </si>
  <si>
    <t>Fluid milk products</t>
  </si>
  <si>
    <t>High and Low Level Radiation</t>
  </si>
  <si>
    <t>4059
4060
4061</t>
  </si>
  <si>
    <t>Unladen Weight</t>
  </si>
  <si>
    <t>Bridge Exempt</t>
  </si>
  <si>
    <t>Fuel Trip</t>
  </si>
  <si>
    <t>Duplicate permit</t>
  </si>
  <si>
    <t>IAC: 2-5-1986</t>
  </si>
  <si>
    <t>761-511.5(12)</t>
  </si>
  <si>
    <t>Registration fee for vehicles transporting buildings on a single-trip basis</t>
  </si>
  <si>
    <t>Formula ($0.05 per ton exceeding registered weight per mile)</t>
  </si>
  <si>
    <t>321E.12</t>
  </si>
  <si>
    <t>Charge for measures necessary to avoid damage to public property</t>
  </si>
  <si>
    <t>Fair &amp; reasonable per IAC</t>
  </si>
  <si>
    <t>Monthly</t>
  </si>
  <si>
    <t>Tree trimming and removal or replacement of obstructions or signs during movement of a vehicle and load</t>
  </si>
  <si>
    <t>Actual cost</t>
  </si>
  <si>
    <t>Escort vehicles for certain oversize vehicles</t>
  </si>
  <si>
    <t>Not to exceed $250/day</t>
  </si>
  <si>
    <t>Weekly</t>
  </si>
  <si>
    <t>Fee for annual permit for special mobile equipment</t>
  </si>
  <si>
    <t>OPERATING WHILE INTOXICATED (OWI)</t>
  </si>
  <si>
    <t>0001  and '0010</t>
  </si>
  <si>
    <t>321J.17</t>
  </si>
  <si>
    <t>Victim Reparation Fund</t>
  </si>
  <si>
    <t>321J.17  Civil penalty assessed prior to license reinstatement following a conviction under chapter 321J.</t>
  </si>
  <si>
    <t>Driver whose DL is revoked under chapter 321J</t>
  </si>
  <si>
    <t>1/2-Victim Comp Fund; 1/2-G.F.</t>
  </si>
  <si>
    <t>Acts 2023, ch. 19 section 1072</t>
  </si>
  <si>
    <t>1049-1050</t>
  </si>
  <si>
    <t>County treasurer</t>
  </si>
  <si>
    <t>Fees related to drinking drivers course</t>
  </si>
  <si>
    <t>Acts 2023, ch. 19 section 1073</t>
  </si>
  <si>
    <t>321J.22</t>
  </si>
  <si>
    <t>Fee related to OWI substance abuse course</t>
  </si>
  <si>
    <t>MOTOR CARRIER AUTHORITY</t>
  </si>
  <si>
    <t>Application fee for a new motor carrier permit or motor carrier certificate</t>
  </si>
  <si>
    <t>Motor carrier</t>
  </si>
  <si>
    <t>Codified as new section by Acts 1997, ch. 104</t>
  </si>
  <si>
    <t>325A.4.1(a)</t>
  </si>
  <si>
    <t xml:space="preserve">Reinstatement fee following suspension of a motor carrier license </t>
  </si>
  <si>
    <t xml:space="preserve">"        "      </t>
  </si>
  <si>
    <t>325A.4.1(b)</t>
  </si>
  <si>
    <t>Fee for change of name or address for a motor carrier permit or certificate</t>
  </si>
  <si>
    <t xml:space="preserve">"        "           </t>
  </si>
  <si>
    <t>325A.4.1(c)</t>
  </si>
  <si>
    <t>Tariff updates</t>
  </si>
  <si>
    <t>325A.4.1(d)</t>
  </si>
  <si>
    <t xml:space="preserve">Update </t>
  </si>
  <si>
    <t xml:space="preserve">"        "         </t>
  </si>
  <si>
    <t>Fee for a duplicate permit or certificate</t>
  </si>
  <si>
    <t>Annual fee for special permit approved by issuing authority for overweight garbage trucks</t>
  </si>
  <si>
    <t>761-511.5(4)</t>
  </si>
  <si>
    <t>International Registration Plan (IRP)</t>
  </si>
  <si>
    <t>0841</t>
  </si>
  <si>
    <t>Duplicate credential fee:  Replacement cab card</t>
  </si>
  <si>
    <t>IAC: 1-1-2003</t>
  </si>
  <si>
    <t>761.500.17(1)</t>
  </si>
  <si>
    <t>Duplicate credential fee:  Replacement plate and cab card, and mailing fee if applicable</t>
  </si>
  <si>
    <t>761.500.17(2)</t>
  </si>
  <si>
    <t>Duplicate credential fee:  Replacement validation sticker and cab card</t>
  </si>
  <si>
    <t>761.500.17(3)</t>
  </si>
  <si>
    <t>REGISTRATION OF CARRIER AUTHORITY</t>
  </si>
  <si>
    <t>Registration for carriers transporting commodities exempt from U.S. DOT regulation</t>
  </si>
  <si>
    <t>Fees are set annually for the Unified Carrier Registration System as specified in 49 U.S.C. § 14504a</t>
  </si>
  <si>
    <t>Est. by federal rule for calendar year 2010, as required by UCR Act of 2005.  Final rule announced by US DOT on 4-26-2010.</t>
  </si>
  <si>
    <t>327B</t>
  </si>
  <si>
    <t>State Aviation Fund</t>
  </si>
  <si>
    <t xml:space="preserve">AERONAUTICS - AIRCRAFT REGISTRATION FEES  </t>
  </si>
  <si>
    <t> </t>
  </si>
  <si>
    <t>Allows the DOT to assess a reasonable fee for the aeronautics newsletter</t>
  </si>
  <si>
    <t>Acts 1976, ch. 1175</t>
  </si>
  <si>
    <t>Inspection fee for site approval of a new airport</t>
  </si>
  <si>
    <t>Any person or governmental subdivision</t>
  </si>
  <si>
    <t>Fee based on cost of safety inspection of the site Note: 2022 Iowa Acts, HF2124 enacted July 1, 2022 removed requirements for site selection and the provision that allowed a fee to be charged for site selection. Future reporting should remove this fee.</t>
  </si>
  <si>
    <t>As needed</t>
  </si>
  <si>
    <t xml:space="preserve">C </t>
  </si>
  <si>
    <t>Initial Registration of aircraft</t>
  </si>
  <si>
    <t>Aircraft owner</t>
  </si>
  <si>
    <t>Fee=1% of aircraft list price, not to exceed $5,000</t>
  </si>
  <si>
    <t>Acts 2010. ch. 1069 section 114</t>
  </si>
  <si>
    <t>Renewal registration of aircraft</t>
  </si>
  <si>
    <t>Year 2 = .75% of mfr list price
Year 3 = .50% of mfr list price
Year 4 = .25% of mfr list price
Previously registered aircraft based on number yrs previously registered
All not to exceed $5000
Minimum fee of $35</t>
  </si>
  <si>
    <t>Included in line 234 above</t>
  </si>
  <si>
    <t>Scheduled airline used for interstate operation</t>
  </si>
  <si>
    <t>Fixed base operator aircraft under an agreement with a public-owned airport’s governing body to provide general public service</t>
  </si>
  <si>
    <t>A helicopter used exclusively as an air ambulance service</t>
  </si>
  <si>
    <t>Aircraft that is 30 years old or older and is for personal use</t>
  </si>
  <si>
    <t xml:space="preserve"> 5.  All aircraft used for business and aircraft less than 30 years old that is used for personal use only. The following schedule applies:</t>
  </si>
  <si>
    <t xml:space="preserve"> Manufacturers list X 1% = first year's fee.
' Manufacturers list X .75% = second year's fee.
' Manufacturers list X .50% = third year's fee.
' Manufacturers list X .25% = fourth year and older.
When an aircraft other than a new aircraft is registered in Iowa, the registration fee shall be based upon the model year of the aircraft. Aircraft shall not be registered for a fee of less than $35 or more than $5,000.</t>
  </si>
  <si>
    <t>Acts 1988, ch. 1062</t>
  </si>
  <si>
    <t>Application for special use certificate for aircraft manufacturers, transporters, or dealers</t>
  </si>
  <si>
    <t>Manufacturer, transporter, or dealer</t>
  </si>
  <si>
    <t>Acts 2022, ch. 1125 sections 2, 6, 7</t>
  </si>
  <si>
    <t>Penalty on delinquent aircraft registration fees</t>
  </si>
  <si>
    <t>Monthly penalty of 5% of registration fees due</t>
  </si>
  <si>
    <t>Acts 1949, ch. 148</t>
  </si>
  <si>
    <t>Biennial Airport Directory</t>
  </si>
  <si>
    <t>None</t>
  </si>
  <si>
    <t>NA</t>
  </si>
  <si>
    <t>Motor Vehicle Fuel Tax Unappor.</t>
  </si>
  <si>
    <t>INTERSTATE MOTOR FUEL LICENSES AND PERMITS (IFTA) Kevin Beichley and Team</t>
  </si>
  <si>
    <t>0140</t>
  </si>
  <si>
    <t>Permanent International Fuel Tax Agreement (IFTA) permit or license</t>
  </si>
  <si>
    <t>Acts 2019, ch. 151 sections 29, 46</t>
  </si>
  <si>
    <t>452A.53.(3)</t>
  </si>
  <si>
    <t>Interstate motor carriers - single-trip interstate motor carrier permit (72 hour)</t>
  </si>
  <si>
    <t>452A.53(4)</t>
  </si>
  <si>
    <t>Included in line 245 above</t>
  </si>
  <si>
    <t>Interstate motor carriers - license or temporary permit duplicate</t>
  </si>
  <si>
    <t>761.505.3(6)</t>
  </si>
  <si>
    <t>Total</t>
  </si>
  <si>
    <t>Information as provided by the Department/Agency in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</si>
</sst>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6" x14ac:knownFonts="1">
    <font>
      <sz val="11"/>
      <color indexed="8"/>
      <name val="Aptos Narrow"/>
      <family val="2"/>
      <scheme val="minor"/>
    </font>
    <font>
      <b/>
      <sz val="10"/>
      <color rgb="FFFF0000"/>
      <name val="Arial"/>
      <family val="2"/>
    </font>
    <font>
      <sz val="10"/>
      <color rgb="FFFF0000"/>
      <name val="Arial"/>
      <family val="2"/>
    </font>
    <font>
      <sz val="10"/>
      <name val="Arial"/>
      <family val="2"/>
    </font>
    <font>
      <sz val="10"/>
      <color rgb="FF000000"/>
      <name val="Arial"/>
      <family val="2"/>
    </font>
    <font>
      <b/>
      <sz val="10"/>
      <name val="Arial"/>
      <family val="2"/>
    </font>
    <font>
      <b/>
      <sz val="10"/>
      <color rgb="FF000000"/>
      <name val="Arial"/>
      <family val="2"/>
    </font>
    <font>
      <i/>
      <sz val="10"/>
      <color rgb="FF000000"/>
      <name val="Arial"/>
      <family val="2"/>
    </font>
    <font>
      <b/>
      <i/>
      <sz val="10"/>
      <name val="Arial"/>
      <family val="2"/>
    </font>
    <font>
      <strike/>
      <sz val="10"/>
      <name val="Arial"/>
      <family val="2"/>
    </font>
    <font>
      <b/>
      <strike/>
      <sz val="10"/>
      <name val="Arial"/>
      <family val="2"/>
    </font>
    <font>
      <strike/>
      <sz val="10"/>
      <color rgb="FF000000"/>
      <name val="Arial"/>
      <family val="2"/>
    </font>
    <font>
      <b/>
      <i/>
      <strike/>
      <sz val="10"/>
      <name val="Arial"/>
      <family val="2"/>
    </font>
    <font>
      <i/>
      <sz val="10"/>
      <name val="Arial"/>
      <family val="2"/>
    </font>
    <font>
      <i/>
      <strike/>
      <sz val="10"/>
      <name val="Arial"/>
      <family val="2"/>
    </font>
    <font>
      <sz val="10"/>
      <name val="Arial"/>
    </font>
  </fonts>
  <fills count="6">
    <fill>
      <patternFill patternType="none"/>
    </fill>
    <fill>
      <patternFill patternType="gray125"/>
    </fill>
    <fill>
      <patternFill patternType="none"/>
    </fill>
    <fill>
      <patternFill patternType="solid">
        <fgColor theme="0" tint="-0.24994659260841701"/>
        <bgColor indexed="64"/>
      </patternFill>
    </fill>
    <fill>
      <patternFill patternType="solid">
        <fgColor theme="2"/>
        <bgColor indexed="64"/>
      </patternFill>
    </fill>
    <fill>
      <patternFill patternType="solid">
        <fgColor rgb="FFFF00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3" fillId="2" borderId="2"/>
    <xf numFmtId="0" fontId="15" fillId="2" borderId="2"/>
    <xf numFmtId="44" fontId="3" fillId="2" borderId="2" applyFont="0" applyFill="0" applyBorder="0" applyAlignment="0" applyProtection="0"/>
  </cellStyleXfs>
  <cellXfs count="135">
    <xf numFmtId="0" fontId="0" fillId="0" borderId="0" xfId="0"/>
    <xf numFmtId="3" fontId="3" fillId="4" borderId="1" xfId="1" applyNumberFormat="1" applyFill="1" applyBorder="1" applyAlignment="1">
      <alignment horizontal="center" vertical="top"/>
    </xf>
    <xf numFmtId="3" fontId="3" fillId="4" borderId="1" xfId="1" applyNumberFormat="1" applyFill="1" applyBorder="1" applyAlignment="1">
      <alignment horizontal="center" vertical="top" wrapText="1"/>
    </xf>
    <xf numFmtId="3" fontId="3" fillId="2" borderId="1" xfId="1" applyNumberFormat="1" applyBorder="1" applyAlignment="1">
      <alignment horizontal="center" vertical="top" wrapText="1"/>
    </xf>
    <xf numFmtId="3" fontId="3" fillId="2" borderId="1" xfId="1" applyNumberFormat="1" applyBorder="1" applyAlignment="1">
      <alignment horizontal="center" vertical="top"/>
    </xf>
    <xf numFmtId="0" fontId="3" fillId="2" borderId="1" xfId="1" applyBorder="1" applyAlignment="1">
      <alignment horizontal="center" vertical="top" wrapText="1"/>
    </xf>
    <xf numFmtId="0" fontId="9" fillId="2" borderId="1" xfId="1" applyFont="1" applyBorder="1" applyAlignment="1">
      <alignment horizontal="center" vertical="top" wrapText="1"/>
    </xf>
    <xf numFmtId="14" fontId="3" fillId="2" borderId="1" xfId="1" applyNumberFormat="1" applyBorder="1" applyAlignment="1">
      <alignment horizontal="center" vertical="top" wrapText="1"/>
    </xf>
    <xf numFmtId="14" fontId="9" fillId="2" borderId="1" xfId="1" applyNumberFormat="1" applyFont="1" applyBorder="1" applyAlignment="1">
      <alignment horizontal="center" vertical="top" wrapText="1"/>
    </xf>
    <xf numFmtId="0" fontId="3" fillId="2" borderId="1" xfId="2" applyFont="1" applyBorder="1" applyAlignment="1">
      <alignment vertical="top"/>
    </xf>
    <xf numFmtId="0" fontId="15" fillId="2" borderId="2" xfId="2"/>
    <xf numFmtId="0" fontId="3" fillId="2" borderId="1" xfId="2" applyFont="1" applyBorder="1" applyAlignment="1">
      <alignment horizontal="center" vertical="top" wrapText="1"/>
    </xf>
    <xf numFmtId="0" fontId="3" fillId="2" borderId="1" xfId="2" applyFont="1" applyBorder="1"/>
    <xf numFmtId="164" fontId="3" fillId="2" borderId="1" xfId="2" applyNumberFormat="1" applyFont="1" applyBorder="1" applyAlignment="1">
      <alignment horizontal="center" vertical="top"/>
    </xf>
    <xf numFmtId="3" fontId="3" fillId="2" borderId="1" xfId="2" applyNumberFormat="1" applyFont="1" applyBorder="1" applyAlignment="1">
      <alignment horizontal="center" vertical="top"/>
    </xf>
    <xf numFmtId="0" fontId="3" fillId="2" borderId="1" xfId="2" applyFont="1" applyBorder="1" applyAlignment="1">
      <alignment horizontal="left" vertical="top" wrapText="1"/>
    </xf>
    <xf numFmtId="0" fontId="3" fillId="2" borderId="1" xfId="2" applyFont="1" applyBorder="1" applyAlignment="1">
      <alignment horizontal="right" vertical="top" wrapText="1"/>
    </xf>
    <xf numFmtId="164" fontId="4" fillId="2" borderId="1" xfId="2" applyNumberFormat="1" applyFont="1" applyBorder="1" applyAlignment="1">
      <alignment horizontal="left" vertical="top" wrapText="1"/>
    </xf>
    <xf numFmtId="0" fontId="3" fillId="2" borderId="1" xfId="2" applyFont="1" applyBorder="1" applyAlignment="1">
      <alignment vertical="top" wrapText="1"/>
    </xf>
    <xf numFmtId="0" fontId="5" fillId="2" borderId="1" xfId="2" applyFont="1" applyBorder="1" applyAlignment="1">
      <alignment vertical="top" wrapText="1"/>
    </xf>
    <xf numFmtId="0" fontId="4" fillId="2" borderId="1" xfId="2" applyFont="1" applyBorder="1" applyAlignment="1">
      <alignment vertical="top" wrapText="1"/>
    </xf>
    <xf numFmtId="0" fontId="5" fillId="2" borderId="1" xfId="2" applyFont="1" applyBorder="1" applyAlignment="1">
      <alignment vertical="top"/>
    </xf>
    <xf numFmtId="0" fontId="3" fillId="2" borderId="1" xfId="2" applyFont="1" applyBorder="1" applyAlignment="1">
      <alignment vertical="center"/>
    </xf>
    <xf numFmtId="0" fontId="3" fillId="2" borderId="1" xfId="2" applyFont="1" applyBorder="1" applyAlignment="1">
      <alignment horizontal="center" vertical="center" wrapText="1"/>
    </xf>
    <xf numFmtId="164" fontId="3" fillId="2" borderId="1" xfId="2" applyNumberFormat="1" applyFont="1" applyBorder="1" applyAlignment="1">
      <alignment horizontal="center" vertical="center"/>
    </xf>
    <xf numFmtId="3" fontId="3" fillId="2" borderId="1" xfId="2" applyNumberFormat="1" applyFont="1" applyBorder="1" applyAlignment="1">
      <alignment horizontal="center" vertical="center"/>
    </xf>
    <xf numFmtId="0" fontId="3" fillId="2" borderId="1" xfId="2" applyFont="1" applyBorder="1" applyAlignment="1">
      <alignment horizontal="center" vertical="center"/>
    </xf>
    <xf numFmtId="0" fontId="4" fillId="2" borderId="1" xfId="2" applyFont="1" applyBorder="1" applyAlignment="1">
      <alignment horizontal="center" vertical="center" wrapText="1"/>
    </xf>
    <xf numFmtId="0" fontId="3" fillId="2" borderId="1" xfId="2" applyFont="1" applyBorder="1" applyAlignment="1">
      <alignment vertical="center" wrapText="1"/>
    </xf>
    <xf numFmtId="0" fontId="3" fillId="2" borderId="1" xfId="2" applyFont="1" applyBorder="1" applyAlignment="1">
      <alignment horizontal="left" vertical="center" wrapText="1"/>
    </xf>
    <xf numFmtId="0" fontId="5" fillId="2" borderId="1" xfId="2" applyFont="1" applyBorder="1" applyAlignment="1">
      <alignment horizontal="center" vertical="center" wrapText="1"/>
    </xf>
    <xf numFmtId="0" fontId="3" fillId="2" borderId="1" xfId="2" applyFont="1" applyBorder="1" applyAlignment="1">
      <alignment horizontal="left" vertical="center"/>
    </xf>
    <xf numFmtId="0" fontId="5" fillId="2" borderId="1" xfId="3" applyNumberFormat="1" applyFont="1" applyFill="1" applyBorder="1" applyAlignment="1">
      <alignment horizontal="center" wrapText="1"/>
    </xf>
    <xf numFmtId="0" fontId="5" fillId="2" borderId="1" xfId="2" applyFont="1" applyBorder="1"/>
    <xf numFmtId="164" fontId="5" fillId="2" borderId="1" xfId="3" applyNumberFormat="1" applyFont="1" applyFill="1" applyBorder="1" applyAlignment="1">
      <alignment horizontal="center" wrapText="1"/>
    </xf>
    <xf numFmtId="3" fontId="5" fillId="2" borderId="1" xfId="2" applyNumberFormat="1" applyFont="1" applyBorder="1" applyAlignment="1">
      <alignment horizontal="center" wrapText="1"/>
    </xf>
    <xf numFmtId="0" fontId="5" fillId="2" borderId="1" xfId="2" applyFont="1" applyBorder="1" applyAlignment="1">
      <alignment horizontal="center" wrapText="1"/>
    </xf>
    <xf numFmtId="164" fontId="6" fillId="2" borderId="1" xfId="2" applyNumberFormat="1" applyFont="1" applyBorder="1" applyAlignment="1">
      <alignment horizontal="center" wrapText="1"/>
    </xf>
    <xf numFmtId="0" fontId="5" fillId="2" borderId="1" xfId="2" applyFont="1" applyBorder="1" applyAlignment="1">
      <alignment wrapText="1"/>
    </xf>
    <xf numFmtId="0" fontId="5" fillId="2" borderId="1" xfId="2" applyFont="1" applyBorder="1" applyAlignment="1">
      <alignment horizontal="left" wrapText="1"/>
    </xf>
    <xf numFmtId="14" fontId="3" fillId="2" borderId="1" xfId="2" applyNumberFormat="1" applyFont="1" applyBorder="1" applyAlignment="1">
      <alignment horizontal="center" vertical="top" wrapText="1"/>
    </xf>
    <xf numFmtId="165" fontId="4" fillId="2" borderId="1" xfId="2" applyNumberFormat="1" applyFont="1" applyBorder="1" applyAlignment="1">
      <alignment horizontal="center" vertical="top" wrapText="1"/>
    </xf>
    <xf numFmtId="164" fontId="4" fillId="2" borderId="1" xfId="2" applyNumberFormat="1" applyFont="1" applyBorder="1" applyAlignment="1">
      <alignment horizontal="center" vertical="top" wrapText="1"/>
    </xf>
    <xf numFmtId="0" fontId="3" fillId="4" borderId="1" xfId="2" applyFont="1" applyFill="1" applyBorder="1" applyAlignment="1">
      <alignment horizontal="center" vertical="top" wrapText="1"/>
    </xf>
    <xf numFmtId="0" fontId="3" fillId="4" borderId="1" xfId="2" applyFont="1" applyFill="1" applyBorder="1"/>
    <xf numFmtId="164" fontId="3" fillId="4" borderId="1" xfId="2" applyNumberFormat="1" applyFont="1" applyFill="1" applyBorder="1" applyAlignment="1">
      <alignment horizontal="center" vertical="top"/>
    </xf>
    <xf numFmtId="0" fontId="3" fillId="4" borderId="1" xfId="2" quotePrefix="1" applyFont="1" applyFill="1" applyBorder="1" applyAlignment="1">
      <alignment horizontal="center" vertical="top" wrapText="1"/>
    </xf>
    <xf numFmtId="164" fontId="4" fillId="4" borderId="1" xfId="2" applyNumberFormat="1" applyFont="1" applyFill="1" applyBorder="1" applyAlignment="1">
      <alignment horizontal="center" vertical="top" wrapText="1"/>
    </xf>
    <xf numFmtId="0" fontId="8" fillId="4" borderId="1" xfId="2" applyFont="1" applyFill="1" applyBorder="1" applyAlignment="1">
      <alignment horizontal="left" vertical="top" wrapText="1"/>
    </xf>
    <xf numFmtId="0" fontId="5" fillId="4" borderId="1" xfId="2" applyFont="1" applyFill="1" applyBorder="1" applyAlignment="1">
      <alignment vertical="top" wrapText="1"/>
    </xf>
    <xf numFmtId="0" fontId="3" fillId="4" borderId="1" xfId="2" applyFont="1" applyFill="1" applyBorder="1" applyAlignment="1">
      <alignment vertical="top"/>
    </xf>
    <xf numFmtId="0" fontId="15" fillId="2" borderId="1" xfId="2" applyBorder="1" applyAlignment="1">
      <alignment wrapText="1"/>
    </xf>
    <xf numFmtId="0" fontId="15" fillId="2" borderId="1" xfId="2" applyBorder="1"/>
    <xf numFmtId="164" fontId="15" fillId="2" borderId="1" xfId="2" applyNumberFormat="1" applyBorder="1"/>
    <xf numFmtId="0" fontId="4" fillId="2" borderId="1" xfId="2" applyFont="1" applyBorder="1" applyAlignment="1">
      <alignment wrapText="1"/>
    </xf>
    <xf numFmtId="0" fontId="3" fillId="2" borderId="1" xfId="2" applyFont="1" applyBorder="1" applyAlignment="1">
      <alignment wrapText="1"/>
    </xf>
    <xf numFmtId="2" fontId="3" fillId="2" borderId="1" xfId="2" applyNumberFormat="1" applyFont="1" applyBorder="1" applyAlignment="1">
      <alignment horizontal="center" vertical="top" wrapText="1"/>
    </xf>
    <xf numFmtId="0" fontId="4" fillId="2" borderId="1" xfId="2" applyFont="1" applyBorder="1" applyAlignment="1">
      <alignment horizontal="center" wrapText="1"/>
    </xf>
    <xf numFmtId="6" fontId="4" fillId="2" borderId="1" xfId="2" applyNumberFormat="1" applyFont="1" applyBorder="1" applyAlignment="1">
      <alignment horizontal="center" wrapText="1"/>
    </xf>
    <xf numFmtId="0" fontId="9" fillId="2" borderId="1" xfId="2" applyFont="1" applyBorder="1"/>
    <xf numFmtId="164" fontId="9" fillId="2" borderId="1" xfId="2" applyNumberFormat="1" applyFont="1" applyBorder="1"/>
    <xf numFmtId="3" fontId="9" fillId="2" borderId="1" xfId="2" applyNumberFormat="1" applyFont="1" applyBorder="1"/>
    <xf numFmtId="0" fontId="9" fillId="2" borderId="1" xfId="2" applyFont="1" applyBorder="1" applyAlignment="1">
      <alignment horizontal="center" vertical="top" wrapText="1"/>
    </xf>
    <xf numFmtId="0" fontId="11" fillId="2" borderId="1" xfId="2" applyFont="1" applyBorder="1" applyAlignment="1">
      <alignment wrapText="1"/>
    </xf>
    <xf numFmtId="0" fontId="9" fillId="2" borderId="1" xfId="2" applyFont="1" applyBorder="1" applyAlignment="1">
      <alignment horizontal="left" vertical="top" wrapText="1"/>
    </xf>
    <xf numFmtId="3" fontId="15" fillId="2" borderId="1" xfId="2" applyNumberFormat="1" applyBorder="1"/>
    <xf numFmtId="0" fontId="15" fillId="4" borderId="1" xfId="2" applyFill="1" applyBorder="1" applyAlignment="1">
      <alignment wrapText="1"/>
    </xf>
    <xf numFmtId="164" fontId="15" fillId="4" borderId="1" xfId="2" applyNumberFormat="1" applyFill="1" applyBorder="1"/>
    <xf numFmtId="0" fontId="15" fillId="4" borderId="1" xfId="2" applyFill="1" applyBorder="1"/>
    <xf numFmtId="0" fontId="4" fillId="4" borderId="1" xfId="2" applyFont="1" applyFill="1" applyBorder="1" applyAlignment="1">
      <alignment wrapText="1"/>
    </xf>
    <xf numFmtId="0" fontId="3" fillId="4" borderId="1" xfId="2" applyFont="1" applyFill="1" applyBorder="1" applyAlignment="1">
      <alignment horizontal="left" vertical="top" wrapText="1"/>
    </xf>
    <xf numFmtId="165" fontId="4" fillId="4" borderId="1" xfId="2" applyNumberFormat="1" applyFont="1" applyFill="1" applyBorder="1" applyAlignment="1">
      <alignment horizontal="center" vertical="top" wrapText="1"/>
    </xf>
    <xf numFmtId="164" fontId="4" fillId="4" borderId="1" xfId="2" applyNumberFormat="1" applyFont="1" applyFill="1" applyBorder="1" applyAlignment="1">
      <alignment horizontal="center" vertical="center" wrapText="1"/>
    </xf>
    <xf numFmtId="0" fontId="13" fillId="2" borderId="1" xfId="2" applyFont="1" applyBorder="1" applyAlignment="1">
      <alignment horizontal="center" vertical="top" wrapText="1"/>
    </xf>
    <xf numFmtId="14" fontId="9" fillId="2" borderId="1" xfId="2" applyNumberFormat="1" applyFont="1" applyBorder="1" applyAlignment="1">
      <alignment horizontal="center" vertical="top" wrapText="1"/>
    </xf>
    <xf numFmtId="164" fontId="11" fillId="2" borderId="1" xfId="2" applyNumberFormat="1" applyFont="1" applyBorder="1" applyAlignment="1">
      <alignment horizontal="center" vertical="top" wrapText="1"/>
    </xf>
    <xf numFmtId="0" fontId="13" fillId="2" borderId="1" xfId="2" applyFont="1" applyBorder="1" applyAlignment="1">
      <alignment horizontal="left" vertical="top" wrapText="1"/>
    </xf>
    <xf numFmtId="0" fontId="3" fillId="5" borderId="1" xfId="2" applyFont="1" applyFill="1" applyBorder="1" applyAlignment="1">
      <alignment vertical="top"/>
    </xf>
    <xf numFmtId="0" fontId="15" fillId="5" borderId="2" xfId="2" applyFill="1"/>
    <xf numFmtId="164" fontId="3" fillId="2" borderId="1" xfId="2" applyNumberFormat="1" applyFont="1" applyBorder="1" applyAlignment="1">
      <alignment horizontal="center" vertical="top" wrapText="1"/>
    </xf>
    <xf numFmtId="0" fontId="3" fillId="2" borderId="1" xfId="2" quotePrefix="1" applyFont="1" applyBorder="1" applyAlignment="1">
      <alignment horizontal="center" vertical="top" wrapText="1"/>
    </xf>
    <xf numFmtId="0" fontId="14" fillId="2" borderId="1" xfId="2" applyFont="1" applyBorder="1" applyAlignment="1">
      <alignment horizontal="left" vertical="top" wrapText="1"/>
    </xf>
    <xf numFmtId="0" fontId="10" fillId="2" borderId="1" xfId="2" applyFont="1" applyBorder="1" applyAlignment="1">
      <alignment vertical="top" wrapText="1"/>
    </xf>
    <xf numFmtId="164" fontId="3" fillId="4" borderId="1" xfId="2" applyNumberFormat="1" applyFont="1" applyFill="1" applyBorder="1" applyAlignment="1">
      <alignment horizontal="center" vertical="top" wrapText="1"/>
    </xf>
    <xf numFmtId="3" fontId="3" fillId="2" borderId="1" xfId="2" applyNumberFormat="1" applyFont="1" applyBorder="1" applyAlignment="1">
      <alignment horizontal="center" vertical="top" wrapText="1"/>
    </xf>
    <xf numFmtId="3" fontId="3" fillId="4" borderId="1" xfId="2" applyNumberFormat="1" applyFont="1" applyFill="1" applyBorder="1" applyAlignment="1">
      <alignment horizontal="center" vertical="top"/>
    </xf>
    <xf numFmtId="3" fontId="3" fillId="4" borderId="1" xfId="2" applyNumberFormat="1" applyFont="1" applyFill="1" applyBorder="1" applyAlignment="1">
      <alignment horizontal="center" vertical="top" wrapText="1"/>
    </xf>
    <xf numFmtId="0" fontId="13" fillId="4" borderId="1" xfId="2" applyFont="1" applyFill="1" applyBorder="1" applyAlignment="1">
      <alignment horizontal="center" vertical="top" wrapText="1"/>
    </xf>
    <xf numFmtId="6" fontId="4" fillId="2" borderId="1" xfId="2" applyNumberFormat="1" applyFont="1" applyBorder="1" applyAlignment="1">
      <alignment horizontal="center" vertical="top" wrapText="1"/>
    </xf>
    <xf numFmtId="0" fontId="5" fillId="4" borderId="1" xfId="2" applyFont="1" applyFill="1" applyBorder="1" applyAlignment="1">
      <alignment horizontal="left" vertical="top" wrapText="1"/>
    </xf>
    <xf numFmtId="6" fontId="3" fillId="2" borderId="1" xfId="2" applyNumberFormat="1" applyFont="1" applyBorder="1" applyAlignment="1">
      <alignment horizontal="center" vertical="top" wrapText="1"/>
    </xf>
    <xf numFmtId="0" fontId="8" fillId="2" borderId="1" xfId="2" applyFont="1" applyBorder="1" applyAlignment="1">
      <alignment horizontal="left" vertical="top" wrapText="1"/>
    </xf>
    <xf numFmtId="0" fontId="4" fillId="2" borderId="1" xfId="2" applyFont="1" applyBorder="1" applyAlignment="1">
      <alignment horizontal="center" vertical="top" wrapText="1"/>
    </xf>
    <xf numFmtId="9" fontId="4" fillId="2" borderId="1" xfId="2" applyNumberFormat="1" applyFont="1" applyBorder="1" applyAlignment="1">
      <alignment horizontal="center" vertical="top" wrapText="1"/>
    </xf>
    <xf numFmtId="0" fontId="4" fillId="4" borderId="1" xfId="2" applyFont="1" applyFill="1" applyBorder="1" applyAlignment="1">
      <alignment horizontal="center" vertical="top" wrapText="1"/>
    </xf>
    <xf numFmtId="0" fontId="4" fillId="2" borderId="1" xfId="2" applyFont="1" applyBorder="1" applyAlignment="1">
      <alignment horizontal="left" vertical="top" wrapText="1"/>
    </xf>
    <xf numFmtId="0" fontId="11" fillId="2" borderId="1" xfId="2" applyFont="1" applyBorder="1" applyAlignment="1">
      <alignment horizontal="center" vertical="top" wrapText="1"/>
    </xf>
    <xf numFmtId="6" fontId="11" fillId="2" borderId="1" xfId="2" applyNumberFormat="1" applyFont="1" applyBorder="1" applyAlignment="1">
      <alignment horizontal="center" vertical="top" wrapText="1"/>
    </xf>
    <xf numFmtId="0" fontId="9" fillId="4" borderId="1" xfId="2" applyFont="1" applyFill="1" applyBorder="1" applyAlignment="1">
      <alignment horizontal="center" vertical="top" wrapText="1"/>
    </xf>
    <xf numFmtId="6" fontId="4" fillId="4" borderId="1" xfId="2" applyNumberFormat="1" applyFont="1" applyFill="1" applyBorder="1" applyAlignment="1">
      <alignment horizontal="center" vertical="top" wrapText="1"/>
    </xf>
    <xf numFmtId="0" fontId="3" fillId="2" borderId="1" xfId="2" applyFont="1" applyBorder="1" applyAlignment="1">
      <alignment horizontal="center" vertical="top"/>
    </xf>
    <xf numFmtId="0" fontId="3" fillId="4" borderId="1" xfId="2" applyFont="1" applyFill="1" applyBorder="1" applyAlignment="1">
      <alignment horizontal="center" vertical="top"/>
    </xf>
    <xf numFmtId="3" fontId="3" fillId="4" borderId="1" xfId="2" quotePrefix="1" applyNumberFormat="1" applyFont="1" applyFill="1" applyBorder="1" applyAlignment="1">
      <alignment horizontal="center" vertical="top" wrapText="1"/>
    </xf>
    <xf numFmtId="0" fontId="9" fillId="2" borderId="1" xfId="2" applyFont="1" applyBorder="1" applyAlignment="1">
      <alignment vertical="top"/>
    </xf>
    <xf numFmtId="0" fontId="5" fillId="2" borderId="1" xfId="2" applyFont="1" applyBorder="1" applyAlignment="1">
      <alignment horizontal="center" vertical="top" wrapText="1"/>
    </xf>
    <xf numFmtId="0" fontId="9" fillId="2" borderId="2" xfId="2" applyFont="1"/>
    <xf numFmtId="164" fontId="9" fillId="2" borderId="1" xfId="2" applyNumberFormat="1" applyFont="1" applyBorder="1" applyAlignment="1">
      <alignment horizontal="center" vertical="top" wrapText="1"/>
    </xf>
    <xf numFmtId="3" fontId="9" fillId="2" borderId="1" xfId="2" applyNumberFormat="1" applyFont="1" applyBorder="1" applyAlignment="1">
      <alignment horizontal="center" vertical="top"/>
    </xf>
    <xf numFmtId="3" fontId="9" fillId="2" borderId="1" xfId="2" applyNumberFormat="1" applyFont="1" applyBorder="1" applyAlignment="1">
      <alignment horizontal="center" vertical="top" wrapText="1"/>
    </xf>
    <xf numFmtId="0" fontId="12" fillId="2" borderId="1" xfId="2" applyFont="1" applyBorder="1" applyAlignment="1">
      <alignment horizontal="left" vertical="top" wrapText="1"/>
    </xf>
    <xf numFmtId="0" fontId="1" fillId="2" borderId="1" xfId="2" applyFont="1" applyBorder="1" applyAlignment="1">
      <alignment vertical="top" wrapText="1"/>
    </xf>
    <xf numFmtId="0" fontId="2" fillId="2" borderId="1" xfId="2" applyFont="1" applyBorder="1" applyAlignment="1">
      <alignment horizontal="center" vertical="top" wrapText="1"/>
    </xf>
    <xf numFmtId="0" fontId="3" fillId="4" borderId="1" xfId="2" applyFont="1" applyFill="1" applyBorder="1" applyAlignment="1">
      <alignment horizontal="right" vertical="top" wrapText="1"/>
    </xf>
    <xf numFmtId="164" fontId="2" fillId="2" borderId="1" xfId="2" applyNumberFormat="1" applyFont="1" applyBorder="1" applyAlignment="1">
      <alignment horizontal="center" vertical="top" wrapText="1"/>
    </xf>
    <xf numFmtId="0" fontId="3" fillId="2" borderId="2" xfId="2" applyFont="1" applyAlignment="1">
      <alignment wrapText="1"/>
    </xf>
    <xf numFmtId="0" fontId="3" fillId="2" borderId="6" xfId="2" applyFont="1" applyBorder="1" applyAlignment="1">
      <alignment horizontal="center" vertical="top" wrapText="1"/>
    </xf>
    <xf numFmtId="0" fontId="3" fillId="2" borderId="5" xfId="2" applyFont="1" applyBorder="1" applyAlignment="1">
      <alignment wrapText="1"/>
    </xf>
    <xf numFmtId="0" fontId="5" fillId="2" borderId="4" xfId="2" applyFont="1" applyBorder="1" applyAlignment="1">
      <alignment vertical="top" wrapText="1"/>
    </xf>
    <xf numFmtId="0" fontId="9" fillId="2" borderId="1" xfId="2" applyFont="1" applyBorder="1" applyAlignment="1">
      <alignment horizontal="right" vertical="top" wrapText="1"/>
    </xf>
    <xf numFmtId="0" fontId="9" fillId="2" borderId="3" xfId="2" applyFont="1" applyBorder="1" applyAlignment="1">
      <alignment horizontal="left" vertical="top" wrapText="1"/>
    </xf>
    <xf numFmtId="0" fontId="11" fillId="2" borderId="1" xfId="2" applyFont="1" applyBorder="1" applyAlignment="1">
      <alignment horizontal="left" vertical="top" wrapText="1"/>
    </xf>
    <xf numFmtId="0" fontId="3" fillId="4" borderId="1" xfId="3" quotePrefix="1" applyNumberFormat="1" applyFont="1" applyFill="1" applyBorder="1" applyAlignment="1">
      <alignment horizontal="center" vertical="top" wrapText="1"/>
    </xf>
    <xf numFmtId="164" fontId="3" fillId="4" borderId="1" xfId="3" quotePrefix="1" applyNumberFormat="1" applyFont="1" applyFill="1" applyBorder="1" applyAlignment="1">
      <alignment horizontal="center" vertical="top" wrapText="1"/>
    </xf>
    <xf numFmtId="49" fontId="3" fillId="4" borderId="1" xfId="2" quotePrefix="1" applyNumberFormat="1" applyFont="1" applyFill="1" applyBorder="1" applyAlignment="1">
      <alignment horizontal="center" vertical="top" wrapText="1"/>
    </xf>
    <xf numFmtId="0" fontId="4" fillId="4" borderId="1" xfId="2" applyFont="1" applyFill="1" applyBorder="1" applyAlignment="1">
      <alignment horizontal="left" vertical="top" wrapText="1"/>
    </xf>
    <xf numFmtId="0" fontId="5" fillId="4" borderId="1" xfId="2" applyFont="1" applyFill="1" applyBorder="1" applyAlignment="1">
      <alignment vertical="top"/>
    </xf>
    <xf numFmtId="49" fontId="3" fillId="2" borderId="1" xfId="2" applyNumberFormat="1" applyFont="1" applyBorder="1" applyAlignment="1">
      <alignment horizontal="left" vertical="top" wrapText="1"/>
    </xf>
    <xf numFmtId="0" fontId="7" fillId="2" borderId="1" xfId="2" applyFont="1" applyBorder="1" applyAlignment="1">
      <alignment horizontal="left" vertical="top" wrapText="1"/>
    </xf>
    <xf numFmtId="164" fontId="5" fillId="2" borderId="1" xfId="2" applyNumberFormat="1" applyFont="1" applyBorder="1" applyAlignment="1">
      <alignment horizontal="center" wrapText="1"/>
    </xf>
    <xf numFmtId="0" fontId="3" fillId="3" borderId="1" xfId="2" applyFont="1" applyFill="1" applyBorder="1" applyAlignment="1">
      <alignment horizontal="center" vertical="top" wrapText="1"/>
    </xf>
    <xf numFmtId="164" fontId="3" fillId="3" borderId="1" xfId="2" applyNumberFormat="1" applyFont="1" applyFill="1" applyBorder="1" applyAlignment="1">
      <alignment horizontal="center" vertical="top" wrapText="1"/>
    </xf>
    <xf numFmtId="3" fontId="2" fillId="3" borderId="1" xfId="2" applyNumberFormat="1" applyFont="1" applyFill="1" applyBorder="1" applyAlignment="1">
      <alignment horizontal="center" vertical="top" wrapText="1"/>
    </xf>
    <xf numFmtId="0" fontId="2" fillId="2" borderId="1" xfId="2" applyFont="1" applyBorder="1" applyAlignment="1">
      <alignment horizontal="centerContinuous" vertical="top" wrapText="1"/>
    </xf>
    <xf numFmtId="164" fontId="4" fillId="2" borderId="1" xfId="2" applyNumberFormat="1" applyFont="1" applyBorder="1" applyAlignment="1">
      <alignment horizontal="centerContinuous" vertical="top" wrapText="1"/>
    </xf>
    <xf numFmtId="0" fontId="3" fillId="2" borderId="1" xfId="2" applyFont="1" applyBorder="1" applyAlignment="1">
      <alignment horizontal="centerContinuous" vertical="top" wrapText="1"/>
    </xf>
  </cellXfs>
  <cellStyles count="4">
    <cellStyle name="Currency 2" xfId="3" xr:uid="{223CBFD5-2A24-4249-8562-5F5FBAC14A0A}"/>
    <cellStyle name="Normal" xfId="0" builtinId="0"/>
    <cellStyle name="Normal 2" xfId="1" xr:uid="{39E170FD-4164-4040-90E7-AE72F9597A8D}"/>
    <cellStyle name="Normal 3" xfId="2" xr:uid="{6FE28D04-50B4-447D-A9B5-EC62439195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55DB-32EB-431D-9C0E-B0418C7C95C6}">
  <sheetPr>
    <pageSetUpPr fitToPage="1"/>
  </sheetPr>
  <dimension ref="A1:P534"/>
  <sheetViews>
    <sheetView showGridLines="0" tabSelected="1" view="pageBreakPreview" zoomScale="80" zoomScaleNormal="70" zoomScaleSheetLayoutView="80" workbookViewId="0">
      <pane ySplit="2" topLeftCell="A199" activePane="bottomLeft" state="frozen"/>
      <selection pane="bottomLeft" activeCell="C226" sqref="C226"/>
    </sheetView>
  </sheetViews>
  <sheetFormatPr defaultColWidth="39.140625" defaultRowHeight="12.75" x14ac:dyDescent="0.2"/>
  <cols>
    <col min="1" max="1" width="8.7109375" style="9" customWidth="1"/>
    <col min="2" max="2" width="41.7109375" style="19" customWidth="1"/>
    <col min="3" max="3" width="63.140625" style="15" customWidth="1"/>
    <col min="4" max="4" width="17.140625" style="18" customWidth="1"/>
    <col min="5" max="5" width="28.85546875" style="17" customWidth="1"/>
    <col min="6" max="6" width="17.140625" style="16" customWidth="1"/>
    <col min="7" max="9" width="17.140625" style="15" customWidth="1"/>
    <col min="10" max="10" width="17.140625" style="14" customWidth="1"/>
    <col min="11" max="11" width="17.140625" style="13" customWidth="1"/>
    <col min="12" max="12" width="17.140625" style="14" customWidth="1"/>
    <col min="13" max="13" width="17.140625" style="13" customWidth="1"/>
    <col min="14" max="14" width="17.140625" style="12" customWidth="1"/>
    <col min="15" max="15" width="17.140625" style="11" customWidth="1"/>
    <col min="16" max="16" width="39.140625" style="10"/>
    <col min="17" max="16384" width="39.140625" style="9"/>
  </cols>
  <sheetData>
    <row r="1" spans="1:16" x14ac:dyDescent="0.2">
      <c r="B1" s="110"/>
      <c r="C1" s="132"/>
      <c r="D1" s="134"/>
      <c r="E1" s="133"/>
      <c r="G1" s="111"/>
      <c r="H1" s="132"/>
      <c r="I1" s="132"/>
      <c r="J1" s="131"/>
      <c r="K1" s="130"/>
      <c r="L1" s="84"/>
      <c r="M1" s="79"/>
      <c r="O1" s="129"/>
    </row>
    <row r="2" spans="1:16" s="36" customFormat="1" ht="51" x14ac:dyDescent="0.2">
      <c r="A2" s="39" t="s">
        <v>0</v>
      </c>
      <c r="B2" s="36" t="s">
        <v>1</v>
      </c>
      <c r="C2" s="36" t="s">
        <v>2</v>
      </c>
      <c r="D2" s="36" t="s">
        <v>3</v>
      </c>
      <c r="E2" s="37" t="s">
        <v>4</v>
      </c>
      <c r="F2" s="36" t="s">
        <v>5</v>
      </c>
      <c r="G2" s="36" t="s">
        <v>6</v>
      </c>
      <c r="H2" s="36" t="s">
        <v>7</v>
      </c>
      <c r="I2" s="36" t="s">
        <v>8</v>
      </c>
      <c r="J2" s="35" t="s">
        <v>9</v>
      </c>
      <c r="K2" s="128" t="s">
        <v>10</v>
      </c>
      <c r="L2" s="35" t="s">
        <v>11</v>
      </c>
      <c r="M2" s="128" t="s">
        <v>12</v>
      </c>
      <c r="N2" s="38" t="s">
        <v>13</v>
      </c>
      <c r="O2" s="36" t="s">
        <v>14</v>
      </c>
    </row>
    <row r="3" spans="1:16" x14ac:dyDescent="0.2">
      <c r="A3" s="21" t="s">
        <v>15</v>
      </c>
      <c r="D3" s="11"/>
      <c r="E3" s="127"/>
      <c r="J3" s="84"/>
      <c r="K3" s="79"/>
      <c r="M3" s="113"/>
      <c r="O3" s="111"/>
    </row>
    <row r="4" spans="1:16" x14ac:dyDescent="0.2">
      <c r="A4" s="21" t="s">
        <v>16</v>
      </c>
      <c r="D4" s="11"/>
      <c r="E4" s="95"/>
      <c r="G4" s="126"/>
      <c r="H4" s="11"/>
      <c r="I4" s="11"/>
      <c r="J4" s="84"/>
      <c r="K4" s="79"/>
      <c r="M4" s="79"/>
    </row>
    <row r="5" spans="1:16" x14ac:dyDescent="0.2">
      <c r="A5" s="125"/>
      <c r="B5" s="49" t="s">
        <v>17</v>
      </c>
      <c r="C5" s="48" t="s">
        <v>18</v>
      </c>
      <c r="D5" s="43" t="s">
        <v>19</v>
      </c>
      <c r="E5" s="124"/>
      <c r="F5" s="112"/>
      <c r="G5" s="123" t="s">
        <v>20</v>
      </c>
      <c r="H5" s="43"/>
      <c r="I5" s="43"/>
      <c r="J5" s="86"/>
      <c r="K5" s="83"/>
      <c r="L5" s="85"/>
      <c r="M5" s="122"/>
      <c r="N5" s="44"/>
      <c r="O5" s="121"/>
    </row>
    <row r="6" spans="1:16" x14ac:dyDescent="0.2">
      <c r="C6" s="15" t="s">
        <v>21</v>
      </c>
      <c r="D6" s="11" t="s">
        <v>19</v>
      </c>
      <c r="E6" s="95"/>
      <c r="H6" s="11"/>
      <c r="I6" s="11"/>
      <c r="J6" s="84"/>
      <c r="K6" s="79"/>
      <c r="M6" s="79"/>
    </row>
    <row r="7" spans="1:16" ht="25.5" x14ac:dyDescent="0.2">
      <c r="C7" s="15" t="s">
        <v>22</v>
      </c>
      <c r="D7" s="11" t="s">
        <v>23</v>
      </c>
      <c r="E7" s="95"/>
      <c r="H7" s="40">
        <v>43412</v>
      </c>
      <c r="I7" s="11" t="s">
        <v>24</v>
      </c>
      <c r="J7" s="84"/>
      <c r="K7" s="79"/>
      <c r="M7" s="79"/>
      <c r="N7" s="12" t="s">
        <v>25</v>
      </c>
    </row>
    <row r="8" spans="1:16" s="103" customFormat="1" ht="25.5" hidden="1" x14ac:dyDescent="0.2">
      <c r="B8" s="82"/>
      <c r="C8" s="64" t="s">
        <v>26</v>
      </c>
      <c r="D8" s="62" t="s">
        <v>19</v>
      </c>
      <c r="E8" s="120"/>
      <c r="F8" s="118"/>
      <c r="G8" s="64"/>
      <c r="H8" s="62"/>
      <c r="I8" s="62"/>
      <c r="J8" s="108"/>
      <c r="K8" s="106"/>
      <c r="L8" s="107"/>
      <c r="M8" s="106"/>
      <c r="N8" s="59"/>
      <c r="O8" s="62"/>
      <c r="P8" s="105"/>
    </row>
    <row r="9" spans="1:16" s="103" customFormat="1" ht="25.5" hidden="1" x14ac:dyDescent="0.2">
      <c r="B9" s="82"/>
      <c r="C9" s="64" t="s">
        <v>27</v>
      </c>
      <c r="D9" s="62"/>
      <c r="E9" s="96" t="s">
        <v>28</v>
      </c>
      <c r="F9" s="118"/>
      <c r="G9" s="64"/>
      <c r="H9" s="62"/>
      <c r="I9" s="62"/>
      <c r="J9" s="108"/>
      <c r="K9" s="106"/>
      <c r="L9" s="107"/>
      <c r="M9" s="106"/>
      <c r="N9" s="59"/>
      <c r="O9" s="62"/>
      <c r="P9" s="105"/>
    </row>
    <row r="10" spans="1:16" s="103" customFormat="1" ht="25.5" hidden="1" x14ac:dyDescent="0.2">
      <c r="B10" s="82"/>
      <c r="C10" s="64" t="s">
        <v>29</v>
      </c>
      <c r="D10" s="62"/>
      <c r="E10" s="96" t="s">
        <v>30</v>
      </c>
      <c r="F10" s="118"/>
      <c r="G10" s="64"/>
      <c r="H10" s="62"/>
      <c r="I10" s="62"/>
      <c r="J10" s="108"/>
      <c r="K10" s="106"/>
      <c r="L10" s="107"/>
      <c r="M10" s="106"/>
      <c r="N10" s="59"/>
      <c r="O10" s="62"/>
      <c r="P10" s="105"/>
    </row>
    <row r="11" spans="1:16" s="103" customFormat="1" ht="25.5" hidden="1" x14ac:dyDescent="0.2">
      <c r="B11" s="82"/>
      <c r="C11" s="64" t="s">
        <v>31</v>
      </c>
      <c r="D11" s="62"/>
      <c r="E11" s="96" t="s">
        <v>32</v>
      </c>
      <c r="F11" s="118"/>
      <c r="G11" s="64"/>
      <c r="H11" s="62"/>
      <c r="I11" s="62"/>
      <c r="J11" s="108"/>
      <c r="K11" s="106"/>
      <c r="L11" s="107"/>
      <c r="M11" s="106"/>
      <c r="N11" s="59"/>
      <c r="O11" s="62"/>
      <c r="P11" s="105"/>
    </row>
    <row r="12" spans="1:16" s="103" customFormat="1" ht="25.5" hidden="1" x14ac:dyDescent="0.2">
      <c r="B12" s="82"/>
      <c r="C12" s="64" t="s">
        <v>33</v>
      </c>
      <c r="D12" s="62"/>
      <c r="E12" s="96" t="s">
        <v>34</v>
      </c>
      <c r="F12" s="118"/>
      <c r="G12" s="64"/>
      <c r="H12" s="62"/>
      <c r="I12" s="62"/>
      <c r="J12" s="108"/>
      <c r="K12" s="106"/>
      <c r="L12" s="107"/>
      <c r="M12" s="106"/>
      <c r="N12" s="59"/>
      <c r="O12" s="62"/>
      <c r="P12" s="105"/>
    </row>
    <row r="13" spans="1:16" s="103" customFormat="1" hidden="1" x14ac:dyDescent="0.2">
      <c r="B13" s="82"/>
      <c r="C13" s="64" t="s">
        <v>35</v>
      </c>
      <c r="D13" s="62"/>
      <c r="E13" s="96" t="s">
        <v>36</v>
      </c>
      <c r="F13" s="118"/>
      <c r="G13" s="64"/>
      <c r="H13" s="62"/>
      <c r="I13" s="62"/>
      <c r="J13" s="108"/>
      <c r="K13" s="106"/>
      <c r="L13" s="107"/>
      <c r="M13" s="106"/>
      <c r="N13" s="59"/>
      <c r="O13" s="62"/>
      <c r="P13" s="105"/>
    </row>
    <row r="14" spans="1:16" s="103" customFormat="1" hidden="1" x14ac:dyDescent="0.2">
      <c r="B14" s="82"/>
      <c r="C14" s="64" t="s">
        <v>37</v>
      </c>
      <c r="D14" s="62"/>
      <c r="E14" s="96" t="s">
        <v>38</v>
      </c>
      <c r="F14" s="118"/>
      <c r="G14" s="64"/>
      <c r="H14" s="62"/>
      <c r="I14" s="62"/>
      <c r="J14" s="108"/>
      <c r="K14" s="106"/>
      <c r="L14" s="107"/>
      <c r="M14" s="106"/>
      <c r="N14" s="59"/>
      <c r="O14" s="62"/>
      <c r="P14" s="105"/>
    </row>
    <row r="15" spans="1:16" s="103" customFormat="1" ht="25.5" hidden="1" x14ac:dyDescent="0.2">
      <c r="B15" s="82"/>
      <c r="C15" s="119" t="s">
        <v>39</v>
      </c>
      <c r="D15" s="62"/>
      <c r="E15" s="96" t="s">
        <v>40</v>
      </c>
      <c r="F15" s="118"/>
      <c r="G15" s="64"/>
      <c r="H15" s="62"/>
      <c r="I15" s="62"/>
      <c r="J15" s="108"/>
      <c r="K15" s="106"/>
      <c r="L15" s="107"/>
      <c r="M15" s="106"/>
      <c r="N15" s="59"/>
      <c r="O15" s="62"/>
      <c r="P15" s="105"/>
    </row>
    <row r="16" spans="1:16" ht="89.25" x14ac:dyDescent="0.2">
      <c r="B16" s="117"/>
      <c r="C16" s="116" t="s">
        <v>41</v>
      </c>
      <c r="D16" s="115" t="s">
        <v>23</v>
      </c>
      <c r="E16" s="92" t="s">
        <v>42</v>
      </c>
      <c r="F16" s="16" t="s">
        <v>43</v>
      </c>
      <c r="H16" s="40">
        <v>43412</v>
      </c>
      <c r="I16" s="11" t="s">
        <v>24</v>
      </c>
      <c r="J16" s="84">
        <v>597</v>
      </c>
      <c r="K16" s="79">
        <f>70944+250</f>
        <v>71194</v>
      </c>
      <c r="L16" s="14">
        <v>665</v>
      </c>
      <c r="M16" s="79">
        <v>71467.5</v>
      </c>
      <c r="N16" s="12" t="s">
        <v>44</v>
      </c>
    </row>
    <row r="17" spans="1:15" ht="38.25" x14ac:dyDescent="0.2">
      <c r="B17" s="117"/>
      <c r="C17" s="116" t="s">
        <v>45</v>
      </c>
      <c r="D17" s="115" t="s">
        <v>23</v>
      </c>
      <c r="E17" s="92" t="s">
        <v>46</v>
      </c>
      <c r="F17" s="16" t="s">
        <v>43</v>
      </c>
      <c r="H17" s="40">
        <v>43412</v>
      </c>
      <c r="I17" s="11" t="s">
        <v>24</v>
      </c>
      <c r="J17" s="84">
        <v>13452</v>
      </c>
      <c r="K17" s="79">
        <v>80688.92</v>
      </c>
      <c r="L17" s="14">
        <v>13272</v>
      </c>
      <c r="M17" s="79">
        <v>77405</v>
      </c>
      <c r="N17" s="12" t="s">
        <v>44</v>
      </c>
      <c r="O17" s="11" t="s">
        <v>47</v>
      </c>
    </row>
    <row r="18" spans="1:15" ht="76.5" x14ac:dyDescent="0.2">
      <c r="B18" s="117"/>
      <c r="C18" s="116" t="s">
        <v>48</v>
      </c>
      <c r="D18" s="115" t="s">
        <v>23</v>
      </c>
      <c r="E18" s="92" t="s">
        <v>46</v>
      </c>
      <c r="F18" s="16" t="s">
        <v>43</v>
      </c>
      <c r="H18" s="40">
        <v>43412</v>
      </c>
      <c r="I18" s="11" t="s">
        <v>24</v>
      </c>
      <c r="J18" s="84"/>
      <c r="K18" s="79"/>
      <c r="M18" s="79"/>
      <c r="N18" s="12" t="s">
        <v>44</v>
      </c>
      <c r="O18" s="11" t="s">
        <v>49</v>
      </c>
    </row>
    <row r="19" spans="1:15" ht="51" x14ac:dyDescent="0.2">
      <c r="C19" s="114" t="s">
        <v>50</v>
      </c>
      <c r="D19" s="11" t="s">
        <v>23</v>
      </c>
      <c r="E19" s="92" t="s">
        <v>46</v>
      </c>
      <c r="F19" s="16" t="s">
        <v>43</v>
      </c>
      <c r="H19" s="40">
        <v>43412</v>
      </c>
      <c r="I19" s="11" t="s">
        <v>24</v>
      </c>
      <c r="J19" s="84"/>
      <c r="K19" s="79"/>
      <c r="M19" s="113"/>
      <c r="N19" s="12" t="s">
        <v>44</v>
      </c>
      <c r="O19" s="11" t="s">
        <v>49</v>
      </c>
    </row>
    <row r="20" spans="1:15" ht="51" x14ac:dyDescent="0.2">
      <c r="C20" s="15" t="s">
        <v>51</v>
      </c>
      <c r="D20" s="11" t="s">
        <v>23</v>
      </c>
      <c r="E20" s="42" t="s">
        <v>52</v>
      </c>
      <c r="H20" s="11" t="s">
        <v>53</v>
      </c>
      <c r="I20" s="11"/>
      <c r="J20" s="84"/>
      <c r="K20" s="79"/>
      <c r="M20" s="113"/>
    </row>
    <row r="21" spans="1:15" ht="38.25" x14ac:dyDescent="0.2">
      <c r="B21" s="19" t="s">
        <v>54</v>
      </c>
      <c r="C21" s="15" t="s">
        <v>55</v>
      </c>
      <c r="D21" s="11" t="s">
        <v>56</v>
      </c>
      <c r="E21" s="41">
        <v>5.5</v>
      </c>
      <c r="G21" s="80" t="s">
        <v>57</v>
      </c>
      <c r="H21" s="11" t="s">
        <v>53</v>
      </c>
      <c r="I21" s="11">
        <v>147</v>
      </c>
      <c r="J21" s="84">
        <v>587.37</v>
      </c>
      <c r="K21" s="79">
        <v>155</v>
      </c>
      <c r="L21" s="84">
        <v>355</v>
      </c>
      <c r="M21" s="79"/>
      <c r="O21" s="11">
        <v>9</v>
      </c>
    </row>
    <row r="22" spans="1:15" x14ac:dyDescent="0.2">
      <c r="A22" s="50"/>
      <c r="B22" s="49" t="s">
        <v>17</v>
      </c>
      <c r="C22" s="48" t="s">
        <v>58</v>
      </c>
      <c r="D22" s="43" t="s">
        <v>19</v>
      </c>
      <c r="E22" s="94"/>
      <c r="F22" s="112"/>
      <c r="G22" s="46" t="s">
        <v>20</v>
      </c>
      <c r="H22" s="43"/>
      <c r="I22" s="43"/>
      <c r="J22" s="86"/>
      <c r="K22" s="83"/>
      <c r="L22" s="85"/>
      <c r="M22" s="83"/>
      <c r="N22" s="44"/>
      <c r="O22" s="43"/>
    </row>
    <row r="23" spans="1:15" ht="25.5" x14ac:dyDescent="0.2">
      <c r="B23" s="19" t="s">
        <v>59</v>
      </c>
      <c r="C23" s="15" t="s">
        <v>60</v>
      </c>
      <c r="D23" s="11" t="s">
        <v>61</v>
      </c>
      <c r="E23" s="92" t="s">
        <v>62</v>
      </c>
      <c r="F23" s="11" t="s">
        <v>63</v>
      </c>
      <c r="G23" s="11" t="s">
        <v>17</v>
      </c>
      <c r="H23" s="11" t="s">
        <v>64</v>
      </c>
      <c r="I23" s="11" t="s">
        <v>65</v>
      </c>
      <c r="J23" s="84">
        <v>1</v>
      </c>
      <c r="K23" s="79">
        <v>35088.269999999997</v>
      </c>
      <c r="L23" s="14">
        <v>3</v>
      </c>
      <c r="M23" s="79">
        <v>11913.78</v>
      </c>
      <c r="N23" s="12" t="s">
        <v>66</v>
      </c>
      <c r="O23" s="111"/>
    </row>
    <row r="24" spans="1:15" ht="25.5" x14ac:dyDescent="0.2">
      <c r="B24" s="19" t="s">
        <v>59</v>
      </c>
      <c r="C24" s="15" t="s">
        <v>67</v>
      </c>
      <c r="D24" s="11" t="s">
        <v>61</v>
      </c>
      <c r="E24" s="92" t="s">
        <v>68</v>
      </c>
      <c r="F24" s="11" t="s">
        <v>63</v>
      </c>
      <c r="G24" s="11" t="s">
        <v>17</v>
      </c>
      <c r="H24" s="11" t="s">
        <v>64</v>
      </c>
      <c r="I24" s="11" t="s">
        <v>69</v>
      </c>
      <c r="J24" s="84"/>
      <c r="K24" s="79">
        <v>0</v>
      </c>
      <c r="M24" s="79">
        <v>0</v>
      </c>
      <c r="N24" s="12" t="s">
        <v>66</v>
      </c>
      <c r="O24" s="111"/>
    </row>
    <row r="25" spans="1:15" ht="38.25" x14ac:dyDescent="0.2">
      <c r="B25" s="19" t="s">
        <v>59</v>
      </c>
      <c r="C25" s="15" t="s">
        <v>70</v>
      </c>
      <c r="D25" s="11" t="s">
        <v>61</v>
      </c>
      <c r="E25" s="92" t="s">
        <v>71</v>
      </c>
      <c r="F25" s="11" t="s">
        <v>72</v>
      </c>
      <c r="G25" s="11" t="s">
        <v>73</v>
      </c>
      <c r="H25" s="11" t="s">
        <v>64</v>
      </c>
      <c r="I25" s="11" t="s">
        <v>74</v>
      </c>
      <c r="J25" s="84">
        <v>13</v>
      </c>
      <c r="K25" s="79">
        <v>165662.39000000001</v>
      </c>
      <c r="L25" s="14">
        <v>14</v>
      </c>
      <c r="M25" s="79">
        <v>204879.04</v>
      </c>
      <c r="N25" s="12" t="s">
        <v>66</v>
      </c>
      <c r="O25" s="111"/>
    </row>
    <row r="26" spans="1:15" ht="38.25" x14ac:dyDescent="0.2">
      <c r="A26" s="50"/>
      <c r="B26" s="49" t="s">
        <v>75</v>
      </c>
      <c r="C26" s="48" t="s">
        <v>76</v>
      </c>
      <c r="D26" s="43" t="s">
        <v>77</v>
      </c>
      <c r="E26" s="94"/>
      <c r="F26" s="43"/>
      <c r="G26" s="46" t="s">
        <v>78</v>
      </c>
      <c r="H26" s="43"/>
      <c r="I26" s="43"/>
      <c r="J26" s="86"/>
      <c r="K26" s="83"/>
      <c r="L26" s="85"/>
      <c r="M26" s="83"/>
      <c r="N26" s="44" t="s">
        <v>79</v>
      </c>
      <c r="O26" s="43"/>
    </row>
    <row r="27" spans="1:15" ht="25.5" x14ac:dyDescent="0.2">
      <c r="B27" s="110"/>
      <c r="C27" s="15" t="s">
        <v>80</v>
      </c>
      <c r="D27" s="11"/>
      <c r="E27" s="88" t="s">
        <v>81</v>
      </c>
      <c r="F27" s="11" t="s">
        <v>43</v>
      </c>
      <c r="G27" s="11" t="s">
        <v>75</v>
      </c>
      <c r="H27" s="40">
        <v>44298</v>
      </c>
      <c r="I27" s="11" t="s">
        <v>82</v>
      </c>
      <c r="J27" s="84">
        <v>343</v>
      </c>
      <c r="K27" s="79">
        <v>43608</v>
      </c>
      <c r="L27" s="14">
        <v>291</v>
      </c>
      <c r="M27" s="79">
        <v>61250</v>
      </c>
      <c r="N27" s="12" t="s">
        <v>66</v>
      </c>
      <c r="O27" s="11" t="s">
        <v>83</v>
      </c>
    </row>
    <row r="28" spans="1:15" ht="25.5" x14ac:dyDescent="0.2">
      <c r="C28" s="15" t="s">
        <v>84</v>
      </c>
      <c r="D28" s="11"/>
      <c r="E28" s="88" t="s">
        <v>81</v>
      </c>
      <c r="F28" s="11" t="s">
        <v>72</v>
      </c>
      <c r="G28" s="11" t="s">
        <v>75</v>
      </c>
      <c r="H28" s="40">
        <v>44298</v>
      </c>
      <c r="I28" s="11" t="s">
        <v>82</v>
      </c>
      <c r="J28" s="84"/>
      <c r="K28" s="79"/>
      <c r="M28" s="79"/>
      <c r="N28" s="12" t="s">
        <v>66</v>
      </c>
      <c r="O28" s="11" t="s">
        <v>85</v>
      </c>
    </row>
    <row r="29" spans="1:15" ht="25.5" x14ac:dyDescent="0.2">
      <c r="C29" s="15" t="s">
        <v>86</v>
      </c>
      <c r="D29" s="11"/>
      <c r="E29" s="88">
        <v>10</v>
      </c>
      <c r="F29" s="11" t="s">
        <v>43</v>
      </c>
      <c r="G29" s="11" t="s">
        <v>75</v>
      </c>
      <c r="H29" s="40">
        <v>44503</v>
      </c>
      <c r="I29" s="11" t="s">
        <v>87</v>
      </c>
      <c r="J29" s="84"/>
      <c r="K29" s="79"/>
      <c r="M29" s="79"/>
      <c r="N29" s="12" t="s">
        <v>79</v>
      </c>
      <c r="O29" s="11" t="s">
        <v>85</v>
      </c>
    </row>
    <row r="30" spans="1:15" ht="25.5" x14ac:dyDescent="0.2">
      <c r="C30" s="15" t="s">
        <v>88</v>
      </c>
      <c r="D30" s="11"/>
      <c r="E30" s="88">
        <v>100</v>
      </c>
      <c r="F30" s="11" t="s">
        <v>43</v>
      </c>
      <c r="G30" s="11" t="s">
        <v>75</v>
      </c>
      <c r="H30" s="40">
        <v>44503</v>
      </c>
      <c r="I30" s="40" t="s">
        <v>89</v>
      </c>
      <c r="J30" s="84"/>
      <c r="K30" s="79"/>
      <c r="M30" s="79"/>
      <c r="N30" s="12" t="s">
        <v>79</v>
      </c>
      <c r="O30" s="11" t="s">
        <v>85</v>
      </c>
    </row>
    <row r="31" spans="1:15" ht="25.5" x14ac:dyDescent="0.2">
      <c r="C31" s="15" t="s">
        <v>90</v>
      </c>
      <c r="D31" s="11"/>
      <c r="E31" s="92" t="s">
        <v>91</v>
      </c>
      <c r="F31" s="11" t="s">
        <v>72</v>
      </c>
      <c r="G31" s="11" t="s">
        <v>75</v>
      </c>
      <c r="H31" s="40">
        <v>44503</v>
      </c>
      <c r="I31" s="40" t="s">
        <v>89</v>
      </c>
      <c r="J31" s="84"/>
      <c r="K31" s="79"/>
      <c r="M31" s="79"/>
      <c r="N31" s="12" t="s">
        <v>79</v>
      </c>
      <c r="O31" s="11" t="s">
        <v>85</v>
      </c>
    </row>
    <row r="32" spans="1:15" ht="25.5" x14ac:dyDescent="0.2">
      <c r="C32" s="15" t="s">
        <v>92</v>
      </c>
      <c r="D32" s="11"/>
      <c r="E32" s="92" t="s">
        <v>93</v>
      </c>
      <c r="F32" s="11" t="s">
        <v>94</v>
      </c>
      <c r="G32" s="11" t="s">
        <v>75</v>
      </c>
      <c r="H32" s="40">
        <v>44298</v>
      </c>
      <c r="I32" s="40" t="s">
        <v>95</v>
      </c>
      <c r="J32" s="84"/>
      <c r="K32" s="79"/>
      <c r="M32" s="79"/>
      <c r="N32" s="12" t="s">
        <v>66</v>
      </c>
      <c r="O32" s="11" t="s">
        <v>85</v>
      </c>
    </row>
    <row r="33" spans="1:16" ht="38.25" x14ac:dyDescent="0.2">
      <c r="A33" s="50"/>
      <c r="B33" s="49"/>
      <c r="C33" s="48" t="s">
        <v>96</v>
      </c>
      <c r="D33" s="43" t="s">
        <v>77</v>
      </c>
      <c r="E33" s="94"/>
      <c r="F33" s="43"/>
      <c r="G33" s="46" t="s">
        <v>78</v>
      </c>
      <c r="H33" s="43"/>
      <c r="I33" s="43"/>
      <c r="J33" s="86"/>
      <c r="K33" s="83"/>
      <c r="L33" s="85"/>
      <c r="M33" s="83"/>
      <c r="N33" s="44" t="s">
        <v>79</v>
      </c>
      <c r="O33" s="43"/>
    </row>
    <row r="34" spans="1:16" ht="25.5" x14ac:dyDescent="0.2">
      <c r="C34" s="15" t="s">
        <v>97</v>
      </c>
      <c r="D34" s="11"/>
      <c r="E34" s="88">
        <v>100</v>
      </c>
      <c r="F34" s="11" t="s">
        <v>43</v>
      </c>
      <c r="G34" s="11"/>
      <c r="H34" s="40">
        <v>44265</v>
      </c>
      <c r="I34" s="40" t="s">
        <v>98</v>
      </c>
      <c r="J34" s="84">
        <v>271</v>
      </c>
      <c r="K34" s="79">
        <v>38035.18</v>
      </c>
      <c r="L34" s="14">
        <v>258</v>
      </c>
      <c r="M34" s="79">
        <v>38392.51</v>
      </c>
      <c r="N34" s="12" t="s">
        <v>79</v>
      </c>
      <c r="O34" s="11" t="s">
        <v>99</v>
      </c>
    </row>
    <row r="35" spans="1:16" ht="25.5" x14ac:dyDescent="0.2">
      <c r="C35" s="15" t="s">
        <v>100</v>
      </c>
      <c r="D35" s="11"/>
      <c r="E35" s="88">
        <v>230</v>
      </c>
      <c r="F35" s="11" t="s">
        <v>72</v>
      </c>
      <c r="G35" s="11"/>
      <c r="H35" s="40">
        <v>44265</v>
      </c>
      <c r="I35" s="40" t="s">
        <v>101</v>
      </c>
      <c r="J35" s="84"/>
      <c r="K35" s="79"/>
      <c r="M35" s="79"/>
      <c r="N35" s="12" t="s">
        <v>79</v>
      </c>
      <c r="O35" s="11" t="s">
        <v>102</v>
      </c>
    </row>
    <row r="36" spans="1:16" ht="25.5" x14ac:dyDescent="0.2">
      <c r="C36" s="15" t="s">
        <v>103</v>
      </c>
      <c r="D36" s="11"/>
      <c r="E36" s="88">
        <v>50</v>
      </c>
      <c r="F36" s="11" t="s">
        <v>94</v>
      </c>
      <c r="G36" s="11"/>
      <c r="H36" s="40">
        <v>44265</v>
      </c>
      <c r="I36" s="40" t="s">
        <v>104</v>
      </c>
      <c r="J36" s="84"/>
      <c r="K36" s="79"/>
      <c r="M36" s="79"/>
      <c r="N36" s="12" t="s">
        <v>79</v>
      </c>
      <c r="O36" s="11" t="s">
        <v>102</v>
      </c>
    </row>
    <row r="37" spans="1:16" ht="25.5" x14ac:dyDescent="0.2">
      <c r="C37" s="15" t="s">
        <v>105</v>
      </c>
      <c r="D37" s="11"/>
      <c r="E37" s="92" t="s">
        <v>106</v>
      </c>
      <c r="F37" s="11"/>
      <c r="G37" s="11"/>
      <c r="H37" s="40">
        <v>44265</v>
      </c>
      <c r="I37" s="40" t="s">
        <v>107</v>
      </c>
      <c r="J37" s="84"/>
      <c r="K37" s="79"/>
      <c r="M37" s="79"/>
      <c r="N37" s="12" t="s">
        <v>79</v>
      </c>
      <c r="O37" s="11" t="s">
        <v>102</v>
      </c>
    </row>
    <row r="38" spans="1:16" ht="25.5" x14ac:dyDescent="0.2">
      <c r="C38" s="15" t="s">
        <v>108</v>
      </c>
      <c r="D38" s="11"/>
      <c r="E38" s="92" t="s">
        <v>109</v>
      </c>
      <c r="F38" s="11"/>
      <c r="G38" s="11"/>
      <c r="H38" s="40">
        <v>44265</v>
      </c>
      <c r="I38" s="40" t="s">
        <v>110</v>
      </c>
      <c r="J38" s="84"/>
      <c r="K38" s="79"/>
      <c r="M38" s="79"/>
      <c r="N38" s="12" t="s">
        <v>79</v>
      </c>
      <c r="O38" s="11" t="s">
        <v>102</v>
      </c>
    </row>
    <row r="39" spans="1:16" ht="38.25" x14ac:dyDescent="0.2">
      <c r="A39" s="50"/>
      <c r="B39" s="49"/>
      <c r="C39" s="48" t="s">
        <v>111</v>
      </c>
      <c r="D39" s="43" t="s">
        <v>77</v>
      </c>
      <c r="E39" s="94"/>
      <c r="F39" s="43"/>
      <c r="G39" s="46" t="s">
        <v>78</v>
      </c>
      <c r="H39" s="43"/>
      <c r="I39" s="43"/>
      <c r="J39" s="86"/>
      <c r="K39" s="83"/>
      <c r="L39" s="85"/>
      <c r="M39" s="83"/>
      <c r="N39" s="44" t="s">
        <v>79</v>
      </c>
      <c r="O39" s="43"/>
    </row>
    <row r="40" spans="1:16" ht="25.5" x14ac:dyDescent="0.2">
      <c r="C40" s="15" t="s">
        <v>112</v>
      </c>
      <c r="D40" s="11"/>
      <c r="E40" s="92" t="s">
        <v>113</v>
      </c>
      <c r="F40" s="11" t="s">
        <v>43</v>
      </c>
      <c r="G40" s="11"/>
      <c r="H40" s="40">
        <v>45021</v>
      </c>
      <c r="I40" s="40" t="s">
        <v>114</v>
      </c>
      <c r="J40" s="84">
        <v>42</v>
      </c>
      <c r="K40" s="79">
        <v>1485</v>
      </c>
      <c r="L40" s="14">
        <v>42</v>
      </c>
      <c r="M40" s="79">
        <v>1770</v>
      </c>
      <c r="N40" s="12" t="s">
        <v>79</v>
      </c>
      <c r="O40" s="11" t="s">
        <v>115</v>
      </c>
    </row>
    <row r="41" spans="1:16" ht="25.5" x14ac:dyDescent="0.2">
      <c r="C41" s="15" t="s">
        <v>116</v>
      </c>
      <c r="D41" s="11"/>
      <c r="E41" s="92" t="s">
        <v>117</v>
      </c>
      <c r="F41" s="11" t="s">
        <v>72</v>
      </c>
      <c r="G41" s="11"/>
      <c r="H41" s="40">
        <v>45021</v>
      </c>
      <c r="I41" s="40" t="s">
        <v>114</v>
      </c>
      <c r="J41" s="84"/>
      <c r="K41" s="79"/>
      <c r="M41" s="79"/>
      <c r="N41" s="12" t="s">
        <v>79</v>
      </c>
      <c r="O41" s="11" t="s">
        <v>118</v>
      </c>
    </row>
    <row r="42" spans="1:16" ht="38.25" x14ac:dyDescent="0.2">
      <c r="C42" s="15" t="s">
        <v>119</v>
      </c>
      <c r="D42" s="11"/>
      <c r="E42" s="92" t="s">
        <v>120</v>
      </c>
      <c r="F42" s="11" t="s">
        <v>94</v>
      </c>
      <c r="G42" s="11"/>
      <c r="H42" s="40">
        <v>45021</v>
      </c>
      <c r="I42" s="40" t="s">
        <v>121</v>
      </c>
      <c r="J42" s="84"/>
      <c r="K42" s="79"/>
      <c r="M42" s="79"/>
      <c r="N42" s="12" t="s">
        <v>79</v>
      </c>
      <c r="O42" s="11" t="s">
        <v>118</v>
      </c>
    </row>
    <row r="43" spans="1:16" hidden="1" x14ac:dyDescent="0.2">
      <c r="A43" s="103"/>
      <c r="B43" s="82"/>
      <c r="C43" s="64" t="s">
        <v>122</v>
      </c>
      <c r="D43" s="62"/>
      <c r="E43" s="96" t="s">
        <v>123</v>
      </c>
      <c r="F43" s="62"/>
      <c r="G43" s="62"/>
      <c r="H43" s="62" t="s">
        <v>124</v>
      </c>
      <c r="I43" s="62" t="s">
        <v>125</v>
      </c>
      <c r="J43" s="108"/>
      <c r="K43" s="106"/>
      <c r="L43" s="107"/>
      <c r="M43" s="106"/>
      <c r="N43" s="59" t="s">
        <v>79</v>
      </c>
    </row>
    <row r="44" spans="1:16" s="103" customFormat="1" ht="38.25" hidden="1" x14ac:dyDescent="0.2">
      <c r="B44" s="82"/>
      <c r="C44" s="64" t="s">
        <v>126</v>
      </c>
      <c r="D44" s="62" t="s">
        <v>77</v>
      </c>
      <c r="E44" s="96"/>
      <c r="F44" s="62"/>
      <c r="G44" s="62">
        <v>144</v>
      </c>
      <c r="H44" s="74"/>
      <c r="I44" s="74"/>
      <c r="J44" s="108"/>
      <c r="K44" s="106"/>
      <c r="L44" s="107"/>
      <c r="M44" s="106"/>
      <c r="N44" s="59" t="s">
        <v>79</v>
      </c>
      <c r="O44" s="62"/>
      <c r="P44" s="105"/>
    </row>
    <row r="45" spans="1:16" s="103" customFormat="1" hidden="1" x14ac:dyDescent="0.2">
      <c r="B45" s="82"/>
      <c r="C45" s="109" t="s">
        <v>127</v>
      </c>
      <c r="D45" s="62"/>
      <c r="E45" s="96"/>
      <c r="F45" s="62"/>
      <c r="G45" s="62"/>
      <c r="H45" s="62"/>
      <c r="I45" s="62"/>
      <c r="J45" s="108"/>
      <c r="K45" s="106"/>
      <c r="L45" s="107"/>
      <c r="M45" s="106"/>
      <c r="N45" s="59" t="s">
        <v>79</v>
      </c>
      <c r="O45" s="62"/>
      <c r="P45" s="105"/>
    </row>
    <row r="46" spans="1:16" s="103" customFormat="1" hidden="1" x14ac:dyDescent="0.2">
      <c r="B46" s="82"/>
      <c r="C46" s="64" t="s">
        <v>128</v>
      </c>
      <c r="D46" s="62"/>
      <c r="E46" s="97">
        <v>100</v>
      </c>
      <c r="F46" s="62"/>
      <c r="G46" s="62"/>
      <c r="H46" s="40">
        <v>44503</v>
      </c>
      <c r="I46" s="40" t="s">
        <v>129</v>
      </c>
      <c r="J46" s="108"/>
      <c r="K46" s="106"/>
      <c r="L46" s="107"/>
      <c r="M46" s="106"/>
      <c r="N46" s="59" t="s">
        <v>79</v>
      </c>
      <c r="O46" s="62"/>
      <c r="P46" s="105"/>
    </row>
    <row r="47" spans="1:16" s="103" customFormat="1" hidden="1" x14ac:dyDescent="0.2">
      <c r="B47" s="82"/>
      <c r="C47" s="64" t="s">
        <v>130</v>
      </c>
      <c r="D47" s="62"/>
      <c r="E47" s="97">
        <v>15</v>
      </c>
      <c r="F47" s="62"/>
      <c r="G47" s="62"/>
      <c r="H47" s="40">
        <v>44503</v>
      </c>
      <c r="I47" s="40" t="s">
        <v>129</v>
      </c>
      <c r="J47" s="108"/>
      <c r="K47" s="106"/>
      <c r="L47" s="107"/>
      <c r="M47" s="106"/>
      <c r="N47" s="59" t="s">
        <v>79</v>
      </c>
      <c r="O47" s="62"/>
      <c r="P47" s="105"/>
    </row>
    <row r="48" spans="1:16" s="103" customFormat="1" hidden="1" x14ac:dyDescent="0.2">
      <c r="B48" s="82"/>
      <c r="C48" s="64" t="s">
        <v>131</v>
      </c>
      <c r="D48" s="62"/>
      <c r="E48" s="97">
        <v>10</v>
      </c>
      <c r="F48" s="62"/>
      <c r="G48" s="62"/>
      <c r="H48" s="40">
        <v>44503</v>
      </c>
      <c r="I48" s="40" t="s">
        <v>129</v>
      </c>
      <c r="J48" s="108"/>
      <c r="K48" s="106"/>
      <c r="L48" s="107"/>
      <c r="M48" s="106"/>
      <c r="N48" s="59"/>
      <c r="O48" s="62"/>
      <c r="P48" s="105"/>
    </row>
    <row r="49" spans="1:15" x14ac:dyDescent="0.2">
      <c r="C49" s="91" t="s">
        <v>132</v>
      </c>
      <c r="D49" s="11"/>
      <c r="E49" s="88"/>
      <c r="F49" s="11"/>
      <c r="G49" s="104" t="s">
        <v>19</v>
      </c>
      <c r="H49" s="11"/>
      <c r="I49" s="11"/>
      <c r="J49" s="84"/>
      <c r="K49" s="79"/>
      <c r="M49" s="79"/>
    </row>
    <row r="50" spans="1:15" ht="38.25" hidden="1" x14ac:dyDescent="0.2">
      <c r="A50" s="103"/>
      <c r="B50" s="82" t="s">
        <v>54</v>
      </c>
      <c r="C50" s="64" t="s">
        <v>133</v>
      </c>
      <c r="D50" s="62" t="s">
        <v>134</v>
      </c>
      <c r="E50" s="97" t="s">
        <v>135</v>
      </c>
      <c r="F50" s="62" t="s">
        <v>136</v>
      </c>
      <c r="G50" s="62" t="s">
        <v>54</v>
      </c>
      <c r="H50" s="62" t="s">
        <v>137</v>
      </c>
      <c r="I50" s="62" t="s">
        <v>138</v>
      </c>
      <c r="J50" s="84"/>
      <c r="K50" s="79"/>
      <c r="M50" s="79"/>
      <c r="N50" s="59" t="s">
        <v>139</v>
      </c>
    </row>
    <row r="51" spans="1:15" x14ac:dyDescent="0.2">
      <c r="C51" s="91" t="s">
        <v>140</v>
      </c>
      <c r="D51" s="11"/>
      <c r="E51" s="88"/>
      <c r="F51" s="11"/>
      <c r="G51" s="11"/>
      <c r="H51" s="11"/>
      <c r="I51" s="11"/>
      <c r="J51" s="84"/>
      <c r="K51" s="79"/>
      <c r="M51" s="79"/>
    </row>
    <row r="52" spans="1:15" x14ac:dyDescent="0.2">
      <c r="A52" s="50"/>
      <c r="B52" s="49" t="s">
        <v>141</v>
      </c>
      <c r="C52" s="70" t="s">
        <v>142</v>
      </c>
      <c r="D52" s="43" t="s">
        <v>143</v>
      </c>
      <c r="E52" s="99"/>
      <c r="F52" s="43"/>
      <c r="G52" s="102" t="s">
        <v>144</v>
      </c>
      <c r="H52" s="43"/>
      <c r="I52" s="43"/>
      <c r="J52" s="86"/>
      <c r="K52" s="83"/>
      <c r="L52" s="85"/>
      <c r="M52" s="83"/>
      <c r="N52" s="44"/>
      <c r="O52" s="43"/>
    </row>
    <row r="53" spans="1:15" ht="127.5" x14ac:dyDescent="0.2">
      <c r="B53" s="19" t="s">
        <v>145</v>
      </c>
      <c r="C53" s="15" t="s">
        <v>146</v>
      </c>
      <c r="D53" s="11" t="s">
        <v>143</v>
      </c>
      <c r="E53" s="88">
        <v>20</v>
      </c>
      <c r="F53" s="11" t="s">
        <v>43</v>
      </c>
      <c r="G53" s="11"/>
      <c r="H53" s="11" t="s">
        <v>147</v>
      </c>
      <c r="I53" s="56">
        <v>321.2</v>
      </c>
      <c r="J53" s="84">
        <f>3337742+1729320+185+22+408+50455+365521+2122860+685826+3037910+31496</f>
        <v>11361745</v>
      </c>
      <c r="K53" s="79">
        <f>20311541+466964503+86421.5+25075.8+1530+74533+1096825.92+2132880.41+53+569+18840771.05</f>
        <v>509534703.68000007</v>
      </c>
      <c r="L53" s="14">
        <f>672018+2977157+296894+2199463+3346884+1731429+192+4+476+50366+35832</f>
        <v>11310715</v>
      </c>
      <c r="M53" s="79">
        <f>1742+18+1134061+2210224+20385065+465165450+95547+733+1755+73579+22934170</f>
        <v>512002344</v>
      </c>
      <c r="N53" s="12" t="s">
        <v>66</v>
      </c>
      <c r="O53" s="11" t="s">
        <v>148</v>
      </c>
    </row>
    <row r="54" spans="1:15" ht="25.5" x14ac:dyDescent="0.2">
      <c r="C54" s="15" t="s">
        <v>149</v>
      </c>
      <c r="D54" s="11" t="s">
        <v>143</v>
      </c>
      <c r="E54" s="88">
        <v>20</v>
      </c>
      <c r="F54" s="11" t="s">
        <v>43</v>
      </c>
      <c r="G54" s="11"/>
      <c r="H54" s="11" t="s">
        <v>150</v>
      </c>
      <c r="I54" s="11" t="s">
        <v>151</v>
      </c>
      <c r="J54" s="84">
        <v>36</v>
      </c>
      <c r="K54" s="79">
        <v>8950</v>
      </c>
      <c r="L54" s="14">
        <v>19</v>
      </c>
      <c r="M54" s="79">
        <v>2850</v>
      </c>
      <c r="N54" s="12" t="s">
        <v>66</v>
      </c>
      <c r="O54" s="11">
        <v>4017</v>
      </c>
    </row>
    <row r="55" spans="1:15" ht="25.5" x14ac:dyDescent="0.2">
      <c r="C55" s="15" t="s">
        <v>152</v>
      </c>
      <c r="D55" s="11" t="s">
        <v>143</v>
      </c>
      <c r="E55" s="88"/>
      <c r="F55" s="11" t="s">
        <v>43</v>
      </c>
      <c r="G55" s="11"/>
      <c r="H55" s="11" t="s">
        <v>153</v>
      </c>
      <c r="I55" s="11">
        <v>321.23</v>
      </c>
      <c r="J55" s="84">
        <v>23</v>
      </c>
      <c r="K55" s="79">
        <v>1610</v>
      </c>
      <c r="L55" s="14">
        <v>5</v>
      </c>
      <c r="M55" s="79">
        <v>350</v>
      </c>
      <c r="N55" s="12" t="s">
        <v>66</v>
      </c>
      <c r="O55" s="11">
        <v>240</v>
      </c>
    </row>
    <row r="56" spans="1:15" ht="25.5" x14ac:dyDescent="0.2">
      <c r="C56" s="15" t="s">
        <v>154</v>
      </c>
      <c r="D56" s="11" t="s">
        <v>143</v>
      </c>
      <c r="E56" s="88">
        <v>20</v>
      </c>
      <c r="F56" s="11" t="s">
        <v>43</v>
      </c>
      <c r="G56" s="11"/>
      <c r="H56" s="11" t="s">
        <v>153</v>
      </c>
      <c r="I56" s="11">
        <v>321.23</v>
      </c>
      <c r="J56" s="84">
        <v>2</v>
      </c>
      <c r="K56" s="79">
        <v>140</v>
      </c>
      <c r="L56" s="14">
        <v>0</v>
      </c>
      <c r="M56" s="79">
        <v>0</v>
      </c>
      <c r="N56" s="12" t="s">
        <v>66</v>
      </c>
      <c r="O56" s="11">
        <v>241</v>
      </c>
    </row>
    <row r="57" spans="1:15" ht="25.5" x14ac:dyDescent="0.2">
      <c r="C57" s="15" t="s">
        <v>155</v>
      </c>
      <c r="D57" s="11" t="s">
        <v>143</v>
      </c>
      <c r="E57" s="88">
        <v>20</v>
      </c>
      <c r="F57" s="11" t="s">
        <v>43</v>
      </c>
      <c r="G57" s="11"/>
      <c r="H57" s="11" t="s">
        <v>153</v>
      </c>
      <c r="I57" s="11">
        <v>321.23</v>
      </c>
      <c r="J57" s="84"/>
      <c r="K57" s="79"/>
      <c r="M57" s="79"/>
      <c r="N57" s="12" t="s">
        <v>66</v>
      </c>
    </row>
    <row r="58" spans="1:15" ht="25.5" x14ac:dyDescent="0.2">
      <c r="C58" s="15" t="s">
        <v>156</v>
      </c>
      <c r="D58" s="11" t="s">
        <v>143</v>
      </c>
      <c r="E58" s="88" t="s">
        <v>157</v>
      </c>
      <c r="F58" s="11" t="s">
        <v>94</v>
      </c>
      <c r="G58" s="11"/>
      <c r="H58" s="11" t="s">
        <v>158</v>
      </c>
      <c r="I58" s="11">
        <v>321.42</v>
      </c>
      <c r="J58" s="84">
        <f>63855+3090</f>
        <v>66945</v>
      </c>
      <c r="K58" s="79">
        <f>486974+640</f>
        <v>487614</v>
      </c>
      <c r="L58" s="14">
        <f>59146+14</f>
        <v>59160</v>
      </c>
      <c r="M58" s="79">
        <f>444056+960</f>
        <v>445016</v>
      </c>
      <c r="N58" s="12" t="s">
        <v>66</v>
      </c>
      <c r="O58" s="11" t="s">
        <v>159</v>
      </c>
    </row>
    <row r="59" spans="1:15" ht="25.5" x14ac:dyDescent="0.2">
      <c r="C59" s="15" t="s">
        <v>160</v>
      </c>
      <c r="D59" s="11" t="s">
        <v>143</v>
      </c>
      <c r="E59" s="88">
        <v>20</v>
      </c>
      <c r="F59" s="11" t="s">
        <v>43</v>
      </c>
      <c r="G59" s="11"/>
      <c r="H59" s="11" t="s">
        <v>158</v>
      </c>
      <c r="I59" s="11">
        <v>321.45999999999998</v>
      </c>
      <c r="J59" s="84"/>
      <c r="K59" s="79"/>
      <c r="M59" s="79"/>
      <c r="N59" s="12" t="s">
        <v>66</v>
      </c>
      <c r="O59" s="11" t="s">
        <v>161</v>
      </c>
    </row>
    <row r="60" spans="1:15" ht="25.5" x14ac:dyDescent="0.2">
      <c r="C60" s="15" t="s">
        <v>162</v>
      </c>
      <c r="D60" s="11" t="s">
        <v>143</v>
      </c>
      <c r="E60" s="88">
        <v>20</v>
      </c>
      <c r="F60" s="11" t="s">
        <v>43</v>
      </c>
      <c r="G60" s="11"/>
      <c r="H60" s="11" t="s">
        <v>163</v>
      </c>
      <c r="I60" s="11">
        <v>321.47000000000003</v>
      </c>
      <c r="J60" s="84"/>
      <c r="K60" s="79"/>
      <c r="M60" s="79"/>
      <c r="N60" s="12" t="s">
        <v>66</v>
      </c>
    </row>
    <row r="61" spans="1:15" ht="25.5" x14ac:dyDescent="0.2">
      <c r="C61" s="15" t="s">
        <v>164</v>
      </c>
      <c r="D61" s="11" t="s">
        <v>143</v>
      </c>
      <c r="E61" s="88">
        <v>10</v>
      </c>
      <c r="F61" s="11" t="s">
        <v>43</v>
      </c>
      <c r="G61" s="11"/>
      <c r="H61" s="11" t="s">
        <v>165</v>
      </c>
      <c r="I61" s="11">
        <v>321.52</v>
      </c>
      <c r="J61" s="84">
        <v>193849</v>
      </c>
      <c r="K61" s="79">
        <v>721450</v>
      </c>
      <c r="L61" s="14">
        <v>193400</v>
      </c>
      <c r="M61" s="79">
        <v>719035</v>
      </c>
      <c r="N61" s="12" t="s">
        <v>66</v>
      </c>
      <c r="O61" s="11">
        <v>251</v>
      </c>
    </row>
    <row r="62" spans="1:15" ht="25.5" x14ac:dyDescent="0.2">
      <c r="C62" s="15" t="s">
        <v>166</v>
      </c>
      <c r="D62" s="11" t="s">
        <v>143</v>
      </c>
      <c r="E62" s="88">
        <v>20</v>
      </c>
      <c r="F62" s="11" t="s">
        <v>43</v>
      </c>
      <c r="G62" s="11"/>
      <c r="H62" s="11" t="s">
        <v>167</v>
      </c>
      <c r="I62" s="11">
        <v>321.10899999999998</v>
      </c>
      <c r="J62" s="84">
        <v>8513392</v>
      </c>
      <c r="K62" s="79">
        <v>646282005.53999996</v>
      </c>
      <c r="L62" s="14">
        <v>8526166</v>
      </c>
      <c r="M62" s="79">
        <v>655003340</v>
      </c>
      <c r="N62" s="12" t="s">
        <v>66</v>
      </c>
      <c r="O62" s="11">
        <v>258</v>
      </c>
    </row>
    <row r="63" spans="1:15" ht="25.5" x14ac:dyDescent="0.2">
      <c r="C63" s="15" t="s">
        <v>168</v>
      </c>
      <c r="D63" s="11" t="s">
        <v>169</v>
      </c>
      <c r="E63" s="42">
        <v>15</v>
      </c>
      <c r="F63" s="11" t="s">
        <v>43</v>
      </c>
      <c r="G63" s="11" t="s">
        <v>170</v>
      </c>
      <c r="H63" s="11" t="s">
        <v>171</v>
      </c>
      <c r="I63" s="11" t="s">
        <v>172</v>
      </c>
      <c r="J63" s="84">
        <f>1275+648744</f>
        <v>650019</v>
      </c>
      <c r="K63" s="79">
        <f>3211531+12730</f>
        <v>3224261</v>
      </c>
      <c r="L63" s="14">
        <v>606804</v>
      </c>
      <c r="M63" s="79">
        <v>3001751</v>
      </c>
      <c r="N63" s="12" t="s">
        <v>66</v>
      </c>
      <c r="O63" s="11" t="s">
        <v>173</v>
      </c>
    </row>
    <row r="64" spans="1:15" x14ac:dyDescent="0.2">
      <c r="A64" s="50"/>
      <c r="B64" s="49" t="s">
        <v>141</v>
      </c>
      <c r="C64" s="70" t="s">
        <v>174</v>
      </c>
      <c r="D64" s="43" t="s">
        <v>143</v>
      </c>
      <c r="E64" s="99" t="s">
        <v>175</v>
      </c>
      <c r="F64" s="43"/>
      <c r="G64" s="46" t="s">
        <v>176</v>
      </c>
      <c r="H64" s="43" t="s">
        <v>177</v>
      </c>
      <c r="I64" s="43">
        <v>321.33999999999997</v>
      </c>
      <c r="J64" s="86"/>
      <c r="K64" s="83"/>
      <c r="L64" s="85"/>
      <c r="M64" s="83"/>
      <c r="N64" s="44" t="s">
        <v>66</v>
      </c>
      <c r="O64" s="43"/>
    </row>
    <row r="65" spans="1:15" ht="140.25" x14ac:dyDescent="0.2">
      <c r="C65" s="15" t="s">
        <v>178</v>
      </c>
      <c r="D65" s="11" t="s">
        <v>143</v>
      </c>
      <c r="E65" s="88" t="s">
        <v>179</v>
      </c>
      <c r="F65" s="11" t="s">
        <v>180</v>
      </c>
      <c r="G65" s="80" t="s">
        <v>181</v>
      </c>
      <c r="H65" s="11" t="s">
        <v>182</v>
      </c>
      <c r="I65" s="11" t="s">
        <v>183</v>
      </c>
      <c r="J65" s="84">
        <v>57589</v>
      </c>
      <c r="K65" s="79">
        <v>433219</v>
      </c>
      <c r="L65" s="14">
        <f>1+50195+1731+79+70+39+129+170+35+2374+1114</f>
        <v>55937</v>
      </c>
      <c r="M65" s="79">
        <f>3+366140+15661+850+990+260+1476+1827+510+20487+9341</f>
        <v>417545</v>
      </c>
      <c r="N65" s="12" t="s">
        <v>66</v>
      </c>
      <c r="O65" s="11" t="s">
        <v>184</v>
      </c>
    </row>
    <row r="66" spans="1:15" ht="25.5" x14ac:dyDescent="0.2">
      <c r="C66" s="15" t="s">
        <v>185</v>
      </c>
      <c r="D66" s="11" t="s">
        <v>143</v>
      </c>
      <c r="E66" s="88">
        <v>5</v>
      </c>
      <c r="F66" s="11" t="s">
        <v>186</v>
      </c>
      <c r="G66" s="80" t="s">
        <v>181</v>
      </c>
      <c r="H66" s="11" t="s">
        <v>182</v>
      </c>
      <c r="I66" s="11" t="s">
        <v>187</v>
      </c>
      <c r="J66" s="84">
        <v>1110</v>
      </c>
      <c r="K66" s="79">
        <v>5414</v>
      </c>
      <c r="L66" s="14">
        <v>1049</v>
      </c>
      <c r="M66" s="79">
        <v>5154</v>
      </c>
      <c r="N66" s="12" t="s">
        <v>66</v>
      </c>
      <c r="O66" s="11" t="s">
        <v>188</v>
      </c>
    </row>
    <row r="67" spans="1:15" ht="25.5" x14ac:dyDescent="0.2">
      <c r="C67" s="15" t="s">
        <v>189</v>
      </c>
      <c r="D67" s="11" t="s">
        <v>143</v>
      </c>
      <c r="E67" s="88" t="s">
        <v>190</v>
      </c>
      <c r="F67" s="11" t="s">
        <v>72</v>
      </c>
      <c r="G67" s="80" t="s">
        <v>181</v>
      </c>
      <c r="H67" s="11" t="s">
        <v>182</v>
      </c>
      <c r="I67" s="11" t="s">
        <v>191</v>
      </c>
      <c r="J67" s="84">
        <v>396</v>
      </c>
      <c r="K67" s="79">
        <v>334</v>
      </c>
      <c r="M67" s="79"/>
      <c r="N67" s="12" t="s">
        <v>66</v>
      </c>
      <c r="O67" s="11" t="s">
        <v>192</v>
      </c>
    </row>
    <row r="68" spans="1:15" ht="318.75" x14ac:dyDescent="0.2">
      <c r="C68" s="15" t="s">
        <v>193</v>
      </c>
      <c r="D68" s="11" t="s">
        <v>143</v>
      </c>
      <c r="E68" s="88" t="s">
        <v>194</v>
      </c>
      <c r="F68" s="11" t="s">
        <v>72</v>
      </c>
      <c r="G68" s="80" t="s">
        <v>181</v>
      </c>
      <c r="H68" s="11" t="s">
        <v>182</v>
      </c>
      <c r="I68" s="11" t="s">
        <v>191</v>
      </c>
      <c r="J68" s="84">
        <f>20265+3+1+89</f>
        <v>20358</v>
      </c>
      <c r="K68" s="79">
        <f>101512+25+20+505</f>
        <v>102062</v>
      </c>
      <c r="L68" s="14">
        <f>898+2+1109+50+16698+18+2+173+17+53+805+2+115</f>
        <v>19942</v>
      </c>
      <c r="M68" s="79">
        <f>5445+10+6695+250+83840+130+10+1015+325+1000+4300+40+620</f>
        <v>103680</v>
      </c>
      <c r="N68" s="12" t="s">
        <v>66</v>
      </c>
      <c r="O68" s="11" t="s">
        <v>195</v>
      </c>
    </row>
    <row r="69" spans="1:15" ht="51" x14ac:dyDescent="0.2">
      <c r="C69" s="15" t="s">
        <v>196</v>
      </c>
      <c r="D69" s="11" t="s">
        <v>143</v>
      </c>
      <c r="E69" s="88">
        <v>25</v>
      </c>
      <c r="F69" s="11" t="s">
        <v>72</v>
      </c>
      <c r="G69" s="80" t="s">
        <v>181</v>
      </c>
      <c r="H69" s="11" t="s">
        <v>182</v>
      </c>
      <c r="I69" s="11" t="s">
        <v>197</v>
      </c>
      <c r="J69" s="84">
        <f>15903-791-4</f>
        <v>15108</v>
      </c>
      <c r="K69" s="79">
        <f>43965-5550-160</f>
        <v>38255</v>
      </c>
      <c r="L69" s="14">
        <f>84+13015+683</f>
        <v>13782</v>
      </c>
      <c r="M69" s="79">
        <f>1850+31025+715</f>
        <v>33590</v>
      </c>
      <c r="N69" s="12" t="s">
        <v>66</v>
      </c>
      <c r="O69" s="11" t="s">
        <v>198</v>
      </c>
    </row>
    <row r="70" spans="1:15" ht="178.5" x14ac:dyDescent="0.2">
      <c r="C70" s="15" t="s">
        <v>199</v>
      </c>
      <c r="D70" s="11" t="s">
        <v>143</v>
      </c>
      <c r="E70" s="88" t="s">
        <v>200</v>
      </c>
      <c r="F70" s="11" t="s">
        <v>180</v>
      </c>
      <c r="G70" s="80" t="s">
        <v>181</v>
      </c>
      <c r="H70" s="11" t="s">
        <v>182</v>
      </c>
      <c r="I70" s="11" t="s">
        <v>201</v>
      </c>
      <c r="J70" s="84">
        <f>96424+712+3</f>
        <v>97139</v>
      </c>
      <c r="K70" s="79">
        <f>550967.01+7912+425</f>
        <v>559304.01</v>
      </c>
      <c r="L70" s="14">
        <f>3598+60500+9+1733+8906+1124+116+647+404+1041+1670+1089+1200+12199</f>
        <v>94236</v>
      </c>
      <c r="M70" s="79">
        <f>41351+109948+335+19066+114491+12116+1232+7202+4370+11778+17764+13554+15905+190780</f>
        <v>559892</v>
      </c>
      <c r="N70" s="12" t="s">
        <v>66</v>
      </c>
      <c r="O70" s="11" t="s">
        <v>202</v>
      </c>
    </row>
    <row r="71" spans="1:15" ht="25.5" x14ac:dyDescent="0.2">
      <c r="C71" s="15" t="s">
        <v>203</v>
      </c>
      <c r="D71" s="11" t="s">
        <v>143</v>
      </c>
      <c r="E71" s="88" t="s">
        <v>200</v>
      </c>
      <c r="F71" s="11" t="s">
        <v>180</v>
      </c>
      <c r="G71" s="80" t="s">
        <v>181</v>
      </c>
      <c r="H71" s="11" t="s">
        <v>182</v>
      </c>
      <c r="I71" s="11" t="s">
        <v>204</v>
      </c>
      <c r="J71" s="84">
        <v>547954</v>
      </c>
      <c r="K71" s="79">
        <v>10578497.5</v>
      </c>
      <c r="L71" s="14">
        <v>625811</v>
      </c>
      <c r="M71" s="79">
        <v>11452388</v>
      </c>
      <c r="N71" s="12" t="s">
        <v>66</v>
      </c>
      <c r="O71" s="11" t="s">
        <v>205</v>
      </c>
    </row>
    <row r="72" spans="1:15" ht="63.75" x14ac:dyDescent="0.2">
      <c r="C72" s="15" t="s">
        <v>206</v>
      </c>
      <c r="D72" s="11" t="s">
        <v>143</v>
      </c>
      <c r="E72" s="88" t="s">
        <v>207</v>
      </c>
      <c r="F72" s="11" t="s">
        <v>180</v>
      </c>
      <c r="G72" s="11" t="s">
        <v>181</v>
      </c>
      <c r="H72" s="11" t="s">
        <v>182</v>
      </c>
      <c r="I72" s="11" t="s">
        <v>208</v>
      </c>
      <c r="J72" s="84">
        <f>5460+531</f>
        <v>5991</v>
      </c>
      <c r="K72" s="79">
        <f>39052+1248</f>
        <v>40300</v>
      </c>
      <c r="L72" s="14">
        <f>786+3121+484+821+129</f>
        <v>5341</v>
      </c>
      <c r="M72" s="79">
        <f>5035+22104+3598+5686+1040</f>
        <v>37463</v>
      </c>
      <c r="N72" s="12" t="s">
        <v>66</v>
      </c>
      <c r="O72" s="11" t="s">
        <v>209</v>
      </c>
    </row>
    <row r="73" spans="1:15" ht="25.5" x14ac:dyDescent="0.2">
      <c r="C73" s="15" t="s">
        <v>210</v>
      </c>
      <c r="D73" s="11" t="s">
        <v>143</v>
      </c>
      <c r="E73" s="88" t="s">
        <v>211</v>
      </c>
      <c r="F73" s="11" t="s">
        <v>180</v>
      </c>
      <c r="G73" s="11" t="s">
        <v>181</v>
      </c>
      <c r="H73" s="11" t="s">
        <v>182</v>
      </c>
      <c r="I73" s="11" t="s">
        <v>212</v>
      </c>
      <c r="J73" s="84">
        <v>59198</v>
      </c>
      <c r="K73" s="79">
        <v>786249</v>
      </c>
      <c r="L73" s="14">
        <f>45037+12952</f>
        <v>57989</v>
      </c>
      <c r="M73" s="79">
        <f>590757+180459</f>
        <v>771216</v>
      </c>
      <c r="N73" s="12" t="s">
        <v>66</v>
      </c>
      <c r="O73" s="11" t="s">
        <v>213</v>
      </c>
    </row>
    <row r="74" spans="1:15" ht="38.25" x14ac:dyDescent="0.2">
      <c r="C74" s="15" t="s">
        <v>214</v>
      </c>
      <c r="D74" s="11" t="s">
        <v>143</v>
      </c>
      <c r="E74" s="88" t="s">
        <v>207</v>
      </c>
      <c r="F74" s="11" t="s">
        <v>180</v>
      </c>
      <c r="G74" s="11" t="s">
        <v>181</v>
      </c>
      <c r="H74" s="11" t="s">
        <v>182</v>
      </c>
      <c r="I74" s="11" t="s">
        <v>215</v>
      </c>
      <c r="J74" s="84">
        <f>69858+35</f>
        <v>69893</v>
      </c>
      <c r="K74" s="79">
        <f>402221+215</f>
        <v>402436</v>
      </c>
      <c r="L74" s="14">
        <f>64370</f>
        <v>64370</v>
      </c>
      <c r="M74" s="79">
        <f>373494</f>
        <v>373494</v>
      </c>
      <c r="N74" s="12" t="s">
        <v>66</v>
      </c>
      <c r="O74" s="11" t="s">
        <v>216</v>
      </c>
    </row>
    <row r="75" spans="1:15" ht="25.5" hidden="1" x14ac:dyDescent="0.2">
      <c r="A75" s="9" t="s">
        <v>19</v>
      </c>
      <c r="C75" s="64" t="s">
        <v>217</v>
      </c>
      <c r="D75" s="62" t="s">
        <v>143</v>
      </c>
      <c r="E75" s="97">
        <v>5</v>
      </c>
      <c r="F75" s="62" t="s">
        <v>136</v>
      </c>
      <c r="G75" s="62" t="s">
        <v>170</v>
      </c>
      <c r="H75" s="62" t="s">
        <v>218</v>
      </c>
      <c r="I75" s="62">
        <v>321.42</v>
      </c>
      <c r="J75" s="84"/>
      <c r="K75" s="79"/>
      <c r="M75" s="79"/>
      <c r="N75" s="12" t="s">
        <v>66</v>
      </c>
    </row>
    <row r="76" spans="1:15" x14ac:dyDescent="0.2">
      <c r="A76" s="50"/>
      <c r="B76" s="49" t="s">
        <v>141</v>
      </c>
      <c r="C76" s="89" t="s">
        <v>219</v>
      </c>
      <c r="D76" s="43"/>
      <c r="E76" s="99"/>
      <c r="F76" s="43" t="s">
        <v>136</v>
      </c>
      <c r="G76" s="43" t="s">
        <v>181</v>
      </c>
      <c r="H76" s="43"/>
      <c r="I76" s="43">
        <v>321.42</v>
      </c>
      <c r="J76" s="86"/>
      <c r="K76" s="83"/>
      <c r="L76" s="85"/>
      <c r="M76" s="83"/>
      <c r="N76" s="44" t="s">
        <v>66</v>
      </c>
      <c r="O76" s="43"/>
    </row>
    <row r="77" spans="1:15" ht="25.5" x14ac:dyDescent="0.2">
      <c r="C77" s="15" t="s">
        <v>220</v>
      </c>
      <c r="D77" s="11" t="s">
        <v>143</v>
      </c>
      <c r="E77" s="88">
        <v>3</v>
      </c>
      <c r="F77" s="11" t="s">
        <v>43</v>
      </c>
      <c r="G77" s="11"/>
      <c r="H77" s="11" t="s">
        <v>221</v>
      </c>
      <c r="I77" s="11">
        <v>321.42</v>
      </c>
      <c r="J77" s="84"/>
      <c r="K77" s="79"/>
      <c r="M77" s="79"/>
      <c r="N77" s="12" t="s">
        <v>66</v>
      </c>
    </row>
    <row r="78" spans="1:15" ht="25.5" x14ac:dyDescent="0.2">
      <c r="C78" s="15" t="s">
        <v>222</v>
      </c>
      <c r="D78" s="11" t="s">
        <v>143</v>
      </c>
      <c r="E78" s="88">
        <v>5</v>
      </c>
      <c r="F78" s="11" t="s">
        <v>43</v>
      </c>
      <c r="G78" s="11"/>
      <c r="H78" s="11" t="s">
        <v>221</v>
      </c>
      <c r="I78" s="11">
        <v>321.42</v>
      </c>
      <c r="J78" s="84">
        <v>57183</v>
      </c>
      <c r="K78" s="79">
        <v>141891</v>
      </c>
      <c r="L78" s="14">
        <v>58627</v>
      </c>
      <c r="M78" s="79">
        <v>144656</v>
      </c>
      <c r="N78" s="12" t="s">
        <v>66</v>
      </c>
      <c r="O78" s="11">
        <v>187</v>
      </c>
    </row>
    <row r="79" spans="1:15" ht="25.5" x14ac:dyDescent="0.2">
      <c r="C79" s="15" t="s">
        <v>223</v>
      </c>
      <c r="D79" s="11" t="s">
        <v>143</v>
      </c>
      <c r="E79" s="88">
        <v>40</v>
      </c>
      <c r="F79" s="11" t="s">
        <v>43</v>
      </c>
      <c r="G79" s="11"/>
      <c r="H79" s="11" t="s">
        <v>224</v>
      </c>
      <c r="I79" s="56">
        <v>321.60000000000002</v>
      </c>
      <c r="J79" s="84">
        <v>173439</v>
      </c>
      <c r="K79" s="79">
        <v>1731739</v>
      </c>
      <c r="L79" s="14">
        <v>160365</v>
      </c>
      <c r="M79" s="79">
        <v>1601648</v>
      </c>
      <c r="N79" s="12" t="s">
        <v>66</v>
      </c>
      <c r="O79" s="11">
        <v>1038</v>
      </c>
    </row>
    <row r="80" spans="1:15" ht="25.5" x14ac:dyDescent="0.2">
      <c r="C80" s="15" t="s">
        <v>225</v>
      </c>
      <c r="D80" s="11" t="s">
        <v>143</v>
      </c>
      <c r="E80" s="88">
        <v>20</v>
      </c>
      <c r="F80" s="11" t="s">
        <v>43</v>
      </c>
      <c r="G80" s="11"/>
      <c r="H80" s="11" t="s">
        <v>221</v>
      </c>
      <c r="I80" s="11">
        <v>321.42</v>
      </c>
      <c r="J80" s="84">
        <v>211435</v>
      </c>
      <c r="K80" s="79">
        <v>1304050</v>
      </c>
      <c r="L80" s="14">
        <v>212004</v>
      </c>
      <c r="M80" s="79">
        <v>1301425</v>
      </c>
      <c r="N80" s="12" t="s">
        <v>66</v>
      </c>
      <c r="O80" s="11">
        <v>253</v>
      </c>
    </row>
    <row r="81" spans="1:15" ht="25.5" x14ac:dyDescent="0.2">
      <c r="C81" s="15" t="s">
        <v>226</v>
      </c>
      <c r="D81" s="11" t="s">
        <v>143</v>
      </c>
      <c r="E81" s="88">
        <v>20</v>
      </c>
      <c r="F81" s="11" t="s">
        <v>43</v>
      </c>
      <c r="G81" s="11" t="s">
        <v>19</v>
      </c>
      <c r="H81" s="11" t="s">
        <v>227</v>
      </c>
      <c r="I81" s="11" t="s">
        <v>228</v>
      </c>
      <c r="J81" s="84"/>
      <c r="K81" s="79"/>
      <c r="M81" s="79"/>
      <c r="N81" s="12" t="s">
        <v>66</v>
      </c>
      <c r="O81" s="11" t="s">
        <v>161</v>
      </c>
    </row>
    <row r="82" spans="1:15" ht="25.5" x14ac:dyDescent="0.2">
      <c r="C82" s="15" t="s">
        <v>229</v>
      </c>
      <c r="D82" s="11" t="s">
        <v>143</v>
      </c>
      <c r="E82" s="88">
        <v>10</v>
      </c>
      <c r="F82" s="11" t="s">
        <v>43</v>
      </c>
      <c r="G82" s="11" t="s">
        <v>19</v>
      </c>
      <c r="H82" s="11" t="s">
        <v>230</v>
      </c>
      <c r="I82" s="11" t="s">
        <v>231</v>
      </c>
      <c r="J82" s="84"/>
      <c r="K82" s="79"/>
      <c r="M82" s="79"/>
      <c r="N82" s="12" t="s">
        <v>66</v>
      </c>
    </row>
    <row r="83" spans="1:15" ht="25.5" x14ac:dyDescent="0.2">
      <c r="C83" s="15" t="s">
        <v>232</v>
      </c>
      <c r="D83" s="11"/>
      <c r="E83" s="88">
        <v>5</v>
      </c>
      <c r="F83" s="11" t="s">
        <v>43</v>
      </c>
      <c r="G83" s="11"/>
      <c r="H83" s="11" t="s">
        <v>233</v>
      </c>
      <c r="I83" s="11">
        <v>321.48</v>
      </c>
      <c r="J83" s="84">
        <v>169002</v>
      </c>
      <c r="K83" s="79">
        <v>562685</v>
      </c>
      <c r="L83" s="14">
        <v>174984</v>
      </c>
      <c r="M83" s="79">
        <v>582750</v>
      </c>
      <c r="N83" s="12" t="s">
        <v>66</v>
      </c>
      <c r="O83" s="11">
        <v>4000</v>
      </c>
    </row>
    <row r="84" spans="1:15" x14ac:dyDescent="0.2">
      <c r="C84" s="15" t="s">
        <v>234</v>
      </c>
      <c r="D84" s="11" t="s">
        <v>143</v>
      </c>
      <c r="E84" s="88" t="s">
        <v>235</v>
      </c>
      <c r="F84" s="11" t="s">
        <v>43</v>
      </c>
      <c r="G84" s="11" t="s">
        <v>19</v>
      </c>
      <c r="H84" s="40">
        <v>40464</v>
      </c>
      <c r="I84" s="11" t="s">
        <v>236</v>
      </c>
      <c r="J84" s="84"/>
      <c r="K84" s="79"/>
      <c r="M84" s="79"/>
    </row>
    <row r="85" spans="1:15" ht="51" x14ac:dyDescent="0.2">
      <c r="C85" s="15" t="s">
        <v>237</v>
      </c>
      <c r="D85" s="11" t="s">
        <v>238</v>
      </c>
      <c r="E85" s="88" t="s">
        <v>239</v>
      </c>
      <c r="F85" s="11" t="s">
        <v>43</v>
      </c>
      <c r="G85" s="11" t="s">
        <v>19</v>
      </c>
      <c r="H85" s="11" t="s">
        <v>230</v>
      </c>
      <c r="I85" s="56">
        <v>321.5</v>
      </c>
      <c r="J85" s="84"/>
      <c r="K85" s="79"/>
      <c r="M85" s="79"/>
      <c r="N85" s="12" t="s">
        <v>66</v>
      </c>
    </row>
    <row r="86" spans="1:15" ht="63.75" x14ac:dyDescent="0.2">
      <c r="B86" s="19" t="s">
        <v>54</v>
      </c>
      <c r="C86" s="15" t="s">
        <v>240</v>
      </c>
      <c r="D86" s="11" t="s">
        <v>241</v>
      </c>
      <c r="E86" s="88" t="s">
        <v>242</v>
      </c>
      <c r="F86" s="11" t="s">
        <v>43</v>
      </c>
      <c r="G86" s="80" t="s">
        <v>243</v>
      </c>
      <c r="H86" s="11" t="s">
        <v>244</v>
      </c>
      <c r="I86" s="11">
        <v>321.52</v>
      </c>
      <c r="J86" s="84"/>
      <c r="K86" s="79"/>
      <c r="M86" s="79"/>
      <c r="N86" s="12" t="s">
        <v>66</v>
      </c>
    </row>
    <row r="87" spans="1:15" ht="25.5" x14ac:dyDescent="0.2">
      <c r="B87" s="19" t="s">
        <v>141</v>
      </c>
      <c r="C87" s="15" t="s">
        <v>245</v>
      </c>
      <c r="D87" s="11" t="s">
        <v>241</v>
      </c>
      <c r="E87" s="42">
        <v>0</v>
      </c>
      <c r="F87" s="11" t="s">
        <v>136</v>
      </c>
      <c r="G87" s="11"/>
      <c r="H87" s="40" t="s">
        <v>246</v>
      </c>
      <c r="I87" s="11" t="s">
        <v>247</v>
      </c>
      <c r="J87" s="84">
        <f>13310+82+26056</f>
        <v>39448</v>
      </c>
      <c r="K87" s="79">
        <f>665500+2050+651400</f>
        <v>1318950</v>
      </c>
      <c r="L87" s="14">
        <v>40610</v>
      </c>
      <c r="M87" s="79">
        <v>1357150</v>
      </c>
      <c r="O87" s="11" t="s">
        <v>248</v>
      </c>
    </row>
    <row r="88" spans="1:15" ht="25.5" x14ac:dyDescent="0.2">
      <c r="B88" s="19" t="s">
        <v>145</v>
      </c>
      <c r="C88" s="15" t="s">
        <v>249</v>
      </c>
      <c r="D88" s="11" t="s">
        <v>143</v>
      </c>
      <c r="E88" s="88" t="s">
        <v>250</v>
      </c>
      <c r="F88" s="11" t="s">
        <v>43</v>
      </c>
      <c r="G88" s="80" t="s">
        <v>251</v>
      </c>
      <c r="H88" s="11" t="s">
        <v>252</v>
      </c>
      <c r="I88" s="11" t="s">
        <v>253</v>
      </c>
      <c r="J88" s="84"/>
      <c r="K88" s="79"/>
      <c r="M88" s="79"/>
      <c r="N88" s="12" t="s">
        <v>66</v>
      </c>
    </row>
    <row r="89" spans="1:15" s="100" customFormat="1" x14ac:dyDescent="0.2">
      <c r="A89" s="101"/>
      <c r="B89" s="49" t="s">
        <v>141</v>
      </c>
      <c r="C89" s="48" t="s">
        <v>254</v>
      </c>
      <c r="D89" s="43"/>
      <c r="E89" s="99"/>
      <c r="F89" s="43"/>
      <c r="G89" s="46" t="s">
        <v>176</v>
      </c>
      <c r="H89" s="43"/>
      <c r="I89" s="43"/>
      <c r="J89" s="86"/>
      <c r="K89" s="83"/>
      <c r="L89" s="85"/>
      <c r="M89" s="83"/>
      <c r="N89" s="44"/>
      <c r="O89" s="43"/>
    </row>
    <row r="90" spans="1:15" ht="409.5" x14ac:dyDescent="0.2">
      <c r="C90" s="15" t="s">
        <v>255</v>
      </c>
      <c r="D90" s="11" t="s">
        <v>256</v>
      </c>
      <c r="E90" s="88">
        <v>70</v>
      </c>
      <c r="F90" s="11" t="s">
        <v>257</v>
      </c>
      <c r="G90" s="11"/>
      <c r="H90" s="11" t="s">
        <v>258</v>
      </c>
      <c r="I90" s="11">
        <v>321.58</v>
      </c>
      <c r="J90" s="84">
        <f>169+84+6+7278</f>
        <v>7537</v>
      </c>
      <c r="K90" s="79">
        <f>6+5950+5880+240+427630</f>
        <v>439706</v>
      </c>
      <c r="L90" s="14">
        <v>786</v>
      </c>
      <c r="M90" s="79">
        <v>29710</v>
      </c>
      <c r="N90" s="12" t="s">
        <v>66</v>
      </c>
      <c r="O90" s="11" t="s">
        <v>259</v>
      </c>
    </row>
    <row r="91" spans="1:15" ht="102" x14ac:dyDescent="0.2">
      <c r="C91" s="15" t="s">
        <v>260</v>
      </c>
      <c r="D91" s="11" t="s">
        <v>261</v>
      </c>
      <c r="E91" s="88">
        <v>40</v>
      </c>
      <c r="F91" s="11" t="s">
        <v>257</v>
      </c>
      <c r="G91" s="11"/>
      <c r="H91" s="11" t="s">
        <v>262</v>
      </c>
      <c r="I91" s="56">
        <v>321.60000000000002</v>
      </c>
      <c r="J91" s="84">
        <f>1046+2148+50+45+70+66+61+65+247</f>
        <v>3798</v>
      </c>
      <c r="K91" s="79">
        <f>231800+712520+3200+15720+8040+14120-14930+57750+244500</f>
        <v>1272720</v>
      </c>
      <c r="L91" s="14">
        <v>373</v>
      </c>
      <c r="M91" s="79">
        <v>68880</v>
      </c>
      <c r="N91" s="12" t="s">
        <v>66</v>
      </c>
      <c r="O91" s="11" t="s">
        <v>263</v>
      </c>
    </row>
    <row r="92" spans="1:15" ht="51" x14ac:dyDescent="0.2">
      <c r="B92" s="19" t="s">
        <v>145</v>
      </c>
      <c r="C92" s="91" t="s">
        <v>264</v>
      </c>
      <c r="D92" s="11" t="s">
        <v>143</v>
      </c>
      <c r="E92" s="88" t="s">
        <v>265</v>
      </c>
      <c r="F92" s="11" t="s">
        <v>266</v>
      </c>
      <c r="G92" s="80" t="s">
        <v>251</v>
      </c>
      <c r="H92" s="11" t="s">
        <v>267</v>
      </c>
      <c r="I92" s="11" t="s">
        <v>268</v>
      </c>
      <c r="J92" s="84">
        <f>9141</f>
        <v>9141</v>
      </c>
      <c r="K92" s="79">
        <f>25857186.55</f>
        <v>25857186.550000001</v>
      </c>
      <c r="L92" s="14">
        <v>9763</v>
      </c>
      <c r="M92" s="79">
        <v>28323545</v>
      </c>
      <c r="N92" s="12" t="s">
        <v>66</v>
      </c>
      <c r="O92" s="11">
        <v>15</v>
      </c>
    </row>
    <row r="93" spans="1:15" ht="25.5" x14ac:dyDescent="0.2">
      <c r="A93" s="50"/>
      <c r="B93" s="49" t="s">
        <v>141</v>
      </c>
      <c r="C93" s="89" t="s">
        <v>269</v>
      </c>
      <c r="D93" s="43" t="s">
        <v>143</v>
      </c>
      <c r="E93" s="99" t="s">
        <v>270</v>
      </c>
      <c r="F93" s="43"/>
      <c r="G93" s="46" t="s">
        <v>176</v>
      </c>
      <c r="H93" s="98" t="s">
        <v>271</v>
      </c>
      <c r="I93" s="43"/>
      <c r="J93" s="86"/>
      <c r="K93" s="83"/>
      <c r="L93" s="85"/>
      <c r="M93" s="83"/>
      <c r="N93" s="44"/>
      <c r="O93" s="43"/>
    </row>
    <row r="94" spans="1:15" ht="25.5" x14ac:dyDescent="0.2">
      <c r="C94" s="15" t="s">
        <v>272</v>
      </c>
      <c r="D94" s="11" t="s">
        <v>143</v>
      </c>
      <c r="E94" s="92" t="s">
        <v>273</v>
      </c>
      <c r="F94" s="11" t="s">
        <v>274</v>
      </c>
      <c r="G94" s="11"/>
      <c r="H94" s="11" t="s">
        <v>167</v>
      </c>
      <c r="I94" s="11">
        <v>321.10899999999998</v>
      </c>
      <c r="J94" s="84"/>
      <c r="K94" s="79"/>
      <c r="M94" s="79"/>
      <c r="N94" s="12" t="s">
        <v>66</v>
      </c>
      <c r="O94" s="11" t="s">
        <v>275</v>
      </c>
    </row>
    <row r="95" spans="1:15" ht="38.25" x14ac:dyDescent="0.2">
      <c r="C95" s="15" t="s">
        <v>276</v>
      </c>
      <c r="D95" s="11" t="s">
        <v>143</v>
      </c>
      <c r="E95" s="88">
        <v>60</v>
      </c>
      <c r="F95" s="11" t="s">
        <v>274</v>
      </c>
      <c r="G95" s="11"/>
      <c r="H95" s="11" t="s">
        <v>167</v>
      </c>
      <c r="I95" s="11">
        <v>321.10899999999998</v>
      </c>
      <c r="J95" s="84">
        <v>485</v>
      </c>
      <c r="K95" s="79">
        <v>3238</v>
      </c>
      <c r="L95" s="14">
        <v>10353</v>
      </c>
      <c r="M95" s="79">
        <v>3170</v>
      </c>
      <c r="N95" s="12" t="s">
        <v>66</v>
      </c>
      <c r="O95" s="11" t="s">
        <v>277</v>
      </c>
    </row>
    <row r="96" spans="1:15" ht="25.5" x14ac:dyDescent="0.2">
      <c r="C96" s="15" t="s">
        <v>278</v>
      </c>
      <c r="D96" s="11" t="s">
        <v>279</v>
      </c>
      <c r="E96" s="88" t="s">
        <v>280</v>
      </c>
      <c r="F96" s="11" t="s">
        <v>43</v>
      </c>
      <c r="G96" s="11"/>
      <c r="H96" s="11" t="s">
        <v>167</v>
      </c>
      <c r="I96" s="11">
        <v>321.10899999999998</v>
      </c>
      <c r="J96" s="84">
        <v>210</v>
      </c>
      <c r="K96" s="79">
        <v>39550</v>
      </c>
      <c r="L96" s="14">
        <v>0</v>
      </c>
      <c r="M96" s="79">
        <v>0</v>
      </c>
      <c r="N96" s="12" t="s">
        <v>66</v>
      </c>
      <c r="O96" s="11">
        <v>3088</v>
      </c>
    </row>
    <row r="97" spans="1:15" ht="25.5" x14ac:dyDescent="0.2">
      <c r="C97" s="15" t="s">
        <v>281</v>
      </c>
      <c r="D97" s="11" t="s">
        <v>261</v>
      </c>
      <c r="E97" s="88">
        <v>2</v>
      </c>
      <c r="F97" s="11" t="s">
        <v>282</v>
      </c>
      <c r="G97" s="11"/>
      <c r="H97" s="11" t="s">
        <v>167</v>
      </c>
      <c r="I97" s="11">
        <v>321.10899999999998</v>
      </c>
      <c r="J97" s="84">
        <f>8386+9523</f>
        <v>17909</v>
      </c>
      <c r="K97" s="79">
        <f>41570+9523</f>
        <v>51093</v>
      </c>
      <c r="L97" s="14">
        <v>11866</v>
      </c>
      <c r="M97" s="79">
        <v>37133</v>
      </c>
      <c r="N97" s="12" t="s">
        <v>66</v>
      </c>
      <c r="O97" s="11" t="s">
        <v>283</v>
      </c>
    </row>
    <row r="98" spans="1:15" ht="25.5" x14ac:dyDescent="0.2">
      <c r="C98" s="15" t="s">
        <v>284</v>
      </c>
      <c r="D98" s="11" t="s">
        <v>143</v>
      </c>
      <c r="E98" s="88">
        <v>25</v>
      </c>
      <c r="F98" s="11" t="s">
        <v>285</v>
      </c>
      <c r="G98" s="11"/>
      <c r="H98" s="11" t="s">
        <v>167</v>
      </c>
      <c r="I98" s="11">
        <v>321.10899999999998</v>
      </c>
      <c r="J98" s="84"/>
      <c r="K98" s="79"/>
      <c r="M98" s="79"/>
      <c r="O98" s="11" t="s">
        <v>286</v>
      </c>
    </row>
    <row r="99" spans="1:15" ht="255" x14ac:dyDescent="0.2">
      <c r="C99" s="15" t="s">
        <v>287</v>
      </c>
      <c r="D99" s="11" t="s">
        <v>143</v>
      </c>
      <c r="E99" s="95" t="s">
        <v>288</v>
      </c>
      <c r="F99" s="11" t="s">
        <v>274</v>
      </c>
      <c r="G99" s="11"/>
      <c r="H99" s="11" t="s">
        <v>289</v>
      </c>
      <c r="I99" s="11">
        <v>321.113</v>
      </c>
      <c r="J99" s="84">
        <f>25+2</f>
        <v>27</v>
      </c>
      <c r="K99" s="79">
        <f>1750+20</f>
        <v>1770</v>
      </c>
      <c r="L99" s="14">
        <v>0</v>
      </c>
      <c r="M99" s="79">
        <v>0</v>
      </c>
      <c r="N99" s="12" t="s">
        <v>66</v>
      </c>
      <c r="O99" s="11">
        <v>3084</v>
      </c>
    </row>
    <row r="100" spans="1:15" ht="25.5" x14ac:dyDescent="0.2">
      <c r="C100" s="15" t="s">
        <v>290</v>
      </c>
      <c r="D100" s="11" t="s">
        <v>143</v>
      </c>
      <c r="E100" s="95" t="s">
        <v>291</v>
      </c>
      <c r="F100" s="11" t="s">
        <v>274</v>
      </c>
      <c r="G100" s="11"/>
      <c r="H100" s="11" t="s">
        <v>292</v>
      </c>
      <c r="I100" s="11">
        <v>321.11599999999999</v>
      </c>
      <c r="J100" s="84">
        <f>16122+1540</f>
        <v>17662</v>
      </c>
      <c r="K100" s="79">
        <f>1274514.28+14384.54</f>
        <v>1288898.82</v>
      </c>
      <c r="L100" s="14">
        <v>23442</v>
      </c>
      <c r="M100" s="79">
        <v>1763486</v>
      </c>
      <c r="N100" s="12" t="s">
        <v>66</v>
      </c>
      <c r="O100" s="11" t="s">
        <v>293</v>
      </c>
    </row>
    <row r="101" spans="1:15" hidden="1" x14ac:dyDescent="0.2">
      <c r="C101" s="64" t="s">
        <v>294</v>
      </c>
      <c r="D101" s="62" t="s">
        <v>143</v>
      </c>
      <c r="E101" s="97">
        <v>25</v>
      </c>
      <c r="F101" s="62" t="s">
        <v>295</v>
      </c>
      <c r="G101" s="62"/>
      <c r="H101" s="62" t="s">
        <v>296</v>
      </c>
      <c r="I101" s="62">
        <v>321.11599999999999</v>
      </c>
      <c r="J101" s="84"/>
      <c r="K101" s="79"/>
      <c r="M101" s="79"/>
    </row>
    <row r="102" spans="1:15" hidden="1" x14ac:dyDescent="0.2">
      <c r="C102" s="64" t="s">
        <v>297</v>
      </c>
      <c r="D102" s="62" t="s">
        <v>143</v>
      </c>
      <c r="E102" s="97">
        <v>15</v>
      </c>
      <c r="F102" s="62" t="s">
        <v>295</v>
      </c>
      <c r="G102" s="62"/>
      <c r="H102" s="62" t="s">
        <v>298</v>
      </c>
      <c r="I102" s="62">
        <v>321.11599999999999</v>
      </c>
      <c r="J102" s="84"/>
      <c r="K102" s="79"/>
      <c r="M102" s="79"/>
    </row>
    <row r="103" spans="1:15" x14ac:dyDescent="0.2">
      <c r="A103" s="50"/>
      <c r="B103" s="49"/>
      <c r="C103" s="89" t="s">
        <v>299</v>
      </c>
      <c r="D103" s="43"/>
      <c r="E103" s="94"/>
      <c r="F103" s="43"/>
      <c r="G103" s="43"/>
      <c r="H103" s="43"/>
      <c r="I103" s="43"/>
      <c r="J103" s="86"/>
      <c r="K103" s="83"/>
      <c r="L103" s="85"/>
      <c r="M103" s="83"/>
      <c r="N103" s="44"/>
      <c r="O103" s="43"/>
    </row>
    <row r="104" spans="1:15" ht="25.5" x14ac:dyDescent="0.2">
      <c r="C104" s="15" t="s">
        <v>300</v>
      </c>
      <c r="D104" s="11" t="s">
        <v>301</v>
      </c>
      <c r="E104" s="88">
        <v>20</v>
      </c>
      <c r="F104" s="11" t="s">
        <v>274</v>
      </c>
      <c r="G104" s="11"/>
      <c r="H104" s="11" t="s">
        <v>302</v>
      </c>
      <c r="I104" s="11">
        <v>321.11700000000002</v>
      </c>
      <c r="J104" s="84"/>
      <c r="K104" s="79"/>
      <c r="M104" s="79"/>
      <c r="N104" s="12" t="s">
        <v>66</v>
      </c>
      <c r="O104" s="11" t="s">
        <v>303</v>
      </c>
    </row>
    <row r="105" spans="1:15" ht="25.5" x14ac:dyDescent="0.2">
      <c r="C105" s="15" t="s">
        <v>304</v>
      </c>
      <c r="D105" s="11" t="s">
        <v>301</v>
      </c>
      <c r="E105" s="88">
        <v>10</v>
      </c>
      <c r="F105" s="11" t="s">
        <v>274</v>
      </c>
      <c r="G105" s="11"/>
      <c r="H105" s="11" t="s">
        <v>302</v>
      </c>
      <c r="I105" s="11">
        <v>321.11700000000002</v>
      </c>
      <c r="J105" s="84"/>
      <c r="K105" s="79"/>
      <c r="M105" s="79"/>
      <c r="N105" s="12" t="s">
        <v>66</v>
      </c>
      <c r="O105" s="11" t="s">
        <v>303</v>
      </c>
    </row>
    <row r="106" spans="1:15" ht="25.5" x14ac:dyDescent="0.2">
      <c r="C106" s="15" t="s">
        <v>305</v>
      </c>
      <c r="D106" s="11" t="s">
        <v>306</v>
      </c>
      <c r="E106" s="88">
        <v>7</v>
      </c>
      <c r="F106" s="11" t="s">
        <v>274</v>
      </c>
      <c r="G106" s="11"/>
      <c r="H106" s="11" t="s">
        <v>302</v>
      </c>
      <c r="I106" s="11">
        <v>321.11700000000002</v>
      </c>
      <c r="J106" s="84">
        <v>67</v>
      </c>
      <c r="K106" s="79">
        <v>5975</v>
      </c>
      <c r="L106" s="14">
        <v>53</v>
      </c>
      <c r="M106" s="79">
        <v>4850</v>
      </c>
      <c r="N106" s="12" t="s">
        <v>66</v>
      </c>
      <c r="O106" s="11">
        <v>50</v>
      </c>
    </row>
    <row r="107" spans="1:15" ht="25.5" x14ac:dyDescent="0.2">
      <c r="C107" s="15" t="s">
        <v>307</v>
      </c>
      <c r="D107" s="11" t="s">
        <v>143</v>
      </c>
      <c r="E107" s="88">
        <v>50</v>
      </c>
      <c r="F107" s="11" t="s">
        <v>274</v>
      </c>
      <c r="G107" s="11"/>
      <c r="H107" s="11" t="s">
        <v>302</v>
      </c>
      <c r="I107" s="11">
        <v>321.11700000000002</v>
      </c>
      <c r="J107" s="84"/>
      <c r="K107" s="79"/>
      <c r="M107" s="79"/>
      <c r="N107" s="12" t="s">
        <v>66</v>
      </c>
      <c r="O107" s="11" t="s">
        <v>303</v>
      </c>
    </row>
    <row r="108" spans="1:15" ht="25.5" x14ac:dyDescent="0.2">
      <c r="C108" s="15" t="s">
        <v>308</v>
      </c>
      <c r="D108" s="11" t="s">
        <v>301</v>
      </c>
      <c r="E108" s="88" t="s">
        <v>309</v>
      </c>
      <c r="F108" s="11" t="s">
        <v>274</v>
      </c>
      <c r="G108" s="11"/>
      <c r="H108" s="11" t="s">
        <v>302</v>
      </c>
      <c r="I108" s="11"/>
      <c r="J108" s="84"/>
      <c r="K108" s="79"/>
      <c r="M108" s="79"/>
      <c r="N108" s="12" t="s">
        <v>66</v>
      </c>
      <c r="O108" s="11" t="s">
        <v>303</v>
      </c>
    </row>
    <row r="109" spans="1:15" ht="25.5" x14ac:dyDescent="0.2">
      <c r="C109" s="15" t="s">
        <v>310</v>
      </c>
      <c r="D109" s="11" t="s">
        <v>143</v>
      </c>
      <c r="E109" s="88">
        <v>25</v>
      </c>
      <c r="F109" s="11" t="s">
        <v>274</v>
      </c>
      <c r="G109" s="11"/>
      <c r="H109" s="11" t="s">
        <v>311</v>
      </c>
      <c r="I109" s="11">
        <v>321.11900000000003</v>
      </c>
      <c r="J109" s="84"/>
      <c r="K109" s="79"/>
      <c r="M109" s="79"/>
      <c r="N109" s="12" t="s">
        <v>66</v>
      </c>
      <c r="O109" s="11" t="s">
        <v>303</v>
      </c>
    </row>
    <row r="110" spans="1:15" ht="76.5" x14ac:dyDescent="0.2">
      <c r="C110" s="15" t="s">
        <v>312</v>
      </c>
      <c r="D110" s="11" t="s">
        <v>313</v>
      </c>
      <c r="E110" s="95" t="s">
        <v>314</v>
      </c>
      <c r="F110" s="11" t="s">
        <v>274</v>
      </c>
      <c r="G110" s="11"/>
      <c r="H110" s="11" t="s">
        <v>315</v>
      </c>
      <c r="I110" s="11">
        <v>321.12099999999998</v>
      </c>
      <c r="J110" s="84"/>
      <c r="K110" s="79"/>
      <c r="M110" s="79"/>
      <c r="N110" s="12" t="s">
        <v>66</v>
      </c>
      <c r="O110" s="11" t="s">
        <v>303</v>
      </c>
    </row>
    <row r="111" spans="1:15" ht="51" x14ac:dyDescent="0.2">
      <c r="C111" s="15" t="s">
        <v>316</v>
      </c>
      <c r="D111" s="11" t="s">
        <v>313</v>
      </c>
      <c r="E111" s="95" t="s">
        <v>317</v>
      </c>
      <c r="F111" s="11" t="s">
        <v>274</v>
      </c>
      <c r="G111" s="11"/>
      <c r="H111" s="11" t="s">
        <v>315</v>
      </c>
      <c r="I111" s="11">
        <v>321.12099999999998</v>
      </c>
      <c r="J111" s="84"/>
      <c r="K111" s="79"/>
      <c r="M111" s="79"/>
      <c r="N111" s="12" t="s">
        <v>66</v>
      </c>
      <c r="O111" s="11" t="s">
        <v>303</v>
      </c>
    </row>
    <row r="112" spans="1:15" ht="51" x14ac:dyDescent="0.2">
      <c r="C112" s="15" t="s">
        <v>318</v>
      </c>
      <c r="D112" s="11" t="s">
        <v>319</v>
      </c>
      <c r="E112" s="95" t="s">
        <v>320</v>
      </c>
      <c r="F112" s="11" t="s">
        <v>274</v>
      </c>
      <c r="G112" s="11"/>
      <c r="H112" s="11" t="s">
        <v>321</v>
      </c>
      <c r="I112" s="11">
        <v>321.12200000000001</v>
      </c>
      <c r="J112" s="84"/>
      <c r="K112" s="79"/>
      <c r="M112" s="79"/>
      <c r="N112" s="12" t="s">
        <v>66</v>
      </c>
      <c r="O112" s="11" t="s">
        <v>303</v>
      </c>
    </row>
    <row r="113" spans="3:15" ht="38.25" x14ac:dyDescent="0.2">
      <c r="C113" s="15" t="s">
        <v>322</v>
      </c>
      <c r="D113" s="11" t="s">
        <v>319</v>
      </c>
      <c r="E113" s="92" t="s">
        <v>323</v>
      </c>
      <c r="F113" s="11" t="s">
        <v>274</v>
      </c>
      <c r="G113" s="11"/>
      <c r="H113" s="11" t="s">
        <v>321</v>
      </c>
      <c r="I113" s="11">
        <v>321.12200000000001</v>
      </c>
      <c r="J113" s="84"/>
      <c r="K113" s="79"/>
      <c r="M113" s="79"/>
      <c r="N113" s="12" t="s">
        <v>66</v>
      </c>
      <c r="O113" s="11" t="s">
        <v>303</v>
      </c>
    </row>
    <row r="114" spans="3:15" ht="51" hidden="1" x14ac:dyDescent="0.2">
      <c r="C114" s="64" t="s">
        <v>324</v>
      </c>
      <c r="D114" s="62" t="s">
        <v>319</v>
      </c>
      <c r="E114" s="96" t="s">
        <v>325</v>
      </c>
      <c r="F114" s="62" t="s">
        <v>274</v>
      </c>
      <c r="G114" s="62"/>
      <c r="H114" s="62" t="s">
        <v>326</v>
      </c>
      <c r="I114" s="62">
        <v>321.12200000000001</v>
      </c>
      <c r="J114" s="84"/>
      <c r="K114" s="79"/>
      <c r="M114" s="79"/>
      <c r="O114" s="11" t="s">
        <v>303</v>
      </c>
    </row>
    <row r="115" spans="3:15" ht="51" x14ac:dyDescent="0.2">
      <c r="C115" s="15" t="s">
        <v>327</v>
      </c>
      <c r="D115" s="11" t="s">
        <v>319</v>
      </c>
      <c r="E115" s="95" t="s">
        <v>328</v>
      </c>
      <c r="F115" s="11" t="s">
        <v>274</v>
      </c>
      <c r="G115" s="11"/>
      <c r="H115" s="11" t="s">
        <v>321</v>
      </c>
      <c r="I115" s="11">
        <v>321.12200000000001</v>
      </c>
      <c r="J115" s="84"/>
      <c r="K115" s="79"/>
      <c r="M115" s="79"/>
      <c r="N115" s="12" t="s">
        <v>66</v>
      </c>
      <c r="O115" s="11" t="s">
        <v>303</v>
      </c>
    </row>
    <row r="116" spans="3:15" ht="25.5" x14ac:dyDescent="0.2">
      <c r="C116" s="15" t="s">
        <v>329</v>
      </c>
      <c r="D116" s="11" t="s">
        <v>319</v>
      </c>
      <c r="E116" s="92" t="s">
        <v>330</v>
      </c>
      <c r="F116" s="11" t="s">
        <v>274</v>
      </c>
      <c r="G116" s="11"/>
      <c r="H116" s="11" t="s">
        <v>321</v>
      </c>
      <c r="I116" s="11">
        <v>321.12200000000001</v>
      </c>
      <c r="J116" s="84"/>
      <c r="K116" s="79"/>
      <c r="M116" s="79"/>
      <c r="N116" s="12" t="s">
        <v>66</v>
      </c>
      <c r="O116" s="11" t="s">
        <v>303</v>
      </c>
    </row>
    <row r="117" spans="3:15" ht="25.5" x14ac:dyDescent="0.2">
      <c r="C117" s="15" t="s">
        <v>331</v>
      </c>
      <c r="D117" s="11" t="s">
        <v>319</v>
      </c>
      <c r="E117" s="95" t="s">
        <v>332</v>
      </c>
      <c r="F117" s="11" t="s">
        <v>274</v>
      </c>
      <c r="G117" s="11"/>
      <c r="H117" s="11" t="s">
        <v>321</v>
      </c>
      <c r="I117" s="11">
        <v>321.12200000000001</v>
      </c>
      <c r="J117" s="84"/>
      <c r="K117" s="79"/>
      <c r="M117" s="79"/>
      <c r="N117" s="12" t="s">
        <v>66</v>
      </c>
      <c r="O117" s="11" t="s">
        <v>303</v>
      </c>
    </row>
    <row r="118" spans="3:15" ht="38.25" x14ac:dyDescent="0.2">
      <c r="C118" s="15" t="s">
        <v>333</v>
      </c>
      <c r="D118" s="11" t="s">
        <v>319</v>
      </c>
      <c r="E118" s="92" t="s">
        <v>334</v>
      </c>
      <c r="F118" s="11" t="s">
        <v>274</v>
      </c>
      <c r="G118" s="11"/>
      <c r="H118" s="11" t="s">
        <v>321</v>
      </c>
      <c r="I118" s="11">
        <v>321.12200000000001</v>
      </c>
      <c r="J118" s="84"/>
      <c r="K118" s="79"/>
      <c r="M118" s="79"/>
      <c r="N118" s="12" t="s">
        <v>66</v>
      </c>
      <c r="O118" s="11" t="s">
        <v>303</v>
      </c>
    </row>
    <row r="119" spans="3:15" ht="25.5" x14ac:dyDescent="0.2">
      <c r="C119" s="15" t="s">
        <v>335</v>
      </c>
      <c r="D119" s="11" t="s">
        <v>143</v>
      </c>
      <c r="E119" s="95" t="s">
        <v>336</v>
      </c>
      <c r="F119" s="11" t="s">
        <v>274</v>
      </c>
      <c r="G119" s="11"/>
      <c r="H119" s="11" t="s">
        <v>337</v>
      </c>
      <c r="I119" s="11">
        <v>321.12400000000002</v>
      </c>
      <c r="J119" s="84"/>
      <c r="K119" s="79"/>
      <c r="M119" s="79"/>
      <c r="N119" s="12" t="s">
        <v>66</v>
      </c>
      <c r="O119" s="11" t="s">
        <v>303</v>
      </c>
    </row>
    <row r="120" spans="3:15" ht="25.5" x14ac:dyDescent="0.2">
      <c r="C120" s="15" t="s">
        <v>338</v>
      </c>
      <c r="D120" s="11" t="s">
        <v>143</v>
      </c>
      <c r="E120" s="95" t="s">
        <v>339</v>
      </c>
      <c r="F120" s="11" t="s">
        <v>274</v>
      </c>
      <c r="G120" s="11"/>
      <c r="H120" s="11" t="s">
        <v>337</v>
      </c>
      <c r="I120" s="11">
        <v>321.12400000000002</v>
      </c>
      <c r="J120" s="84"/>
      <c r="K120" s="79"/>
      <c r="M120" s="79"/>
      <c r="N120" s="12" t="s">
        <v>66</v>
      </c>
      <c r="O120" s="11" t="s">
        <v>303</v>
      </c>
    </row>
    <row r="121" spans="3:15" ht="25.5" x14ac:dyDescent="0.2">
      <c r="C121" s="15" t="s">
        <v>340</v>
      </c>
      <c r="D121" s="11" t="s">
        <v>143</v>
      </c>
      <c r="E121" s="95" t="s">
        <v>341</v>
      </c>
      <c r="F121" s="11" t="s">
        <v>274</v>
      </c>
      <c r="G121" s="11"/>
      <c r="H121" s="11" t="s">
        <v>337</v>
      </c>
      <c r="I121" s="11">
        <v>321.12400000000002</v>
      </c>
      <c r="J121" s="84"/>
      <c r="K121" s="79"/>
      <c r="M121" s="79"/>
      <c r="N121" s="12" t="s">
        <v>66</v>
      </c>
      <c r="O121" s="11" t="s">
        <v>303</v>
      </c>
    </row>
    <row r="122" spans="3:15" ht="25.5" x14ac:dyDescent="0.2">
      <c r="C122" s="15" t="s">
        <v>342</v>
      </c>
      <c r="D122" s="11" t="s">
        <v>143</v>
      </c>
      <c r="E122" s="95" t="s">
        <v>343</v>
      </c>
      <c r="F122" s="11" t="s">
        <v>274</v>
      </c>
      <c r="G122" s="11"/>
      <c r="H122" s="11" t="s">
        <v>337</v>
      </c>
      <c r="I122" s="11">
        <v>321.12400000000002</v>
      </c>
      <c r="J122" s="84"/>
      <c r="K122" s="79"/>
      <c r="M122" s="79"/>
      <c r="N122" s="12" t="s">
        <v>66</v>
      </c>
      <c r="O122" s="11" t="s">
        <v>303</v>
      </c>
    </row>
    <row r="123" spans="3:15" ht="38.25" x14ac:dyDescent="0.2">
      <c r="C123" s="15" t="s">
        <v>344</v>
      </c>
      <c r="D123" s="11" t="s">
        <v>143</v>
      </c>
      <c r="E123" s="95" t="s">
        <v>345</v>
      </c>
      <c r="F123" s="11" t="s">
        <v>274</v>
      </c>
      <c r="G123" s="11"/>
      <c r="H123" s="11" t="s">
        <v>337</v>
      </c>
      <c r="I123" s="11">
        <v>321.12400000000002</v>
      </c>
      <c r="J123" s="84"/>
      <c r="K123" s="79"/>
      <c r="M123" s="79"/>
      <c r="N123" s="12" t="s">
        <v>66</v>
      </c>
      <c r="O123" s="11" t="s">
        <v>303</v>
      </c>
    </row>
    <row r="124" spans="3:15" ht="25.5" x14ac:dyDescent="0.2">
      <c r="C124" s="15" t="s">
        <v>346</v>
      </c>
      <c r="D124" s="11" t="s">
        <v>143</v>
      </c>
      <c r="E124" s="95" t="s">
        <v>347</v>
      </c>
      <c r="F124" s="11" t="s">
        <v>274</v>
      </c>
      <c r="G124" s="11"/>
      <c r="H124" s="11" t="s">
        <v>337</v>
      </c>
      <c r="I124" s="11">
        <v>321.12400000000002</v>
      </c>
      <c r="J124" s="84"/>
      <c r="K124" s="79"/>
      <c r="M124" s="79"/>
      <c r="N124" s="12" t="s">
        <v>66</v>
      </c>
      <c r="O124" s="11" t="s">
        <v>303</v>
      </c>
    </row>
    <row r="125" spans="3:15" ht="25.5" x14ac:dyDescent="0.2">
      <c r="C125" s="15" t="s">
        <v>348</v>
      </c>
      <c r="D125" s="11" t="s">
        <v>143</v>
      </c>
      <c r="E125" s="95" t="s">
        <v>347</v>
      </c>
      <c r="F125" s="11" t="s">
        <v>274</v>
      </c>
      <c r="G125" s="11"/>
      <c r="H125" s="11" t="s">
        <v>337</v>
      </c>
      <c r="I125" s="11">
        <v>321.12400000000002</v>
      </c>
      <c r="J125" s="84"/>
      <c r="K125" s="79"/>
      <c r="M125" s="79"/>
      <c r="N125" s="12" t="s">
        <v>66</v>
      </c>
      <c r="O125" s="11" t="s">
        <v>303</v>
      </c>
    </row>
    <row r="126" spans="3:15" ht="76.5" x14ac:dyDescent="0.2">
      <c r="C126" s="15" t="s">
        <v>349</v>
      </c>
      <c r="D126" s="11" t="s">
        <v>350</v>
      </c>
      <c r="E126" s="95" t="s">
        <v>351</v>
      </c>
      <c r="F126" s="11" t="s">
        <v>274</v>
      </c>
      <c r="G126" s="11"/>
      <c r="H126" s="11" t="s">
        <v>337</v>
      </c>
      <c r="I126" s="11">
        <v>321.12400000000002</v>
      </c>
      <c r="J126" s="84"/>
      <c r="K126" s="79"/>
      <c r="M126" s="79"/>
      <c r="N126" s="12" t="s">
        <v>66</v>
      </c>
      <c r="O126" s="11" t="s">
        <v>303</v>
      </c>
    </row>
    <row r="127" spans="3:15" ht="25.5" x14ac:dyDescent="0.2">
      <c r="C127" s="15" t="s">
        <v>352</v>
      </c>
      <c r="D127" s="11" t="s">
        <v>350</v>
      </c>
      <c r="E127" s="88">
        <v>400</v>
      </c>
      <c r="F127" s="11" t="s">
        <v>274</v>
      </c>
      <c r="G127" s="11"/>
      <c r="H127" s="11" t="s">
        <v>337</v>
      </c>
      <c r="I127" s="11">
        <v>321.12400000000002</v>
      </c>
      <c r="J127" s="84"/>
      <c r="K127" s="79"/>
      <c r="M127" s="79"/>
      <c r="N127" s="12" t="s">
        <v>66</v>
      </c>
      <c r="O127" s="11" t="s">
        <v>303</v>
      </c>
    </row>
    <row r="128" spans="3:15" ht="25.5" x14ac:dyDescent="0.2">
      <c r="C128" s="15" t="s">
        <v>353</v>
      </c>
      <c r="D128" s="11" t="s">
        <v>350</v>
      </c>
      <c r="E128" s="88" t="s">
        <v>354</v>
      </c>
      <c r="F128" s="11" t="s">
        <v>355</v>
      </c>
      <c r="G128" s="11"/>
      <c r="H128" s="11" t="s">
        <v>337</v>
      </c>
      <c r="I128" s="11">
        <v>321.12400000000002</v>
      </c>
      <c r="J128" s="84"/>
      <c r="K128" s="79"/>
      <c r="M128" s="79"/>
      <c r="N128" s="12" t="s">
        <v>66</v>
      </c>
      <c r="O128" s="11" t="s">
        <v>303</v>
      </c>
    </row>
    <row r="129" spans="1:15" ht="25.5" x14ac:dyDescent="0.2">
      <c r="C129" s="15" t="s">
        <v>356</v>
      </c>
      <c r="D129" s="11" t="s">
        <v>143</v>
      </c>
      <c r="E129" s="88">
        <v>60</v>
      </c>
      <c r="F129" s="11" t="s">
        <v>274</v>
      </c>
      <c r="G129" s="11"/>
      <c r="H129" s="11" t="s">
        <v>337</v>
      </c>
      <c r="I129" s="11">
        <v>321.12400000000002</v>
      </c>
      <c r="J129" s="84"/>
      <c r="K129" s="79"/>
      <c r="M129" s="79"/>
      <c r="N129" s="12" t="s">
        <v>66</v>
      </c>
      <c r="O129" s="11" t="s">
        <v>303</v>
      </c>
    </row>
    <row r="130" spans="1:15" ht="25.5" x14ac:dyDescent="0.2">
      <c r="C130" s="15" t="s">
        <v>357</v>
      </c>
      <c r="D130" s="11" t="s">
        <v>143</v>
      </c>
      <c r="E130" s="92" t="s">
        <v>358</v>
      </c>
      <c r="F130" s="11" t="s">
        <v>359</v>
      </c>
      <c r="G130" s="11"/>
      <c r="H130" s="40">
        <v>43390</v>
      </c>
      <c r="I130" s="11" t="s">
        <v>360</v>
      </c>
      <c r="J130" s="84"/>
      <c r="K130" s="79"/>
      <c r="M130" s="79"/>
      <c r="O130" s="11" t="s">
        <v>303</v>
      </c>
    </row>
    <row r="131" spans="1:15" ht="38.25" x14ac:dyDescent="0.2">
      <c r="C131" s="15" t="s">
        <v>361</v>
      </c>
      <c r="D131" s="11" t="s">
        <v>143</v>
      </c>
      <c r="E131" s="95" t="s">
        <v>362</v>
      </c>
      <c r="F131" s="11" t="s">
        <v>363</v>
      </c>
      <c r="G131" s="11"/>
      <c r="H131" s="11" t="s">
        <v>364</v>
      </c>
      <c r="I131" s="11">
        <v>321.13400000000001</v>
      </c>
      <c r="J131" s="84">
        <f>1168368+69771</f>
        <v>1238139</v>
      </c>
      <c r="K131" s="79">
        <f>11995318.45+684453</f>
        <v>12679771.449999999</v>
      </c>
      <c r="L131" s="14">
        <f>1155700+65560</f>
        <v>1221260</v>
      </c>
      <c r="M131" s="79">
        <f>11983657+645600</f>
        <v>12629257</v>
      </c>
      <c r="N131" s="12" t="s">
        <v>66</v>
      </c>
      <c r="O131" s="11" t="s">
        <v>365</v>
      </c>
    </row>
    <row r="132" spans="1:15" ht="25.5" x14ac:dyDescent="0.2">
      <c r="C132" s="15" t="s">
        <v>366</v>
      </c>
      <c r="D132" s="11" t="s">
        <v>143</v>
      </c>
      <c r="E132" s="88" t="s">
        <v>367</v>
      </c>
      <c r="F132" s="11" t="s">
        <v>274</v>
      </c>
      <c r="G132" s="11"/>
      <c r="H132" s="11" t="s">
        <v>368</v>
      </c>
      <c r="I132" s="11">
        <v>321.15899999999999</v>
      </c>
      <c r="J132" s="84"/>
      <c r="K132" s="79"/>
      <c r="M132" s="79"/>
      <c r="N132" s="12" t="s">
        <v>66</v>
      </c>
      <c r="O132" s="11" t="s">
        <v>303</v>
      </c>
    </row>
    <row r="133" spans="1:15" ht="25.5" x14ac:dyDescent="0.2">
      <c r="B133" s="19" t="s">
        <v>145</v>
      </c>
      <c r="C133" s="15" t="s">
        <v>369</v>
      </c>
      <c r="D133" s="11" t="s">
        <v>19</v>
      </c>
      <c r="E133" s="92" t="s">
        <v>19</v>
      </c>
      <c r="F133" s="11"/>
      <c r="G133" s="80" t="s">
        <v>370</v>
      </c>
      <c r="H133" s="11"/>
      <c r="I133" s="11"/>
      <c r="J133" s="84">
        <f>220465+30</f>
        <v>220495</v>
      </c>
      <c r="K133" s="79">
        <f>36045956.96+5060.45</f>
        <v>36051017.410000004</v>
      </c>
      <c r="L133" s="14">
        <v>213465</v>
      </c>
      <c r="M133" s="79">
        <v>33797248</v>
      </c>
      <c r="N133" s="12" t="s">
        <v>66</v>
      </c>
      <c r="O133" s="11" t="s">
        <v>371</v>
      </c>
    </row>
    <row r="134" spans="1:15" ht="38.25" x14ac:dyDescent="0.2">
      <c r="B134" s="19" t="s">
        <v>141</v>
      </c>
      <c r="C134" s="15" t="s">
        <v>372</v>
      </c>
      <c r="D134" s="11" t="s">
        <v>143</v>
      </c>
      <c r="E134" s="88">
        <v>20</v>
      </c>
      <c r="F134" s="11" t="s">
        <v>274</v>
      </c>
      <c r="G134" s="11"/>
      <c r="H134" s="11" t="s">
        <v>373</v>
      </c>
      <c r="I134" s="11">
        <v>321.12299999999999</v>
      </c>
      <c r="J134" s="84">
        <v>1493394</v>
      </c>
      <c r="K134" s="79">
        <v>9231319.0500000007</v>
      </c>
      <c r="L134" s="14">
        <v>1470208</v>
      </c>
      <c r="M134" s="79">
        <v>9120094</v>
      </c>
      <c r="N134" s="12" t="s">
        <v>66</v>
      </c>
      <c r="O134" s="11">
        <v>237</v>
      </c>
    </row>
    <row r="135" spans="1:15" ht="38.25" x14ac:dyDescent="0.2">
      <c r="C135" s="15" t="s">
        <v>374</v>
      </c>
      <c r="D135" s="11" t="s">
        <v>143</v>
      </c>
      <c r="E135" s="88">
        <v>30</v>
      </c>
      <c r="F135" s="11" t="s">
        <v>274</v>
      </c>
      <c r="G135" s="11"/>
      <c r="H135" s="11" t="s">
        <v>373</v>
      </c>
      <c r="I135" s="11">
        <v>321.12299999999999</v>
      </c>
      <c r="J135" s="84">
        <v>970556</v>
      </c>
      <c r="K135" s="79">
        <v>8654819</v>
      </c>
      <c r="L135" s="14">
        <v>989994</v>
      </c>
      <c r="M135" s="79">
        <v>8806085</v>
      </c>
      <c r="N135" s="12" t="s">
        <v>66</v>
      </c>
      <c r="O135" s="11">
        <v>238</v>
      </c>
    </row>
    <row r="136" spans="1:15" ht="51" x14ac:dyDescent="0.2">
      <c r="C136" s="15" t="s">
        <v>375</v>
      </c>
      <c r="D136" s="11" t="s">
        <v>143</v>
      </c>
      <c r="E136" s="92" t="s">
        <v>376</v>
      </c>
      <c r="F136" s="11" t="s">
        <v>274</v>
      </c>
      <c r="G136" s="11"/>
      <c r="H136" s="11" t="s">
        <v>373</v>
      </c>
      <c r="I136" s="11">
        <v>321.12299999999999</v>
      </c>
      <c r="J136" s="84">
        <v>340689</v>
      </c>
      <c r="K136" s="79">
        <v>5303667</v>
      </c>
      <c r="L136" s="14">
        <v>330840</v>
      </c>
      <c r="M136" s="79">
        <v>5150302</v>
      </c>
      <c r="N136" s="12" t="s">
        <v>66</v>
      </c>
      <c r="O136" s="11">
        <v>239</v>
      </c>
    </row>
    <row r="137" spans="1:15" ht="89.25" x14ac:dyDescent="0.2">
      <c r="A137" s="50"/>
      <c r="B137" s="49" t="s">
        <v>19</v>
      </c>
      <c r="C137" s="48" t="s">
        <v>377</v>
      </c>
      <c r="D137" s="43"/>
      <c r="E137" s="94"/>
      <c r="F137" s="43"/>
      <c r="G137" s="43" t="s">
        <v>378</v>
      </c>
      <c r="H137" s="43" t="s">
        <v>271</v>
      </c>
      <c r="I137" s="43"/>
      <c r="J137" s="86"/>
      <c r="K137" s="83"/>
      <c r="L137" s="85"/>
      <c r="M137" s="83"/>
      <c r="N137" s="44"/>
      <c r="O137" s="43"/>
    </row>
    <row r="138" spans="1:15" ht="25.5" x14ac:dyDescent="0.2">
      <c r="A138" s="50"/>
      <c r="B138" s="49" t="s">
        <v>19</v>
      </c>
      <c r="C138" s="89" t="s">
        <v>379</v>
      </c>
      <c r="D138" s="43"/>
      <c r="E138" s="94" t="s">
        <v>19</v>
      </c>
      <c r="F138" s="43"/>
      <c r="G138" s="43" t="s">
        <v>380</v>
      </c>
      <c r="H138" s="43"/>
      <c r="I138" s="43">
        <v>321.15199999999999</v>
      </c>
      <c r="J138" s="86"/>
      <c r="K138" s="83"/>
      <c r="L138" s="85"/>
      <c r="M138" s="83"/>
      <c r="N138" s="44" t="s">
        <v>66</v>
      </c>
      <c r="O138" s="43"/>
    </row>
    <row r="139" spans="1:15" ht="25.5" x14ac:dyDescent="0.2">
      <c r="C139" s="15" t="s">
        <v>381</v>
      </c>
      <c r="D139" s="11" t="s">
        <v>143</v>
      </c>
      <c r="E139" s="93">
        <v>0.04</v>
      </c>
      <c r="F139" s="11" t="s">
        <v>136</v>
      </c>
      <c r="G139" s="11" t="s">
        <v>380</v>
      </c>
      <c r="H139" s="11" t="s">
        <v>382</v>
      </c>
      <c r="I139" s="11">
        <v>321.15199999999999</v>
      </c>
      <c r="J139" s="84"/>
      <c r="K139" s="79"/>
      <c r="M139" s="79"/>
      <c r="N139" s="12" t="s">
        <v>66</v>
      </c>
    </row>
    <row r="140" spans="1:15" ht="25.5" x14ac:dyDescent="0.2">
      <c r="C140" s="15" t="s">
        <v>383</v>
      </c>
      <c r="D140" s="11" t="s">
        <v>143</v>
      </c>
      <c r="E140" s="92" t="s">
        <v>383</v>
      </c>
      <c r="F140" s="11" t="s">
        <v>136</v>
      </c>
      <c r="G140" s="11" t="s">
        <v>380</v>
      </c>
      <c r="H140" s="11" t="s">
        <v>382</v>
      </c>
      <c r="I140" s="11">
        <v>321.15199999999999</v>
      </c>
      <c r="J140" s="84"/>
      <c r="K140" s="79"/>
      <c r="M140" s="79"/>
      <c r="N140" s="12" t="s">
        <v>66</v>
      </c>
    </row>
    <row r="141" spans="1:15" ht="38.25" x14ac:dyDescent="0.2">
      <c r="C141" s="15" t="s">
        <v>384</v>
      </c>
      <c r="D141" s="11" t="s">
        <v>143</v>
      </c>
      <c r="E141" s="92" t="s">
        <v>385</v>
      </c>
      <c r="F141" s="11" t="s">
        <v>136</v>
      </c>
      <c r="G141" s="11" t="s">
        <v>380</v>
      </c>
      <c r="H141" s="11" t="s">
        <v>382</v>
      </c>
      <c r="I141" s="11">
        <v>321.15199999999999</v>
      </c>
      <c r="J141" s="84"/>
      <c r="K141" s="79"/>
      <c r="M141" s="79"/>
      <c r="N141" s="12" t="s">
        <v>66</v>
      </c>
    </row>
    <row r="142" spans="1:15" ht="25.5" x14ac:dyDescent="0.2">
      <c r="C142" s="15" t="s">
        <v>386</v>
      </c>
      <c r="D142" s="11" t="s">
        <v>143</v>
      </c>
      <c r="E142" s="92" t="s">
        <v>386</v>
      </c>
      <c r="F142" s="11" t="s">
        <v>136</v>
      </c>
      <c r="G142" s="11" t="s">
        <v>380</v>
      </c>
      <c r="H142" s="11" t="s">
        <v>382</v>
      </c>
      <c r="I142" s="11">
        <v>321.15199999999999</v>
      </c>
      <c r="J142" s="84"/>
      <c r="K142" s="79"/>
      <c r="M142" s="79"/>
      <c r="N142" s="12" t="s">
        <v>66</v>
      </c>
    </row>
    <row r="143" spans="1:15" ht="25.5" x14ac:dyDescent="0.2">
      <c r="C143" s="15" t="s">
        <v>387</v>
      </c>
      <c r="D143" s="11" t="s">
        <v>143</v>
      </c>
      <c r="E143" s="92" t="s">
        <v>387</v>
      </c>
      <c r="F143" s="11" t="s">
        <v>136</v>
      </c>
      <c r="G143" s="11" t="s">
        <v>380</v>
      </c>
      <c r="H143" s="11" t="s">
        <v>382</v>
      </c>
      <c r="I143" s="11">
        <v>321.15199999999999</v>
      </c>
      <c r="J143" s="84"/>
      <c r="K143" s="79"/>
      <c r="M143" s="79"/>
      <c r="N143" s="12" t="s">
        <v>66</v>
      </c>
    </row>
    <row r="144" spans="1:15" ht="38.25" x14ac:dyDescent="0.2">
      <c r="C144" s="15" t="s">
        <v>388</v>
      </c>
      <c r="D144" s="11" t="s">
        <v>143</v>
      </c>
      <c r="E144" s="92" t="s">
        <v>388</v>
      </c>
      <c r="F144" s="11" t="s">
        <v>136</v>
      </c>
      <c r="G144" s="11" t="s">
        <v>380</v>
      </c>
      <c r="H144" s="11" t="s">
        <v>382</v>
      </c>
      <c r="I144" s="11">
        <v>321.15199999999999</v>
      </c>
      <c r="J144" s="84"/>
      <c r="K144" s="79"/>
      <c r="M144" s="79"/>
      <c r="N144" s="12" t="s">
        <v>66</v>
      </c>
    </row>
    <row r="145" spans="1:15" ht="38.25" x14ac:dyDescent="0.2">
      <c r="C145" s="15" t="s">
        <v>389</v>
      </c>
      <c r="D145" s="11" t="s">
        <v>143</v>
      </c>
      <c r="E145" s="92" t="s">
        <v>390</v>
      </c>
      <c r="F145" s="11" t="s">
        <v>136</v>
      </c>
      <c r="G145" s="11" t="s">
        <v>380</v>
      </c>
      <c r="H145" s="11" t="s">
        <v>382</v>
      </c>
      <c r="I145" s="11">
        <v>321.15199999999999</v>
      </c>
      <c r="J145" s="84"/>
      <c r="K145" s="79"/>
      <c r="M145" s="79"/>
      <c r="N145" s="12" t="s">
        <v>66</v>
      </c>
    </row>
    <row r="146" spans="1:15" x14ac:dyDescent="0.2">
      <c r="A146" s="50"/>
      <c r="B146" s="19" t="s">
        <v>145</v>
      </c>
      <c r="C146" s="91" t="s">
        <v>391</v>
      </c>
      <c r="D146" s="11"/>
      <c r="E146" s="42"/>
      <c r="F146" s="11"/>
      <c r="G146" s="80" t="s">
        <v>251</v>
      </c>
      <c r="H146" s="11"/>
      <c r="I146" s="11"/>
      <c r="J146" s="86"/>
      <c r="K146" s="83"/>
      <c r="L146" s="1"/>
      <c r="M146" s="83"/>
      <c r="N146" s="44"/>
      <c r="O146" s="43"/>
    </row>
    <row r="147" spans="1:15" ht="38.25" x14ac:dyDescent="0.2">
      <c r="C147" s="15" t="s">
        <v>392</v>
      </c>
      <c r="D147" s="11" t="s">
        <v>393</v>
      </c>
      <c r="E147" s="42">
        <v>25</v>
      </c>
      <c r="F147" s="11" t="s">
        <v>274</v>
      </c>
      <c r="G147" s="11"/>
      <c r="H147" s="40" t="s">
        <v>394</v>
      </c>
      <c r="I147" s="11" t="s">
        <v>395</v>
      </c>
      <c r="J147" s="84"/>
      <c r="K147" s="79"/>
      <c r="M147" s="79"/>
      <c r="N147" s="12" t="s">
        <v>66</v>
      </c>
    </row>
    <row r="148" spans="1:15" ht="25.5" x14ac:dyDescent="0.2">
      <c r="C148" s="15" t="s">
        <v>396</v>
      </c>
      <c r="D148" s="11" t="s">
        <v>397</v>
      </c>
      <c r="E148" s="42">
        <v>25</v>
      </c>
      <c r="F148" s="11" t="s">
        <v>274</v>
      </c>
      <c r="G148" s="11"/>
      <c r="H148" s="40" t="s">
        <v>394</v>
      </c>
      <c r="I148" s="11" t="s">
        <v>398</v>
      </c>
      <c r="J148" s="84"/>
      <c r="K148" s="79"/>
      <c r="M148" s="79"/>
      <c r="N148" s="12" t="s">
        <v>66</v>
      </c>
    </row>
    <row r="149" spans="1:15" ht="25.5" x14ac:dyDescent="0.2">
      <c r="C149" s="15" t="s">
        <v>399</v>
      </c>
      <c r="D149" s="11" t="s">
        <v>400</v>
      </c>
      <c r="E149" s="88">
        <v>10</v>
      </c>
      <c r="F149" s="11" t="s">
        <v>359</v>
      </c>
      <c r="G149" s="11"/>
      <c r="H149" s="11" t="s">
        <v>401</v>
      </c>
      <c r="I149" s="11" t="s">
        <v>402</v>
      </c>
      <c r="J149" s="84"/>
      <c r="K149" s="79"/>
      <c r="M149" s="79"/>
      <c r="N149" s="12" t="s">
        <v>66</v>
      </c>
      <c r="O149" s="11" t="s">
        <v>403</v>
      </c>
    </row>
    <row r="150" spans="1:15" ht="38.25" x14ac:dyDescent="0.2">
      <c r="C150" s="15" t="s">
        <v>404</v>
      </c>
      <c r="D150" s="11" t="s">
        <v>405</v>
      </c>
      <c r="E150" s="42">
        <v>10</v>
      </c>
      <c r="F150" s="11" t="s">
        <v>359</v>
      </c>
      <c r="G150" s="11"/>
      <c r="H150" s="11" t="s">
        <v>406</v>
      </c>
      <c r="I150" s="11" t="s">
        <v>407</v>
      </c>
      <c r="J150" s="84"/>
      <c r="K150" s="79"/>
      <c r="M150" s="79"/>
      <c r="N150" s="12" t="s">
        <v>66</v>
      </c>
      <c r="O150" s="11" t="s">
        <v>408</v>
      </c>
    </row>
    <row r="151" spans="1:15" ht="38.25" hidden="1" x14ac:dyDescent="0.2">
      <c r="C151" s="64" t="s">
        <v>409</v>
      </c>
      <c r="D151" s="62" t="s">
        <v>405</v>
      </c>
      <c r="E151" s="75" t="s">
        <v>410</v>
      </c>
      <c r="F151" s="62" t="s">
        <v>411</v>
      </c>
      <c r="G151" s="62"/>
      <c r="H151" s="62" t="s">
        <v>406</v>
      </c>
      <c r="I151" s="62" t="s">
        <v>407</v>
      </c>
      <c r="J151" s="84"/>
      <c r="K151" s="79"/>
      <c r="M151" s="79"/>
      <c r="N151" s="12" t="s">
        <v>66</v>
      </c>
    </row>
    <row r="152" spans="1:15" ht="25.5" x14ac:dyDescent="0.2">
      <c r="C152" s="15" t="s">
        <v>412</v>
      </c>
      <c r="D152" s="11" t="s">
        <v>413</v>
      </c>
      <c r="E152" s="88" t="s">
        <v>414</v>
      </c>
      <c r="F152" s="11" t="s">
        <v>415</v>
      </c>
      <c r="G152" s="11"/>
      <c r="H152" s="90" t="s">
        <v>416</v>
      </c>
      <c r="I152" s="11" t="s">
        <v>417</v>
      </c>
      <c r="J152" s="84"/>
      <c r="K152" s="79"/>
      <c r="M152" s="79"/>
      <c r="N152" s="12" t="s">
        <v>66</v>
      </c>
      <c r="O152" s="11" t="s">
        <v>403</v>
      </c>
    </row>
    <row r="153" spans="1:15" ht="25.5" x14ac:dyDescent="0.2">
      <c r="C153" s="15" t="s">
        <v>418</v>
      </c>
      <c r="D153" s="11" t="s">
        <v>419</v>
      </c>
      <c r="E153" s="88" t="s">
        <v>420</v>
      </c>
      <c r="F153" s="11" t="s">
        <v>359</v>
      </c>
      <c r="G153" s="11"/>
      <c r="H153" s="11" t="s">
        <v>421</v>
      </c>
      <c r="I153" s="11" t="s">
        <v>422</v>
      </c>
      <c r="J153" s="84">
        <v>49146</v>
      </c>
      <c r="K153" s="79">
        <v>365248</v>
      </c>
      <c r="L153" s="14">
        <v>50355</v>
      </c>
      <c r="M153" s="79">
        <v>374240</v>
      </c>
      <c r="N153" s="12" t="s">
        <v>66</v>
      </c>
      <c r="O153" s="11">
        <v>1037</v>
      </c>
    </row>
    <row r="154" spans="1:15" x14ac:dyDescent="0.2">
      <c r="A154" s="50"/>
      <c r="B154" s="49"/>
      <c r="C154" s="89" t="s">
        <v>423</v>
      </c>
      <c r="D154" s="43"/>
      <c r="E154" s="47" t="s">
        <v>424</v>
      </c>
      <c r="F154" s="43"/>
      <c r="G154" s="43"/>
      <c r="H154" s="43"/>
      <c r="I154" s="43">
        <v>321.19099999999997</v>
      </c>
      <c r="J154" s="86"/>
      <c r="K154" s="83"/>
      <c r="L154" s="85"/>
      <c r="M154" s="83"/>
      <c r="N154" s="44"/>
      <c r="O154" s="43"/>
    </row>
    <row r="155" spans="1:15" ht="25.5" x14ac:dyDescent="0.2">
      <c r="C155" s="15" t="s">
        <v>425</v>
      </c>
      <c r="D155" s="11" t="s">
        <v>400</v>
      </c>
      <c r="E155" s="42">
        <v>6</v>
      </c>
      <c r="F155" s="11" t="s">
        <v>359</v>
      </c>
      <c r="G155" s="11"/>
      <c r="H155" s="11" t="s">
        <v>426</v>
      </c>
      <c r="I155" s="11">
        <v>321.19099999999997</v>
      </c>
      <c r="J155" s="84">
        <v>53743</v>
      </c>
      <c r="K155" s="79">
        <v>322878</v>
      </c>
      <c r="L155" s="14">
        <v>53661</v>
      </c>
      <c r="M155" s="79">
        <v>321842</v>
      </c>
      <c r="N155" s="12" t="s">
        <v>66</v>
      </c>
      <c r="O155" s="11">
        <v>1002</v>
      </c>
    </row>
    <row r="156" spans="1:15" ht="38.25" x14ac:dyDescent="0.2">
      <c r="C156" s="15" t="s">
        <v>427</v>
      </c>
      <c r="D156" s="11" t="s">
        <v>400</v>
      </c>
      <c r="E156" s="42">
        <v>10</v>
      </c>
      <c r="F156" s="11" t="s">
        <v>359</v>
      </c>
      <c r="G156" s="11"/>
      <c r="H156" s="11" t="s">
        <v>426</v>
      </c>
      <c r="I156" s="11">
        <v>321.19099999999997</v>
      </c>
      <c r="J156" s="84">
        <f>1897+3388+50</f>
        <v>5335</v>
      </c>
      <c r="K156" s="79">
        <f>15160+27068+446</f>
        <v>42674</v>
      </c>
      <c r="L156" s="14">
        <f>1683+3245+48</f>
        <v>4976</v>
      </c>
      <c r="M156" s="79">
        <f>13448+25932+480</f>
        <v>39860</v>
      </c>
      <c r="N156" s="12" t="s">
        <v>66</v>
      </c>
      <c r="O156" s="11" t="s">
        <v>428</v>
      </c>
    </row>
    <row r="157" spans="1:15" ht="25.5" x14ac:dyDescent="0.2">
      <c r="C157" s="15" t="s">
        <v>429</v>
      </c>
      <c r="D157" s="11" t="s">
        <v>400</v>
      </c>
      <c r="E157" s="88">
        <v>12</v>
      </c>
      <c r="F157" s="11" t="s">
        <v>359</v>
      </c>
      <c r="G157" s="11"/>
      <c r="H157" s="11" t="s">
        <v>426</v>
      </c>
      <c r="I157" s="11">
        <v>321.19099999999997</v>
      </c>
      <c r="J157" s="84">
        <f>6858+2390</f>
        <v>9248</v>
      </c>
      <c r="K157" s="79">
        <f>81990+3830</f>
        <v>85820</v>
      </c>
      <c r="L157" s="14">
        <f>7025+779</f>
        <v>7804</v>
      </c>
      <c r="M157" s="79">
        <f>84090+2640</f>
        <v>86730</v>
      </c>
      <c r="N157" s="12" t="s">
        <v>66</v>
      </c>
      <c r="O157" s="11" t="s">
        <v>430</v>
      </c>
    </row>
    <row r="158" spans="1:15" ht="38.25" x14ac:dyDescent="0.2">
      <c r="C158" s="15" t="s">
        <v>431</v>
      </c>
      <c r="D158" s="11" t="s">
        <v>400</v>
      </c>
      <c r="E158" s="42" t="s">
        <v>432</v>
      </c>
      <c r="F158" s="11" t="s">
        <v>359</v>
      </c>
      <c r="G158" s="11"/>
      <c r="H158" s="11" t="s">
        <v>426</v>
      </c>
      <c r="I158" s="11">
        <v>321.19099999999997</v>
      </c>
      <c r="J158" s="84">
        <f>367163+31395+4</f>
        <v>398562</v>
      </c>
      <c r="K158" s="79">
        <f>9531298+251032+32</f>
        <v>9782362</v>
      </c>
      <c r="L158" s="14">
        <f>360818+1+30817</f>
        <v>391636</v>
      </c>
      <c r="M158" s="79">
        <f>9240416+8+246338</f>
        <v>9486762</v>
      </c>
      <c r="N158" s="12" t="s">
        <v>66</v>
      </c>
      <c r="O158" s="11" t="s">
        <v>433</v>
      </c>
    </row>
    <row r="159" spans="1:15" ht="25.5" hidden="1" x14ac:dyDescent="0.2">
      <c r="C159" s="64" t="s">
        <v>434</v>
      </c>
      <c r="D159" s="62" t="s">
        <v>435</v>
      </c>
      <c r="E159" s="75" t="s">
        <v>432</v>
      </c>
      <c r="F159" s="62" t="s">
        <v>411</v>
      </c>
      <c r="G159" s="62"/>
      <c r="H159" s="62" t="s">
        <v>436</v>
      </c>
      <c r="I159" s="62" t="s">
        <v>437</v>
      </c>
      <c r="J159" s="84"/>
      <c r="K159" s="79"/>
      <c r="M159" s="79"/>
      <c r="N159" s="12" t="s">
        <v>66</v>
      </c>
    </row>
    <row r="160" spans="1:15" ht="25.5" x14ac:dyDescent="0.2">
      <c r="C160" s="15" t="s">
        <v>438</v>
      </c>
      <c r="D160" s="11" t="s">
        <v>400</v>
      </c>
      <c r="E160" s="42" t="s">
        <v>439</v>
      </c>
      <c r="F160" s="11" t="s">
        <v>359</v>
      </c>
      <c r="G160" s="11"/>
      <c r="H160" s="11" t="s">
        <v>426</v>
      </c>
      <c r="I160" s="11">
        <v>321.19099999999997</v>
      </c>
      <c r="J160" s="84">
        <v>9177</v>
      </c>
      <c r="K160" s="79">
        <v>347772</v>
      </c>
      <c r="L160" s="14">
        <v>10427</v>
      </c>
      <c r="M160" s="79">
        <v>350432</v>
      </c>
      <c r="N160" s="12" t="s">
        <v>66</v>
      </c>
      <c r="O160" s="11">
        <v>1084</v>
      </c>
    </row>
    <row r="161" spans="1:15" ht="51" x14ac:dyDescent="0.2">
      <c r="C161" s="15" t="s">
        <v>440</v>
      </c>
      <c r="D161" s="11" t="s">
        <v>400</v>
      </c>
      <c r="E161" s="42" t="s">
        <v>439</v>
      </c>
      <c r="F161" s="11" t="s">
        <v>359</v>
      </c>
      <c r="G161" s="11"/>
      <c r="H161" s="11" t="s">
        <v>426</v>
      </c>
      <c r="I161" s="11">
        <v>321.19099999999997</v>
      </c>
      <c r="J161" s="84">
        <f>24420+7191+473+698+2864</f>
        <v>35646</v>
      </c>
      <c r="K161" s="79">
        <f>1220414.5+347734+23336+6860+4027</f>
        <v>1602371.5</v>
      </c>
      <c r="L161" s="14">
        <f>29856+852+2388</f>
        <v>33096</v>
      </c>
      <c r="M161" s="79">
        <f>1506376+9960+23800</f>
        <v>1540136</v>
      </c>
      <c r="N161" s="12" t="s">
        <v>66</v>
      </c>
      <c r="O161" s="11" t="s">
        <v>441</v>
      </c>
    </row>
    <row r="162" spans="1:15" ht="25.5" hidden="1" x14ac:dyDescent="0.2">
      <c r="C162" s="64" t="s">
        <v>442</v>
      </c>
      <c r="D162" s="62" t="s">
        <v>400</v>
      </c>
      <c r="E162" s="75" t="s">
        <v>439</v>
      </c>
      <c r="F162" s="62" t="s">
        <v>411</v>
      </c>
      <c r="G162" s="62"/>
      <c r="H162" s="62" t="s">
        <v>436</v>
      </c>
      <c r="I162" s="62" t="s">
        <v>443</v>
      </c>
      <c r="J162" s="84"/>
      <c r="K162" s="79"/>
      <c r="M162" s="79"/>
      <c r="N162" s="12" t="s">
        <v>66</v>
      </c>
    </row>
    <row r="163" spans="1:15" ht="25.5" x14ac:dyDescent="0.2">
      <c r="C163" s="15" t="s">
        <v>444</v>
      </c>
      <c r="D163" s="11" t="s">
        <v>435</v>
      </c>
      <c r="E163" s="42" t="s">
        <v>445</v>
      </c>
      <c r="F163" s="11" t="s">
        <v>359</v>
      </c>
      <c r="G163" s="11"/>
      <c r="H163" s="11" t="s">
        <v>426</v>
      </c>
      <c r="I163" s="11">
        <v>321.19099999999997</v>
      </c>
      <c r="J163" s="84">
        <f>43897+18</f>
        <v>43915</v>
      </c>
      <c r="K163" s="79">
        <f>603866+268</f>
        <v>604134</v>
      </c>
      <c r="L163" s="14">
        <f>18+40968</f>
        <v>40986</v>
      </c>
      <c r="M163" s="79">
        <f>300+552968</f>
        <v>553268</v>
      </c>
      <c r="N163" s="12" t="s">
        <v>66</v>
      </c>
      <c r="O163" s="11" t="s">
        <v>446</v>
      </c>
    </row>
    <row r="164" spans="1:15" ht="25.5" x14ac:dyDescent="0.2">
      <c r="C164" s="15" t="s">
        <v>447</v>
      </c>
      <c r="D164" s="11" t="s">
        <v>400</v>
      </c>
      <c r="E164" s="42">
        <v>8</v>
      </c>
      <c r="F164" s="11" t="s">
        <v>359</v>
      </c>
      <c r="G164" s="11"/>
      <c r="H164" s="11" t="s">
        <v>426</v>
      </c>
      <c r="I164" s="11">
        <v>321.19099999999997</v>
      </c>
      <c r="J164" s="84">
        <v>1006</v>
      </c>
      <c r="K164" s="79">
        <v>158064</v>
      </c>
      <c r="L164" s="14">
        <v>19255</v>
      </c>
      <c r="M164" s="79">
        <v>153964</v>
      </c>
      <c r="N164" s="12" t="s">
        <v>66</v>
      </c>
      <c r="O164" s="11">
        <v>1006</v>
      </c>
    </row>
    <row r="165" spans="1:15" x14ac:dyDescent="0.2">
      <c r="A165" s="50"/>
      <c r="B165" s="49"/>
      <c r="C165" s="48" t="s">
        <v>448</v>
      </c>
      <c r="D165" s="43"/>
      <c r="E165" s="47" t="s">
        <v>19</v>
      </c>
      <c r="F165" s="43"/>
      <c r="G165" s="43"/>
      <c r="H165" s="43"/>
      <c r="I165" s="43"/>
      <c r="J165" s="86"/>
      <c r="K165" s="83"/>
      <c r="L165" s="85"/>
      <c r="M165" s="83"/>
      <c r="N165" s="44"/>
      <c r="O165" s="43"/>
    </row>
    <row r="166" spans="1:15" ht="38.25" x14ac:dyDescent="0.2">
      <c r="C166" s="15" t="s">
        <v>449</v>
      </c>
      <c r="D166" s="11" t="s">
        <v>400</v>
      </c>
      <c r="E166" s="42">
        <v>5</v>
      </c>
      <c r="F166" s="11" t="s">
        <v>359</v>
      </c>
      <c r="G166" s="11"/>
      <c r="H166" s="11" t="s">
        <v>426</v>
      </c>
      <c r="I166" s="11">
        <v>321.19099999999997</v>
      </c>
      <c r="J166" s="84">
        <f>2842+1007+1033</f>
        <v>4882</v>
      </c>
      <c r="K166" s="79">
        <f>14195+5015+16590</f>
        <v>35800</v>
      </c>
      <c r="L166" s="14">
        <f>6741</f>
        <v>6741</v>
      </c>
      <c r="M166" s="79">
        <f>33550</f>
        <v>33550</v>
      </c>
      <c r="N166" s="12" t="s">
        <v>66</v>
      </c>
      <c r="O166" s="11" t="s">
        <v>450</v>
      </c>
    </row>
    <row r="167" spans="1:15" ht="25.5" x14ac:dyDescent="0.2">
      <c r="C167" s="15" t="s">
        <v>451</v>
      </c>
      <c r="D167" s="11" t="s">
        <v>400</v>
      </c>
      <c r="E167" s="42">
        <v>10</v>
      </c>
      <c r="F167" s="11" t="s">
        <v>359</v>
      </c>
      <c r="G167" s="11"/>
      <c r="H167" s="11" t="s">
        <v>426</v>
      </c>
      <c r="I167" s="11">
        <v>321.19099999999997</v>
      </c>
      <c r="J167" s="84">
        <f>838+1283</f>
        <v>2121</v>
      </c>
      <c r="K167" s="79">
        <f>8330+12740</f>
        <v>21070</v>
      </c>
      <c r="L167" s="14">
        <f>1214+782</f>
        <v>1996</v>
      </c>
      <c r="M167" s="79">
        <f>12020+7770</f>
        <v>19790</v>
      </c>
      <c r="N167" s="12" t="s">
        <v>66</v>
      </c>
      <c r="O167" s="11" t="s">
        <v>452</v>
      </c>
    </row>
    <row r="168" spans="1:15" ht="25.5" x14ac:dyDescent="0.2">
      <c r="C168" s="15" t="s">
        <v>453</v>
      </c>
      <c r="D168" s="11" t="s">
        <v>400</v>
      </c>
      <c r="E168" s="42">
        <v>10</v>
      </c>
      <c r="F168" s="11" t="s">
        <v>359</v>
      </c>
      <c r="G168" s="11"/>
      <c r="H168" s="11" t="s">
        <v>426</v>
      </c>
      <c r="I168" s="11">
        <v>321.19099999999997</v>
      </c>
      <c r="J168" s="84">
        <v>7903</v>
      </c>
      <c r="K168" s="79">
        <v>78100</v>
      </c>
      <c r="L168" s="14">
        <v>6342</v>
      </c>
      <c r="M168" s="79">
        <v>62470</v>
      </c>
      <c r="N168" s="12" t="s">
        <v>66</v>
      </c>
      <c r="O168" s="11">
        <v>1036</v>
      </c>
    </row>
    <row r="169" spans="1:15" ht="25.5" x14ac:dyDescent="0.2">
      <c r="C169" s="15" t="s">
        <v>454</v>
      </c>
      <c r="D169" s="11" t="s">
        <v>400</v>
      </c>
      <c r="E169" s="42">
        <v>20</v>
      </c>
      <c r="F169" s="11" t="s">
        <v>359</v>
      </c>
      <c r="G169" s="11"/>
      <c r="H169" s="11" t="s">
        <v>426</v>
      </c>
      <c r="I169" s="11">
        <v>321.19099999999997</v>
      </c>
      <c r="J169" s="84">
        <v>33534</v>
      </c>
      <c r="K169" s="79">
        <v>667924</v>
      </c>
      <c r="L169" s="14">
        <v>33835</v>
      </c>
      <c r="M169" s="79">
        <v>674252</v>
      </c>
      <c r="N169" s="12" t="s">
        <v>66</v>
      </c>
      <c r="O169" s="11">
        <v>1048</v>
      </c>
    </row>
    <row r="170" spans="1:15" ht="25.5" x14ac:dyDescent="0.2">
      <c r="C170" s="15" t="s">
        <v>455</v>
      </c>
      <c r="D170" s="11" t="s">
        <v>400</v>
      </c>
      <c r="E170" s="42">
        <v>20</v>
      </c>
      <c r="F170" s="11" t="s">
        <v>359</v>
      </c>
      <c r="G170" s="11"/>
      <c r="H170" s="11" t="s">
        <v>426</v>
      </c>
      <c r="I170" s="11">
        <v>321.19099999999997</v>
      </c>
      <c r="J170" s="84"/>
      <c r="K170" s="79"/>
      <c r="M170" s="79"/>
      <c r="N170" s="12" t="s">
        <v>66</v>
      </c>
      <c r="O170" s="11" t="s">
        <v>456</v>
      </c>
    </row>
    <row r="171" spans="1:15" x14ac:dyDescent="0.2">
      <c r="A171" s="50"/>
      <c r="B171" s="49"/>
      <c r="C171" s="70" t="s">
        <v>457</v>
      </c>
      <c r="D171" s="43"/>
      <c r="E171" s="47"/>
      <c r="F171" s="43"/>
      <c r="G171" s="43"/>
      <c r="H171" s="87" t="s">
        <v>19</v>
      </c>
      <c r="I171" s="43">
        <v>321.19099999999997</v>
      </c>
      <c r="J171" s="86"/>
      <c r="K171" s="83"/>
      <c r="L171" s="85"/>
      <c r="M171" s="83"/>
      <c r="N171" s="44"/>
      <c r="O171" s="43"/>
    </row>
    <row r="172" spans="1:15" ht="25.5" x14ac:dyDescent="0.2">
      <c r="C172" s="15" t="s">
        <v>458</v>
      </c>
      <c r="D172" s="11" t="s">
        <v>400</v>
      </c>
      <c r="E172" s="42" t="s">
        <v>432</v>
      </c>
      <c r="F172" s="11" t="s">
        <v>359</v>
      </c>
      <c r="G172" s="11"/>
      <c r="H172" s="40">
        <v>41990</v>
      </c>
      <c r="I172" s="11" t="s">
        <v>459</v>
      </c>
      <c r="J172" s="84"/>
      <c r="K172" s="79"/>
      <c r="M172" s="79"/>
      <c r="N172" s="12" t="s">
        <v>66</v>
      </c>
      <c r="O172" s="11" t="s">
        <v>460</v>
      </c>
    </row>
    <row r="173" spans="1:15" ht="25.5" x14ac:dyDescent="0.2">
      <c r="C173" s="15" t="s">
        <v>461</v>
      </c>
      <c r="D173" s="11" t="s">
        <v>400</v>
      </c>
      <c r="E173" s="42" t="s">
        <v>432</v>
      </c>
      <c r="F173" s="11" t="s">
        <v>359</v>
      </c>
      <c r="G173" s="11"/>
      <c r="H173" s="40">
        <v>41990</v>
      </c>
      <c r="I173" s="11" t="s">
        <v>459</v>
      </c>
      <c r="J173" s="84"/>
      <c r="K173" s="79"/>
      <c r="M173" s="79"/>
      <c r="N173" s="12" t="s">
        <v>66</v>
      </c>
      <c r="O173" s="11" t="s">
        <v>460</v>
      </c>
    </row>
    <row r="174" spans="1:15" ht="25.5" x14ac:dyDescent="0.2">
      <c r="C174" s="15" t="s">
        <v>462</v>
      </c>
      <c r="D174" s="11" t="s">
        <v>400</v>
      </c>
      <c r="E174" s="42" t="s">
        <v>463</v>
      </c>
      <c r="F174" s="11" t="s">
        <v>359</v>
      </c>
      <c r="G174" s="11"/>
      <c r="H174" s="40">
        <v>41990</v>
      </c>
      <c r="I174" s="11" t="s">
        <v>459</v>
      </c>
      <c r="J174" s="84"/>
      <c r="K174" s="79"/>
      <c r="M174" s="79"/>
      <c r="N174" s="12" t="s">
        <v>66</v>
      </c>
      <c r="O174" s="11" t="s">
        <v>460</v>
      </c>
    </row>
    <row r="175" spans="1:15" ht="38.25" x14ac:dyDescent="0.2">
      <c r="C175" s="15" t="s">
        <v>464</v>
      </c>
      <c r="D175" s="11" t="s">
        <v>400</v>
      </c>
      <c r="E175" s="42" t="s">
        <v>432</v>
      </c>
      <c r="F175" s="11" t="s">
        <v>359</v>
      </c>
      <c r="G175" s="11"/>
      <c r="H175" s="40">
        <v>41990</v>
      </c>
      <c r="I175" s="11" t="s">
        <v>459</v>
      </c>
      <c r="J175" s="84"/>
      <c r="K175" s="79"/>
      <c r="M175" s="79"/>
      <c r="N175" s="12" t="s">
        <v>66</v>
      </c>
      <c r="O175" s="11" t="s">
        <v>460</v>
      </c>
    </row>
    <row r="176" spans="1:15" ht="25.5" x14ac:dyDescent="0.2">
      <c r="C176" s="15" t="s">
        <v>465</v>
      </c>
      <c r="D176" s="11" t="s">
        <v>400</v>
      </c>
      <c r="E176" s="42" t="s">
        <v>466</v>
      </c>
      <c r="F176" s="11" t="s">
        <v>359</v>
      </c>
      <c r="G176" s="11"/>
      <c r="H176" s="40">
        <v>41990</v>
      </c>
      <c r="I176" s="11" t="s">
        <v>459</v>
      </c>
      <c r="J176" s="84"/>
      <c r="K176" s="79"/>
      <c r="M176" s="79"/>
      <c r="N176" s="12" t="s">
        <v>66</v>
      </c>
      <c r="O176" s="11" t="s">
        <v>467</v>
      </c>
    </row>
    <row r="177" spans="1:15" x14ac:dyDescent="0.2">
      <c r="A177" s="50"/>
      <c r="B177" s="49" t="s">
        <v>54</v>
      </c>
      <c r="C177" s="48" t="s">
        <v>468</v>
      </c>
      <c r="D177" s="43"/>
      <c r="E177" s="47"/>
      <c r="F177" s="43"/>
      <c r="G177" s="46" t="s">
        <v>469</v>
      </c>
      <c r="H177" s="43"/>
      <c r="I177" s="43"/>
      <c r="J177" s="2"/>
      <c r="K177" s="83"/>
      <c r="L177" s="1"/>
      <c r="M177" s="83"/>
      <c r="N177" s="44"/>
      <c r="O177" s="43"/>
    </row>
    <row r="178" spans="1:15" ht="38.25" hidden="1" x14ac:dyDescent="0.2">
      <c r="B178" s="82" t="s">
        <v>470</v>
      </c>
      <c r="C178" s="81" t="s">
        <v>471</v>
      </c>
      <c r="D178" s="62" t="s">
        <v>472</v>
      </c>
      <c r="E178" s="75" t="s">
        <v>473</v>
      </c>
      <c r="F178" s="62"/>
      <c r="G178" s="62" t="s">
        <v>474</v>
      </c>
      <c r="H178" s="62" t="s">
        <v>475</v>
      </c>
      <c r="I178" s="62" t="s">
        <v>476</v>
      </c>
      <c r="J178" s="3">
        <v>5</v>
      </c>
      <c r="K178" s="79">
        <v>600</v>
      </c>
      <c r="L178" s="4"/>
      <c r="M178" s="79"/>
      <c r="O178" s="11" t="s">
        <v>477</v>
      </c>
    </row>
    <row r="179" spans="1:15" ht="25.5" hidden="1" x14ac:dyDescent="0.2">
      <c r="B179" s="82"/>
      <c r="C179" s="64" t="s">
        <v>478</v>
      </c>
      <c r="D179" s="62" t="s">
        <v>400</v>
      </c>
      <c r="E179" s="75" t="s">
        <v>473</v>
      </c>
      <c r="F179" s="62"/>
      <c r="G179" s="62" t="s">
        <v>170</v>
      </c>
      <c r="H179" s="62" t="s">
        <v>479</v>
      </c>
      <c r="I179" s="62"/>
      <c r="J179" s="3"/>
      <c r="K179" s="79"/>
      <c r="L179" s="4"/>
      <c r="M179" s="79"/>
    </row>
    <row r="180" spans="1:15" ht="51" hidden="1" x14ac:dyDescent="0.2">
      <c r="C180" s="81" t="s">
        <v>480</v>
      </c>
      <c r="D180" s="62" t="s">
        <v>481</v>
      </c>
      <c r="E180" s="75" t="s">
        <v>473</v>
      </c>
      <c r="F180" s="62" t="s">
        <v>411</v>
      </c>
      <c r="G180" s="62" t="s">
        <v>474</v>
      </c>
      <c r="H180" s="62" t="s">
        <v>482</v>
      </c>
      <c r="I180" s="62" t="s">
        <v>483</v>
      </c>
      <c r="J180" s="3"/>
      <c r="K180" s="79"/>
      <c r="L180" s="4"/>
      <c r="M180" s="79"/>
    </row>
    <row r="181" spans="1:15" ht="25.5" hidden="1" x14ac:dyDescent="0.2">
      <c r="C181" s="64" t="s">
        <v>478</v>
      </c>
      <c r="D181" s="62" t="s">
        <v>400</v>
      </c>
      <c r="E181" s="75" t="s">
        <v>473</v>
      </c>
      <c r="F181" s="62"/>
      <c r="G181" s="62" t="s">
        <v>170</v>
      </c>
      <c r="H181" s="62" t="s">
        <v>479</v>
      </c>
      <c r="I181" s="62" t="s">
        <v>484</v>
      </c>
      <c r="J181" s="3"/>
      <c r="K181" s="79"/>
      <c r="L181" s="4"/>
      <c r="M181" s="79"/>
    </row>
    <row r="182" spans="1:15" ht="25.5" x14ac:dyDescent="0.2">
      <c r="B182" s="19" t="s">
        <v>141</v>
      </c>
      <c r="C182" s="15" t="s">
        <v>485</v>
      </c>
      <c r="D182" s="11" t="s">
        <v>486</v>
      </c>
      <c r="E182" s="42">
        <v>4</v>
      </c>
      <c r="F182" s="11" t="s">
        <v>411</v>
      </c>
      <c r="G182" s="80" t="s">
        <v>176</v>
      </c>
      <c r="H182" s="11" t="s">
        <v>487</v>
      </c>
      <c r="I182" s="11">
        <v>321.27100000000002</v>
      </c>
      <c r="J182" s="3">
        <v>534</v>
      </c>
      <c r="K182" s="79">
        <v>9212</v>
      </c>
      <c r="L182" s="4">
        <v>491</v>
      </c>
      <c r="M182" s="79">
        <v>9284</v>
      </c>
      <c r="N182" s="12" t="s">
        <v>66</v>
      </c>
      <c r="O182" s="11">
        <v>1058</v>
      </c>
    </row>
    <row r="183" spans="1:15" ht="63.75" x14ac:dyDescent="0.2">
      <c r="B183" s="19" t="s">
        <v>54</v>
      </c>
      <c r="C183" s="15" t="s">
        <v>488</v>
      </c>
      <c r="D183" s="11" t="s">
        <v>489</v>
      </c>
      <c r="E183" s="42">
        <v>2</v>
      </c>
      <c r="F183" s="11"/>
      <c r="G183" s="11" t="s">
        <v>490</v>
      </c>
      <c r="H183" s="11" t="s">
        <v>491</v>
      </c>
      <c r="I183" s="11"/>
      <c r="J183" s="3"/>
      <c r="K183" s="79"/>
      <c r="L183" s="4"/>
      <c r="M183" s="79"/>
      <c r="N183" s="12" t="s">
        <v>66</v>
      </c>
    </row>
    <row r="184" spans="1:15" x14ac:dyDescent="0.2">
      <c r="A184" s="50"/>
      <c r="B184" s="49" t="s">
        <v>492</v>
      </c>
      <c r="C184" s="48" t="s">
        <v>493</v>
      </c>
      <c r="D184" s="43"/>
      <c r="E184" s="47"/>
      <c r="F184" s="43"/>
      <c r="G184" s="46" t="s">
        <v>494</v>
      </c>
      <c r="H184" s="43"/>
      <c r="I184" s="43"/>
      <c r="J184" s="1"/>
      <c r="K184" s="45"/>
      <c r="L184" s="1"/>
      <c r="M184" s="45"/>
      <c r="N184" s="44"/>
      <c r="O184" s="43"/>
    </row>
    <row r="185" spans="1:15" ht="51" x14ac:dyDescent="0.2">
      <c r="C185" s="15" t="s">
        <v>495</v>
      </c>
      <c r="D185" s="11" t="s">
        <v>496</v>
      </c>
      <c r="E185" s="42" t="s">
        <v>497</v>
      </c>
      <c r="F185" s="11"/>
      <c r="G185" s="11" t="s">
        <v>19</v>
      </c>
      <c r="H185" s="11" t="s">
        <v>498</v>
      </c>
      <c r="I185" s="11">
        <v>321.49099999999999</v>
      </c>
      <c r="J185" s="4">
        <v>40</v>
      </c>
      <c r="K185" s="13">
        <v>658789.17000000004</v>
      </c>
      <c r="L185" s="4">
        <v>34</v>
      </c>
      <c r="M185" s="13">
        <v>1009644.13</v>
      </c>
      <c r="N185" s="12" t="s">
        <v>66</v>
      </c>
    </row>
    <row r="186" spans="1:15" ht="25.5" x14ac:dyDescent="0.2">
      <c r="C186" s="15" t="s">
        <v>499</v>
      </c>
      <c r="D186" s="11" t="s">
        <v>500</v>
      </c>
      <c r="E186" s="42" t="s">
        <v>501</v>
      </c>
      <c r="F186" s="11"/>
      <c r="G186" s="11"/>
      <c r="H186" s="11" t="s">
        <v>498</v>
      </c>
      <c r="I186" s="11">
        <v>321.49099999999999</v>
      </c>
      <c r="J186" s="4"/>
      <c r="L186" s="4"/>
      <c r="N186" s="12" t="s">
        <v>66</v>
      </c>
      <c r="O186" s="11" t="s">
        <v>502</v>
      </c>
    </row>
    <row r="187" spans="1:15" x14ac:dyDescent="0.2">
      <c r="A187" s="50"/>
      <c r="B187" s="49" t="s">
        <v>17</v>
      </c>
      <c r="C187" s="48" t="s">
        <v>503</v>
      </c>
      <c r="D187" s="43"/>
      <c r="E187" s="47"/>
      <c r="F187" s="43"/>
      <c r="G187" s="43" t="s">
        <v>504</v>
      </c>
      <c r="H187" s="43"/>
      <c r="I187" s="43"/>
      <c r="J187" s="1"/>
      <c r="K187" s="45"/>
      <c r="L187" s="1"/>
      <c r="M187" s="45"/>
      <c r="N187" s="44"/>
      <c r="O187" s="43"/>
    </row>
    <row r="188" spans="1:15" ht="25.5" x14ac:dyDescent="0.2">
      <c r="B188" s="19" t="s">
        <v>141</v>
      </c>
      <c r="C188" s="15" t="s">
        <v>505</v>
      </c>
      <c r="D188" s="11" t="s">
        <v>143</v>
      </c>
      <c r="E188" s="42">
        <v>50</v>
      </c>
      <c r="F188" s="11" t="s">
        <v>274</v>
      </c>
      <c r="G188" s="11"/>
      <c r="H188" s="11" t="s">
        <v>506</v>
      </c>
      <c r="I188" s="5" t="s">
        <v>507</v>
      </c>
      <c r="J188" s="4">
        <f>339+360</f>
        <v>699</v>
      </c>
      <c r="K188" s="13">
        <f>584650+101961</f>
        <v>686611</v>
      </c>
      <c r="L188" s="4">
        <f>339+362</f>
        <v>701</v>
      </c>
      <c r="M188" s="13">
        <f>542950+108950</f>
        <v>651900</v>
      </c>
      <c r="N188" s="12" t="s">
        <v>66</v>
      </c>
      <c r="O188" s="11" t="s">
        <v>508</v>
      </c>
    </row>
    <row r="189" spans="1:15" ht="25.5" x14ac:dyDescent="0.2">
      <c r="C189" s="15" t="s">
        <v>509</v>
      </c>
      <c r="D189" s="11" t="s">
        <v>143</v>
      </c>
      <c r="E189" s="42">
        <v>400</v>
      </c>
      <c r="F189" s="11" t="s">
        <v>274</v>
      </c>
      <c r="G189" s="11"/>
      <c r="H189" s="11" t="s">
        <v>506</v>
      </c>
      <c r="I189" s="5" t="s">
        <v>507</v>
      </c>
      <c r="J189" s="4">
        <f>253+85</f>
        <v>338</v>
      </c>
      <c r="K189" s="13">
        <f>1253600+930.32</f>
        <v>1254530.32</v>
      </c>
      <c r="L189" s="4">
        <f>265+53</f>
        <v>318</v>
      </c>
      <c r="M189" s="13">
        <f>1223600+392</f>
        <v>1223992</v>
      </c>
      <c r="N189" s="12" t="s">
        <v>66</v>
      </c>
      <c r="O189" s="11" t="s">
        <v>510</v>
      </c>
    </row>
    <row r="190" spans="1:15" ht="25.5" hidden="1" x14ac:dyDescent="0.2">
      <c r="C190" s="64" t="s">
        <v>511</v>
      </c>
      <c r="D190" s="62" t="s">
        <v>143</v>
      </c>
      <c r="E190" s="75" t="s">
        <v>512</v>
      </c>
      <c r="F190" s="62" t="s">
        <v>274</v>
      </c>
      <c r="G190" s="62"/>
      <c r="H190" s="62" t="s">
        <v>513</v>
      </c>
      <c r="I190" s="6" t="s">
        <v>514</v>
      </c>
      <c r="J190" s="4"/>
      <c r="L190" s="4"/>
      <c r="N190" s="12" t="s">
        <v>66</v>
      </c>
    </row>
    <row r="191" spans="1:15" ht="25.5" x14ac:dyDescent="0.2">
      <c r="C191" s="15" t="s">
        <v>515</v>
      </c>
      <c r="D191" s="11" t="s">
        <v>143</v>
      </c>
      <c r="E191" s="42">
        <v>160</v>
      </c>
      <c r="F191" s="11" t="s">
        <v>274</v>
      </c>
      <c r="G191" s="11" t="s">
        <v>19</v>
      </c>
      <c r="H191" s="11" t="s">
        <v>506</v>
      </c>
      <c r="I191" s="5" t="s">
        <v>507</v>
      </c>
      <c r="J191" s="4">
        <v>82</v>
      </c>
      <c r="K191" s="13">
        <v>20960</v>
      </c>
      <c r="L191" s="4">
        <v>112</v>
      </c>
      <c r="M191" s="13">
        <v>28320</v>
      </c>
      <c r="N191" s="12" t="s">
        <v>66</v>
      </c>
      <c r="O191" s="11">
        <v>4048</v>
      </c>
    </row>
    <row r="192" spans="1:15" ht="25.5" x14ac:dyDescent="0.2">
      <c r="C192" s="15" t="s">
        <v>516</v>
      </c>
      <c r="D192" s="11" t="s">
        <v>143</v>
      </c>
      <c r="E192" s="42">
        <v>500</v>
      </c>
      <c r="F192" s="11" t="s">
        <v>274</v>
      </c>
      <c r="G192" s="11" t="s">
        <v>19</v>
      </c>
      <c r="H192" s="11" t="s">
        <v>506</v>
      </c>
      <c r="I192" s="5" t="s">
        <v>507</v>
      </c>
      <c r="J192" s="4">
        <v>126</v>
      </c>
      <c r="K192" s="13">
        <v>1527000</v>
      </c>
      <c r="L192" s="4">
        <v>266</v>
      </c>
      <c r="M192" s="13">
        <v>2327500</v>
      </c>
      <c r="N192" s="12" t="s">
        <v>66</v>
      </c>
      <c r="O192" s="11">
        <v>4224</v>
      </c>
    </row>
    <row r="193" spans="1:16" x14ac:dyDescent="0.2">
      <c r="C193" s="15" t="s">
        <v>517</v>
      </c>
      <c r="D193" s="11" t="s">
        <v>350</v>
      </c>
      <c r="E193" s="42"/>
      <c r="F193" s="11" t="s">
        <v>274</v>
      </c>
      <c r="G193" s="11"/>
      <c r="H193" s="11"/>
      <c r="I193" s="5"/>
      <c r="J193" s="4">
        <v>8</v>
      </c>
      <c r="K193" s="13">
        <v>5200</v>
      </c>
      <c r="L193" s="4">
        <v>11</v>
      </c>
      <c r="M193" s="13">
        <v>5200</v>
      </c>
      <c r="O193" s="11">
        <v>4225</v>
      </c>
    </row>
    <row r="194" spans="1:16" ht="25.5" x14ac:dyDescent="0.2">
      <c r="C194" s="15" t="s">
        <v>518</v>
      </c>
      <c r="D194" s="11" t="s">
        <v>143</v>
      </c>
      <c r="E194" s="42">
        <v>200</v>
      </c>
      <c r="F194" s="11" t="s">
        <v>519</v>
      </c>
      <c r="G194" s="11"/>
      <c r="H194" s="11" t="s">
        <v>506</v>
      </c>
      <c r="I194" s="5" t="s">
        <v>507</v>
      </c>
      <c r="J194" s="4">
        <v>59</v>
      </c>
      <c r="K194" s="13">
        <v>21000</v>
      </c>
      <c r="L194" s="4">
        <v>63</v>
      </c>
      <c r="M194" s="13">
        <v>29600</v>
      </c>
      <c r="N194" s="12" t="s">
        <v>66</v>
      </c>
      <c r="O194" s="11">
        <v>4054</v>
      </c>
    </row>
    <row r="195" spans="1:16" ht="25.5" x14ac:dyDescent="0.2">
      <c r="C195" s="15" t="s">
        <v>520</v>
      </c>
      <c r="D195" s="11" t="s">
        <v>143</v>
      </c>
      <c r="E195" s="42">
        <v>600</v>
      </c>
      <c r="F195" s="11" t="s">
        <v>519</v>
      </c>
      <c r="G195" s="11"/>
      <c r="H195" s="11" t="s">
        <v>506</v>
      </c>
      <c r="I195" s="5" t="s">
        <v>507</v>
      </c>
      <c r="J195" s="4">
        <v>3</v>
      </c>
      <c r="K195" s="13">
        <v>1800</v>
      </c>
      <c r="L195" s="4">
        <v>1</v>
      </c>
      <c r="M195" s="13">
        <v>1800</v>
      </c>
      <c r="N195" s="12" t="s">
        <v>66</v>
      </c>
      <c r="O195" s="11">
        <v>4057</v>
      </c>
    </row>
    <row r="196" spans="1:16" ht="25.5" x14ac:dyDescent="0.2">
      <c r="C196" s="15" t="s">
        <v>521</v>
      </c>
      <c r="D196" s="11" t="s">
        <v>143</v>
      </c>
      <c r="E196" s="42">
        <v>35</v>
      </c>
      <c r="F196" s="11" t="s">
        <v>522</v>
      </c>
      <c r="G196" s="11"/>
      <c r="H196" s="11" t="s">
        <v>506</v>
      </c>
      <c r="I196" s="5" t="s">
        <v>507</v>
      </c>
      <c r="J196" s="4">
        <v>359</v>
      </c>
      <c r="K196" s="13">
        <v>4135110</v>
      </c>
      <c r="L196" s="4">
        <v>361</v>
      </c>
      <c r="M196" s="13">
        <v>4067735</v>
      </c>
      <c r="N196" s="12" t="s">
        <v>66</v>
      </c>
      <c r="O196" s="11">
        <v>4039</v>
      </c>
    </row>
    <row r="197" spans="1:16" ht="25.5" x14ac:dyDescent="0.2">
      <c r="C197" s="15" t="s">
        <v>523</v>
      </c>
      <c r="D197" s="11" t="s">
        <v>143</v>
      </c>
      <c r="E197" s="42">
        <v>25</v>
      </c>
      <c r="F197" s="11"/>
      <c r="G197" s="11"/>
      <c r="H197" s="11" t="s">
        <v>506</v>
      </c>
      <c r="I197" s="5" t="s">
        <v>507</v>
      </c>
      <c r="J197" s="4">
        <v>49</v>
      </c>
      <c r="K197" s="13">
        <v>3175</v>
      </c>
      <c r="L197" s="4">
        <v>47</v>
      </c>
      <c r="M197" s="13">
        <v>3425</v>
      </c>
      <c r="N197" s="12" t="s">
        <v>66</v>
      </c>
      <c r="O197" s="11">
        <v>4055</v>
      </c>
    </row>
    <row r="198" spans="1:16" ht="25.5" x14ac:dyDescent="0.2">
      <c r="C198" s="15" t="s">
        <v>524</v>
      </c>
      <c r="D198" s="11" t="s">
        <v>143</v>
      </c>
      <c r="E198" s="42">
        <v>100</v>
      </c>
      <c r="F198" s="11"/>
      <c r="G198" s="11"/>
      <c r="H198" s="11" t="s">
        <v>506</v>
      </c>
      <c r="I198" s="5" t="s">
        <v>507</v>
      </c>
      <c r="J198" s="4">
        <v>10</v>
      </c>
      <c r="K198" s="13">
        <v>0</v>
      </c>
      <c r="L198" s="4">
        <v>13</v>
      </c>
      <c r="M198" s="13">
        <v>300</v>
      </c>
      <c r="N198" s="12" t="s">
        <v>66</v>
      </c>
      <c r="O198" s="11">
        <v>4052</v>
      </c>
    </row>
    <row r="199" spans="1:16" ht="25.5" x14ac:dyDescent="0.2">
      <c r="C199" s="15" t="s">
        <v>525</v>
      </c>
      <c r="D199" s="11" t="s">
        <v>143</v>
      </c>
      <c r="E199" s="42">
        <v>175</v>
      </c>
      <c r="F199" s="11"/>
      <c r="G199" s="11"/>
      <c r="H199" s="11" t="s">
        <v>506</v>
      </c>
      <c r="I199" s="5" t="s">
        <v>507</v>
      </c>
      <c r="J199" s="4">
        <v>92</v>
      </c>
      <c r="K199" s="13">
        <v>29050</v>
      </c>
      <c r="L199" s="4">
        <v>87</v>
      </c>
      <c r="M199" s="13">
        <v>29225</v>
      </c>
      <c r="N199" s="12" t="s">
        <v>66</v>
      </c>
      <c r="O199" s="11">
        <v>4200</v>
      </c>
    </row>
    <row r="200" spans="1:16" ht="25.5" x14ac:dyDescent="0.2">
      <c r="C200" s="15" t="s">
        <v>526</v>
      </c>
      <c r="D200" s="11" t="s">
        <v>143</v>
      </c>
      <c r="E200" s="42">
        <v>400</v>
      </c>
      <c r="F200" s="11" t="s">
        <v>274</v>
      </c>
      <c r="G200" s="11"/>
      <c r="H200" s="11" t="s">
        <v>506</v>
      </c>
      <c r="I200" s="5" t="s">
        <v>507</v>
      </c>
      <c r="J200" s="4">
        <v>37</v>
      </c>
      <c r="K200" s="13">
        <v>26400</v>
      </c>
      <c r="L200" s="4">
        <v>57</v>
      </c>
      <c r="M200" s="13">
        <v>34400</v>
      </c>
      <c r="N200" s="12" t="s">
        <v>66</v>
      </c>
      <c r="O200" s="11">
        <v>4222</v>
      </c>
    </row>
    <row r="201" spans="1:16" s="77" customFormat="1" ht="38.25" x14ac:dyDescent="0.2">
      <c r="A201" s="9"/>
      <c r="B201" s="19"/>
      <c r="C201" s="15" t="s">
        <v>527</v>
      </c>
      <c r="D201" s="11" t="s">
        <v>350</v>
      </c>
      <c r="E201" s="42"/>
      <c r="F201" s="11"/>
      <c r="G201" s="11"/>
      <c r="H201" s="11"/>
      <c r="I201" s="5"/>
      <c r="J201" s="4">
        <v>350</v>
      </c>
      <c r="K201" s="13">
        <v>60770</v>
      </c>
      <c r="L201" s="4">
        <f>12+366+2</f>
        <v>380</v>
      </c>
      <c r="M201" s="13">
        <f>19560+69300+175</f>
        <v>89035</v>
      </c>
      <c r="N201" s="12"/>
      <c r="O201" s="11" t="s">
        <v>528</v>
      </c>
      <c r="P201" s="78"/>
    </row>
    <row r="202" spans="1:16" x14ac:dyDescent="0.2">
      <c r="C202" s="15" t="s">
        <v>529</v>
      </c>
      <c r="D202" s="11" t="s">
        <v>350</v>
      </c>
      <c r="E202" s="42">
        <v>10</v>
      </c>
      <c r="F202" s="11"/>
      <c r="G202" s="11"/>
      <c r="H202" s="11"/>
      <c r="I202" s="5"/>
      <c r="J202" s="4">
        <v>79</v>
      </c>
      <c r="K202" s="13">
        <v>1100</v>
      </c>
      <c r="L202" s="4">
        <v>100</v>
      </c>
      <c r="M202" s="13">
        <v>1520</v>
      </c>
      <c r="O202" s="11">
        <v>4062</v>
      </c>
    </row>
    <row r="203" spans="1:16" x14ac:dyDescent="0.2">
      <c r="C203" s="15" t="s">
        <v>530</v>
      </c>
      <c r="D203" s="11" t="s">
        <v>350</v>
      </c>
      <c r="E203" s="42">
        <v>25</v>
      </c>
      <c r="F203" s="11"/>
      <c r="G203" s="11"/>
      <c r="H203" s="11"/>
      <c r="I203" s="5"/>
      <c r="J203" s="4">
        <v>165</v>
      </c>
      <c r="K203" s="13">
        <v>9825</v>
      </c>
      <c r="L203" s="4">
        <v>161</v>
      </c>
      <c r="M203" s="13">
        <v>10325</v>
      </c>
      <c r="O203" s="11">
        <v>4051</v>
      </c>
    </row>
    <row r="204" spans="1:16" x14ac:dyDescent="0.2">
      <c r="C204" s="15" t="s">
        <v>531</v>
      </c>
      <c r="D204" s="11" t="s">
        <v>350</v>
      </c>
      <c r="E204" s="42">
        <v>20</v>
      </c>
      <c r="F204" s="11"/>
      <c r="G204" s="11"/>
      <c r="H204" s="11"/>
      <c r="I204" s="5"/>
      <c r="J204" s="4">
        <v>357</v>
      </c>
      <c r="K204" s="13">
        <v>224380</v>
      </c>
      <c r="L204" s="4">
        <v>359</v>
      </c>
      <c r="M204" s="13">
        <v>206860</v>
      </c>
      <c r="O204" s="11">
        <v>4053</v>
      </c>
    </row>
    <row r="205" spans="1:16" x14ac:dyDescent="0.2">
      <c r="C205" s="15" t="s">
        <v>532</v>
      </c>
      <c r="D205" s="11" t="s">
        <v>143</v>
      </c>
      <c r="E205" s="42">
        <v>2</v>
      </c>
      <c r="F205" s="11" t="s">
        <v>136</v>
      </c>
      <c r="G205" s="11"/>
      <c r="H205" s="40" t="s">
        <v>533</v>
      </c>
      <c r="I205" s="7" t="s">
        <v>534</v>
      </c>
      <c r="J205" s="4">
        <v>951</v>
      </c>
      <c r="K205" s="13">
        <v>300</v>
      </c>
      <c r="L205" s="4">
        <v>642</v>
      </c>
      <c r="M205" s="13">
        <v>150</v>
      </c>
      <c r="N205" s="12" t="s">
        <v>66</v>
      </c>
      <c r="O205" s="11">
        <v>4023</v>
      </c>
    </row>
    <row r="206" spans="1:16" ht="38.25" x14ac:dyDescent="0.2">
      <c r="C206" s="15" t="s">
        <v>535</v>
      </c>
      <c r="D206" s="11" t="s">
        <v>143</v>
      </c>
      <c r="E206" s="42" t="s">
        <v>536</v>
      </c>
      <c r="F206" s="11" t="s">
        <v>522</v>
      </c>
      <c r="G206" s="11"/>
      <c r="H206" s="40" t="s">
        <v>533</v>
      </c>
      <c r="I206" s="7" t="s">
        <v>537</v>
      </c>
      <c r="J206" s="4">
        <v>357</v>
      </c>
      <c r="K206" s="13">
        <v>107450</v>
      </c>
      <c r="L206" s="4">
        <v>358</v>
      </c>
      <c r="M206" s="13">
        <v>106430</v>
      </c>
      <c r="N206" s="12" t="s">
        <v>66</v>
      </c>
      <c r="O206" s="11">
        <v>4056</v>
      </c>
    </row>
    <row r="207" spans="1:16" hidden="1" x14ac:dyDescent="0.2">
      <c r="C207" s="64" t="s">
        <v>538</v>
      </c>
      <c r="D207" s="62" t="s">
        <v>143</v>
      </c>
      <c r="E207" s="75" t="s">
        <v>539</v>
      </c>
      <c r="F207" s="62" t="s">
        <v>540</v>
      </c>
      <c r="G207" s="62"/>
      <c r="H207" s="74" t="s">
        <v>533</v>
      </c>
      <c r="I207" s="8" t="s">
        <v>507</v>
      </c>
      <c r="J207" s="4"/>
      <c r="L207" s="4"/>
      <c r="N207" s="12" t="s">
        <v>66</v>
      </c>
    </row>
    <row r="208" spans="1:16" ht="25.5" x14ac:dyDescent="0.2">
      <c r="C208" s="15" t="s">
        <v>541</v>
      </c>
      <c r="D208" s="11" t="s">
        <v>143</v>
      </c>
      <c r="E208" s="42" t="s">
        <v>542</v>
      </c>
      <c r="F208" s="11" t="s">
        <v>522</v>
      </c>
      <c r="G208" s="62"/>
      <c r="H208" s="11" t="s">
        <v>506</v>
      </c>
      <c r="I208" s="5" t="s">
        <v>507</v>
      </c>
      <c r="J208" s="4"/>
      <c r="L208" s="4"/>
      <c r="N208" s="12" t="s">
        <v>66</v>
      </c>
    </row>
    <row r="209" spans="1:15" ht="25.5" x14ac:dyDescent="0.2">
      <c r="C209" s="15" t="s">
        <v>543</v>
      </c>
      <c r="D209" s="11" t="s">
        <v>143</v>
      </c>
      <c r="E209" s="42" t="s">
        <v>544</v>
      </c>
      <c r="F209" s="11" t="s">
        <v>545</v>
      </c>
      <c r="G209" s="11"/>
      <c r="H209" s="11" t="s">
        <v>506</v>
      </c>
      <c r="I209" s="5" t="s">
        <v>507</v>
      </c>
      <c r="J209" s="4">
        <v>53</v>
      </c>
      <c r="K209" s="13">
        <v>37755</v>
      </c>
      <c r="L209" s="4">
        <v>2</v>
      </c>
      <c r="M209" s="13">
        <v>975</v>
      </c>
      <c r="N209" s="12" t="s">
        <v>66</v>
      </c>
      <c r="O209" s="11">
        <v>4040</v>
      </c>
    </row>
    <row r="210" spans="1:15" ht="25.5" x14ac:dyDescent="0.2">
      <c r="C210" s="15" t="s">
        <v>546</v>
      </c>
      <c r="D210" s="11" t="s">
        <v>143</v>
      </c>
      <c r="E210" s="42">
        <v>25</v>
      </c>
      <c r="F210" s="11" t="s">
        <v>274</v>
      </c>
      <c r="G210" s="11"/>
      <c r="H210" s="11" t="s">
        <v>506</v>
      </c>
      <c r="I210" s="5" t="s">
        <v>507</v>
      </c>
      <c r="J210" s="4"/>
      <c r="L210" s="4"/>
      <c r="N210" s="12" t="s">
        <v>66</v>
      </c>
    </row>
    <row r="211" spans="1:15" x14ac:dyDescent="0.2">
      <c r="A211" s="50"/>
      <c r="B211" s="49" t="s">
        <v>54</v>
      </c>
      <c r="C211" s="48" t="s">
        <v>547</v>
      </c>
      <c r="D211" s="43"/>
      <c r="E211" s="47"/>
      <c r="F211" s="43"/>
      <c r="G211" s="46" t="s">
        <v>548</v>
      </c>
      <c r="H211" s="43"/>
      <c r="I211" s="43" t="s">
        <v>549</v>
      </c>
      <c r="J211" s="1"/>
      <c r="K211" s="45"/>
      <c r="L211" s="1"/>
      <c r="M211" s="45"/>
      <c r="N211" s="44" t="s">
        <v>66</v>
      </c>
      <c r="O211" s="43"/>
    </row>
    <row r="212" spans="1:15" ht="38.25" x14ac:dyDescent="0.2">
      <c r="B212" s="19" t="s">
        <v>550</v>
      </c>
      <c r="C212" s="76" t="s">
        <v>551</v>
      </c>
      <c r="D212" s="11" t="s">
        <v>552</v>
      </c>
      <c r="E212" s="42">
        <v>200</v>
      </c>
      <c r="F212" s="11" t="s">
        <v>359</v>
      </c>
      <c r="G212" s="11" t="s">
        <v>553</v>
      </c>
      <c r="H212" s="11" t="s">
        <v>554</v>
      </c>
      <c r="I212" s="11" t="s">
        <v>549</v>
      </c>
      <c r="J212" s="4">
        <v>27760</v>
      </c>
      <c r="K212" s="13">
        <v>2771893</v>
      </c>
      <c r="L212" s="4">
        <v>25150</v>
      </c>
      <c r="M212" s="13">
        <v>2492105</v>
      </c>
      <c r="N212" s="12" t="s">
        <v>66</v>
      </c>
      <c r="O212" s="11" t="s">
        <v>555</v>
      </c>
    </row>
    <row r="213" spans="1:15" ht="25.5" x14ac:dyDescent="0.2">
      <c r="C213" s="15" t="s">
        <v>478</v>
      </c>
      <c r="D213" s="11" t="s">
        <v>400</v>
      </c>
      <c r="E213" s="42">
        <v>5</v>
      </c>
      <c r="F213" s="11" t="s">
        <v>359</v>
      </c>
      <c r="G213" s="11" t="s">
        <v>556</v>
      </c>
      <c r="H213" s="11" t="s">
        <v>554</v>
      </c>
      <c r="I213" s="11" t="s">
        <v>549</v>
      </c>
      <c r="J213" s="4"/>
      <c r="L213" s="4"/>
      <c r="N213" s="12" t="s">
        <v>66</v>
      </c>
    </row>
    <row r="214" spans="1:15" ht="25.5" hidden="1" x14ac:dyDescent="0.2">
      <c r="C214" s="64" t="s">
        <v>557</v>
      </c>
      <c r="D214" s="62" t="s">
        <v>400</v>
      </c>
      <c r="E214" s="75">
        <v>180</v>
      </c>
      <c r="F214" s="11" t="s">
        <v>359</v>
      </c>
      <c r="G214" s="62"/>
      <c r="H214" s="62" t="s">
        <v>558</v>
      </c>
      <c r="I214" s="74" t="s">
        <v>559</v>
      </c>
      <c r="J214" s="4"/>
      <c r="L214" s="4"/>
      <c r="N214" s="12" t="s">
        <v>66</v>
      </c>
    </row>
    <row r="215" spans="1:15" ht="25.5" x14ac:dyDescent="0.2">
      <c r="C215" s="15" t="s">
        <v>560</v>
      </c>
      <c r="D215" s="11" t="s">
        <v>400</v>
      </c>
      <c r="E215" s="42">
        <v>180</v>
      </c>
      <c r="F215" s="11" t="s">
        <v>359</v>
      </c>
      <c r="G215" s="11"/>
      <c r="H215" s="11" t="s">
        <v>558</v>
      </c>
      <c r="I215" s="40" t="s">
        <v>559</v>
      </c>
      <c r="J215" s="4"/>
      <c r="L215" s="4"/>
      <c r="N215" s="12" t="s">
        <v>66</v>
      </c>
    </row>
    <row r="216" spans="1:15" x14ac:dyDescent="0.2">
      <c r="A216" s="50"/>
      <c r="B216" s="49" t="s">
        <v>141</v>
      </c>
      <c r="C216" s="48" t="s">
        <v>561</v>
      </c>
      <c r="D216" s="43"/>
      <c r="E216" s="47"/>
      <c r="F216" s="43"/>
      <c r="G216" s="46" t="s">
        <v>176</v>
      </c>
      <c r="H216" s="43"/>
      <c r="I216" s="43"/>
      <c r="J216" s="1"/>
      <c r="K216" s="45"/>
      <c r="L216" s="1"/>
      <c r="M216" s="45"/>
      <c r="N216" s="44" t="s">
        <v>66</v>
      </c>
      <c r="O216" s="43"/>
    </row>
    <row r="217" spans="1:15" ht="38.25" x14ac:dyDescent="0.2">
      <c r="C217" s="15" t="s">
        <v>562</v>
      </c>
      <c r="D217" s="11" t="s">
        <v>563</v>
      </c>
      <c r="E217" s="42">
        <v>150</v>
      </c>
      <c r="F217" s="11" t="s">
        <v>359</v>
      </c>
      <c r="G217" s="11"/>
      <c r="H217" s="11" t="s">
        <v>564</v>
      </c>
      <c r="I217" s="11" t="s">
        <v>565</v>
      </c>
      <c r="J217" s="4">
        <v>576</v>
      </c>
      <c r="K217" s="13">
        <v>78450</v>
      </c>
      <c r="L217" s="4">
        <v>553</v>
      </c>
      <c r="M217" s="13">
        <v>76050</v>
      </c>
      <c r="N217" s="12" t="s">
        <v>66</v>
      </c>
      <c r="O217" s="11">
        <v>4025</v>
      </c>
    </row>
    <row r="218" spans="1:15" x14ac:dyDescent="0.2">
      <c r="C218" s="15" t="s">
        <v>566</v>
      </c>
      <c r="D218" s="11" t="s">
        <v>563</v>
      </c>
      <c r="E218" s="42">
        <v>150</v>
      </c>
      <c r="F218" s="11" t="s">
        <v>359</v>
      </c>
      <c r="G218" s="11"/>
      <c r="H218" s="73" t="s">
        <v>567</v>
      </c>
      <c r="I218" s="11" t="s">
        <v>568</v>
      </c>
      <c r="J218" s="4">
        <v>184</v>
      </c>
      <c r="K218" s="13">
        <v>11100</v>
      </c>
      <c r="L218" s="4">
        <v>198</v>
      </c>
      <c r="M218" s="13">
        <v>12750</v>
      </c>
      <c r="N218" s="12" t="s">
        <v>66</v>
      </c>
      <c r="O218" s="11">
        <v>4018</v>
      </c>
    </row>
    <row r="219" spans="1:15" x14ac:dyDescent="0.2">
      <c r="C219" s="15" t="s">
        <v>569</v>
      </c>
      <c r="D219" s="11" t="s">
        <v>563</v>
      </c>
      <c r="E219" s="42">
        <v>25</v>
      </c>
      <c r="F219" s="11" t="s">
        <v>359</v>
      </c>
      <c r="G219" s="11"/>
      <c r="H219" s="73" t="s">
        <v>570</v>
      </c>
      <c r="I219" s="11" t="s">
        <v>571</v>
      </c>
      <c r="J219" s="4">
        <v>951</v>
      </c>
      <c r="K219" s="13">
        <v>4075</v>
      </c>
      <c r="L219" s="4">
        <v>642</v>
      </c>
      <c r="M219" s="13">
        <v>3225</v>
      </c>
      <c r="N219" s="12" t="s">
        <v>66</v>
      </c>
      <c r="O219" s="11">
        <v>4019</v>
      </c>
    </row>
    <row r="220" spans="1:15" x14ac:dyDescent="0.2">
      <c r="C220" s="15" t="s">
        <v>572</v>
      </c>
      <c r="D220" s="11" t="s">
        <v>563</v>
      </c>
      <c r="E220" s="42">
        <v>10</v>
      </c>
      <c r="F220" s="11" t="s">
        <v>359</v>
      </c>
      <c r="G220" s="11"/>
      <c r="H220" s="73" t="s">
        <v>567</v>
      </c>
      <c r="I220" s="11" t="s">
        <v>573</v>
      </c>
      <c r="J220" s="4">
        <v>951</v>
      </c>
      <c r="K220" s="13">
        <v>60</v>
      </c>
      <c r="L220" s="4">
        <v>637</v>
      </c>
      <c r="M220" s="13">
        <v>60</v>
      </c>
      <c r="N220" s="12" t="s">
        <v>66</v>
      </c>
      <c r="O220" s="11">
        <v>4021</v>
      </c>
    </row>
    <row r="221" spans="1:15" x14ac:dyDescent="0.2">
      <c r="C221" s="15" t="s">
        <v>574</v>
      </c>
      <c r="D221" s="11" t="s">
        <v>563</v>
      </c>
      <c r="E221" s="42">
        <v>25</v>
      </c>
      <c r="F221" s="11" t="s">
        <v>359</v>
      </c>
      <c r="G221" s="11"/>
      <c r="H221" s="73" t="s">
        <v>575</v>
      </c>
      <c r="I221" s="11"/>
      <c r="J221" s="4">
        <v>951</v>
      </c>
      <c r="K221" s="13">
        <v>225</v>
      </c>
      <c r="L221" s="4">
        <v>642</v>
      </c>
      <c r="M221" s="13">
        <v>200</v>
      </c>
      <c r="N221" s="12" t="s">
        <v>66</v>
      </c>
      <c r="O221" s="11">
        <v>4020</v>
      </c>
    </row>
    <row r="222" spans="1:15" x14ac:dyDescent="0.2">
      <c r="C222" s="15" t="s">
        <v>576</v>
      </c>
      <c r="D222" s="11" t="s">
        <v>563</v>
      </c>
      <c r="E222" s="42">
        <v>25</v>
      </c>
      <c r="F222" s="11" t="s">
        <v>359</v>
      </c>
      <c r="G222" s="11"/>
      <c r="H222" s="73" t="s">
        <v>567</v>
      </c>
      <c r="I222" s="11" t="s">
        <v>571</v>
      </c>
      <c r="J222" s="4">
        <v>1</v>
      </c>
      <c r="K222" s="13">
        <v>250</v>
      </c>
      <c r="L222" s="4">
        <v>3</v>
      </c>
      <c r="M222" s="13">
        <v>750</v>
      </c>
      <c r="N222" s="12" t="s">
        <v>66</v>
      </c>
      <c r="O222" s="11">
        <v>4026</v>
      </c>
    </row>
    <row r="223" spans="1:15" ht="25.5" x14ac:dyDescent="0.2">
      <c r="B223" s="19" t="s">
        <v>19</v>
      </c>
      <c r="C223" s="15" t="s">
        <v>577</v>
      </c>
      <c r="D223" s="11" t="s">
        <v>143</v>
      </c>
      <c r="E223" s="42">
        <v>400</v>
      </c>
      <c r="F223" s="11" t="s">
        <v>274</v>
      </c>
      <c r="G223" s="11"/>
      <c r="H223" s="40">
        <v>44272</v>
      </c>
      <c r="I223" s="11" t="s">
        <v>578</v>
      </c>
      <c r="J223" s="4"/>
      <c r="L223" s="4"/>
      <c r="N223" s="12" t="s">
        <v>66</v>
      </c>
    </row>
    <row r="224" spans="1:15" x14ac:dyDescent="0.2">
      <c r="A224" s="50"/>
      <c r="B224" s="49" t="s">
        <v>141</v>
      </c>
      <c r="C224" s="48" t="s">
        <v>579</v>
      </c>
      <c r="D224" s="43" t="s">
        <v>563</v>
      </c>
      <c r="E224" s="72"/>
      <c r="F224" s="43"/>
      <c r="G224" s="46" t="s">
        <v>580</v>
      </c>
      <c r="H224" s="43"/>
      <c r="I224" s="43">
        <v>326</v>
      </c>
      <c r="J224" s="1"/>
      <c r="K224" s="45"/>
      <c r="L224" s="1"/>
      <c r="M224" s="45"/>
      <c r="N224" s="44" t="s">
        <v>66</v>
      </c>
      <c r="O224" s="43"/>
    </row>
    <row r="226" spans="1:15" x14ac:dyDescent="0.2">
      <c r="C226" s="15" t="s">
        <v>581</v>
      </c>
      <c r="D226" s="11" t="s">
        <v>563</v>
      </c>
      <c r="E226" s="42">
        <v>3</v>
      </c>
      <c r="F226" s="11" t="s">
        <v>359</v>
      </c>
      <c r="G226" s="11"/>
      <c r="H226" s="40" t="s">
        <v>582</v>
      </c>
      <c r="I226" s="40" t="s">
        <v>583</v>
      </c>
      <c r="J226" s="4"/>
      <c r="L226" s="4"/>
      <c r="N226" s="12" t="s">
        <v>66</v>
      </c>
    </row>
    <row r="227" spans="1:15" ht="25.5" x14ac:dyDescent="0.2">
      <c r="C227" s="15" t="s">
        <v>584</v>
      </c>
      <c r="D227" s="11" t="s">
        <v>563</v>
      </c>
      <c r="E227" s="42">
        <v>8</v>
      </c>
      <c r="F227" s="11" t="s">
        <v>359</v>
      </c>
      <c r="G227" s="11"/>
      <c r="H227" s="40" t="s">
        <v>582</v>
      </c>
      <c r="I227" s="40" t="s">
        <v>585</v>
      </c>
      <c r="J227" s="4"/>
      <c r="L227" s="4"/>
      <c r="N227" s="12" t="s">
        <v>66</v>
      </c>
    </row>
    <row r="228" spans="1:15" x14ac:dyDescent="0.2">
      <c r="C228" s="15" t="s">
        <v>586</v>
      </c>
      <c r="D228" s="11" t="s">
        <v>563</v>
      </c>
      <c r="E228" s="41">
        <v>3.5</v>
      </c>
      <c r="F228" s="11" t="s">
        <v>359</v>
      </c>
      <c r="G228" s="11"/>
      <c r="H228" s="40" t="s">
        <v>582</v>
      </c>
      <c r="I228" s="40" t="s">
        <v>587</v>
      </c>
      <c r="J228" s="4"/>
      <c r="L228" s="4"/>
      <c r="N228" s="12" t="s">
        <v>66</v>
      </c>
    </row>
    <row r="229" spans="1:15" x14ac:dyDescent="0.2">
      <c r="A229" s="50"/>
      <c r="B229" s="49" t="s">
        <v>141</v>
      </c>
      <c r="C229" s="48" t="s">
        <v>588</v>
      </c>
      <c r="D229" s="43"/>
      <c r="E229" s="71"/>
      <c r="F229" s="43"/>
      <c r="G229" s="46" t="s">
        <v>176</v>
      </c>
      <c r="H229" s="43"/>
      <c r="I229" s="43"/>
      <c r="J229" s="1"/>
      <c r="K229" s="45"/>
      <c r="L229" s="1"/>
      <c r="M229" s="45"/>
      <c r="N229" s="44" t="s">
        <v>66</v>
      </c>
      <c r="O229" s="43"/>
    </row>
    <row r="230" spans="1:15" ht="89.25" x14ac:dyDescent="0.2">
      <c r="B230" s="19" t="s">
        <v>141</v>
      </c>
      <c r="C230" s="15" t="s">
        <v>589</v>
      </c>
      <c r="D230" s="11" t="s">
        <v>563</v>
      </c>
      <c r="E230" s="41" t="s">
        <v>590</v>
      </c>
      <c r="F230" s="11" t="s">
        <v>411</v>
      </c>
      <c r="G230" s="11"/>
      <c r="H230" s="11" t="s">
        <v>591</v>
      </c>
      <c r="I230" s="11" t="s">
        <v>592</v>
      </c>
      <c r="J230" s="4"/>
      <c r="L230" s="4"/>
      <c r="N230" s="12" t="s">
        <v>66</v>
      </c>
    </row>
    <row r="231" spans="1:15" x14ac:dyDescent="0.2">
      <c r="A231" s="50"/>
      <c r="B231" s="49" t="s">
        <v>593</v>
      </c>
      <c r="C231" s="70" t="s">
        <v>594</v>
      </c>
      <c r="D231" s="43"/>
      <c r="E231" s="69" t="s">
        <v>595</v>
      </c>
      <c r="F231" s="43" t="s">
        <v>274</v>
      </c>
      <c r="G231" s="43">
        <v>950</v>
      </c>
      <c r="H231" s="43"/>
      <c r="I231" s="43">
        <v>328.21</v>
      </c>
      <c r="J231" s="68"/>
      <c r="K231" s="67"/>
      <c r="L231" s="68"/>
      <c r="M231" s="67"/>
      <c r="N231" s="44" t="s">
        <v>66</v>
      </c>
      <c r="O231" s="66"/>
    </row>
    <row r="232" spans="1:15" ht="25.5" x14ac:dyDescent="0.2">
      <c r="C232" s="15" t="s">
        <v>596</v>
      </c>
      <c r="D232" s="11"/>
      <c r="E232" s="54"/>
      <c r="F232" s="11" t="s">
        <v>19</v>
      </c>
      <c r="G232" s="11"/>
      <c r="H232" s="11" t="s">
        <v>597</v>
      </c>
      <c r="I232" s="11">
        <v>328.12</v>
      </c>
      <c r="J232" s="52"/>
      <c r="K232" s="53"/>
      <c r="L232" s="52"/>
      <c r="M232" s="53"/>
      <c r="N232" s="52" t="s">
        <v>66</v>
      </c>
      <c r="O232" s="51"/>
    </row>
    <row r="233" spans="1:15" ht="102" hidden="1" x14ac:dyDescent="0.2">
      <c r="C233" s="64" t="s">
        <v>598</v>
      </c>
      <c r="D233" s="62" t="s">
        <v>599</v>
      </c>
      <c r="E233" s="63" t="s">
        <v>600</v>
      </c>
      <c r="F233" s="62" t="s">
        <v>601</v>
      </c>
      <c r="G233" s="62"/>
      <c r="H233" s="62" t="s">
        <v>597</v>
      </c>
      <c r="I233" s="62">
        <v>328.19</v>
      </c>
      <c r="J233" s="59"/>
      <c r="K233" s="60"/>
      <c r="L233" s="59"/>
      <c r="M233" s="60"/>
      <c r="N233" s="59" t="s">
        <v>602</v>
      </c>
      <c r="O233" s="51"/>
    </row>
    <row r="234" spans="1:15" ht="25.5" x14ac:dyDescent="0.2">
      <c r="C234" s="15" t="s">
        <v>603</v>
      </c>
      <c r="D234" s="11" t="s">
        <v>604</v>
      </c>
      <c r="E234" s="54" t="s">
        <v>605</v>
      </c>
      <c r="F234" s="11" t="s">
        <v>359</v>
      </c>
      <c r="G234" s="11"/>
      <c r="H234" s="11" t="s">
        <v>606</v>
      </c>
      <c r="I234" s="11">
        <v>328.21</v>
      </c>
      <c r="J234" s="65">
        <v>203</v>
      </c>
      <c r="K234" s="53">
        <v>1933824.73</v>
      </c>
      <c r="L234" s="65">
        <v>230</v>
      </c>
      <c r="M234" s="53">
        <v>2072550.53</v>
      </c>
      <c r="N234" s="52" t="s">
        <v>66</v>
      </c>
      <c r="O234" s="51"/>
    </row>
    <row r="235" spans="1:15" ht="102" x14ac:dyDescent="0.2">
      <c r="C235" s="15" t="s">
        <v>607</v>
      </c>
      <c r="D235" s="11" t="s">
        <v>604</v>
      </c>
      <c r="E235" s="54" t="s">
        <v>608</v>
      </c>
      <c r="F235" s="11" t="s">
        <v>274</v>
      </c>
      <c r="G235" s="11"/>
      <c r="H235" s="11" t="s">
        <v>606</v>
      </c>
      <c r="I235" s="11">
        <v>328.21</v>
      </c>
      <c r="J235" s="65"/>
      <c r="K235" s="53"/>
      <c r="L235" s="65"/>
      <c r="M235" s="53"/>
      <c r="N235" s="52"/>
      <c r="O235" s="55" t="s">
        <v>609</v>
      </c>
    </row>
    <row r="236" spans="1:15" ht="25.5" x14ac:dyDescent="0.2">
      <c r="C236" s="15" t="s">
        <v>610</v>
      </c>
      <c r="D236" s="11" t="s">
        <v>604</v>
      </c>
      <c r="E236" s="58">
        <v>100</v>
      </c>
      <c r="F236" s="11" t="s">
        <v>274</v>
      </c>
      <c r="G236" s="11"/>
      <c r="H236" s="11" t="s">
        <v>606</v>
      </c>
      <c r="I236" s="11">
        <v>328.21</v>
      </c>
      <c r="J236" s="52"/>
      <c r="K236" s="53"/>
      <c r="L236" s="52"/>
      <c r="M236" s="53"/>
      <c r="N236" s="52" t="s">
        <v>66</v>
      </c>
      <c r="O236" s="55" t="s">
        <v>609</v>
      </c>
    </row>
    <row r="237" spans="1:15" ht="25.5" x14ac:dyDescent="0.2">
      <c r="C237" s="15" t="s">
        <v>611</v>
      </c>
      <c r="D237" s="11" t="s">
        <v>604</v>
      </c>
      <c r="E237" s="58">
        <v>100</v>
      </c>
      <c r="F237" s="11" t="s">
        <v>274</v>
      </c>
      <c r="G237" s="11"/>
      <c r="H237" s="11" t="s">
        <v>606</v>
      </c>
      <c r="I237" s="11">
        <v>328.21</v>
      </c>
      <c r="J237" s="52"/>
      <c r="K237" s="53"/>
      <c r="L237" s="52"/>
      <c r="M237" s="53"/>
      <c r="N237" s="52" t="s">
        <v>66</v>
      </c>
      <c r="O237" s="55" t="s">
        <v>609</v>
      </c>
    </row>
    <row r="238" spans="1:15" ht="25.5" x14ac:dyDescent="0.2">
      <c r="C238" s="15" t="s">
        <v>612</v>
      </c>
      <c r="D238" s="11" t="s">
        <v>604</v>
      </c>
      <c r="E238" s="58">
        <v>1000</v>
      </c>
      <c r="F238" s="11" t="s">
        <v>274</v>
      </c>
      <c r="G238" s="11"/>
      <c r="H238" s="11" t="s">
        <v>606</v>
      </c>
      <c r="I238" s="11">
        <v>328.21</v>
      </c>
      <c r="J238" s="52"/>
      <c r="K238" s="53"/>
      <c r="L238" s="52"/>
      <c r="M238" s="53"/>
      <c r="N238" s="52" t="s">
        <v>66</v>
      </c>
      <c r="O238" s="55" t="s">
        <v>609</v>
      </c>
    </row>
    <row r="239" spans="1:15" ht="25.5" x14ac:dyDescent="0.2">
      <c r="C239" s="15" t="s">
        <v>613</v>
      </c>
      <c r="D239" s="11" t="s">
        <v>604</v>
      </c>
      <c r="E239" s="58">
        <v>35</v>
      </c>
      <c r="F239" s="11" t="s">
        <v>274</v>
      </c>
      <c r="G239" s="11"/>
      <c r="H239" s="11" t="s">
        <v>606</v>
      </c>
      <c r="I239" s="11">
        <v>328.21</v>
      </c>
      <c r="J239" s="65"/>
      <c r="K239" s="53"/>
      <c r="L239" s="65"/>
      <c r="M239" s="53"/>
      <c r="N239" s="52" t="s">
        <v>66</v>
      </c>
      <c r="O239" s="55" t="s">
        <v>609</v>
      </c>
    </row>
    <row r="240" spans="1:15" ht="191.25" hidden="1" x14ac:dyDescent="0.2">
      <c r="C240" s="64" t="s">
        <v>614</v>
      </c>
      <c r="D240" s="62" t="s">
        <v>604</v>
      </c>
      <c r="E240" s="63" t="s">
        <v>615</v>
      </c>
      <c r="F240" s="62"/>
      <c r="G240" s="62"/>
      <c r="H240" s="62" t="s">
        <v>616</v>
      </c>
      <c r="I240" s="62">
        <v>328.21</v>
      </c>
      <c r="J240" s="61"/>
      <c r="K240" s="60"/>
      <c r="L240" s="61"/>
      <c r="M240" s="60"/>
      <c r="N240" s="59" t="s">
        <v>66</v>
      </c>
      <c r="O240" s="55" t="s">
        <v>609</v>
      </c>
    </row>
    <row r="241" spans="1:15" ht="38.25" x14ac:dyDescent="0.2">
      <c r="C241" s="15" t="s">
        <v>617</v>
      </c>
      <c r="D241" s="11" t="s">
        <v>618</v>
      </c>
      <c r="E241" s="58">
        <v>400</v>
      </c>
      <c r="F241" s="11" t="s">
        <v>359</v>
      </c>
      <c r="G241" s="11"/>
      <c r="H241" s="11" t="s">
        <v>619</v>
      </c>
      <c r="I241" s="11">
        <v>328.29</v>
      </c>
      <c r="J241" s="52"/>
      <c r="K241" s="53"/>
      <c r="L241" s="52"/>
      <c r="M241" s="53"/>
      <c r="N241" s="52" t="s">
        <v>66</v>
      </c>
      <c r="O241" s="55" t="s">
        <v>609</v>
      </c>
    </row>
    <row r="242" spans="1:15" ht="25.5" x14ac:dyDescent="0.2">
      <c r="C242" s="15" t="s">
        <v>620</v>
      </c>
      <c r="D242" s="11" t="s">
        <v>604</v>
      </c>
      <c r="E242" s="57" t="s">
        <v>621</v>
      </c>
      <c r="F242" s="11"/>
      <c r="G242" s="11"/>
      <c r="H242" s="11" t="s">
        <v>622</v>
      </c>
      <c r="I242" s="56">
        <v>328.5</v>
      </c>
      <c r="J242" s="52"/>
      <c r="K242" s="53"/>
      <c r="L242" s="52"/>
      <c r="M242" s="53"/>
      <c r="N242" s="52" t="s">
        <v>66</v>
      </c>
      <c r="O242" s="55" t="s">
        <v>609</v>
      </c>
    </row>
    <row r="243" spans="1:15" ht="25.5" x14ac:dyDescent="0.2">
      <c r="C243" s="15" t="s">
        <v>623</v>
      </c>
      <c r="D243" s="11"/>
      <c r="E243" s="54" t="s">
        <v>624</v>
      </c>
      <c r="F243" s="11" t="s">
        <v>625</v>
      </c>
      <c r="G243" s="11"/>
      <c r="H243" s="11" t="s">
        <v>597</v>
      </c>
      <c r="I243" s="11">
        <v>328.54</v>
      </c>
      <c r="J243" s="52"/>
      <c r="K243" s="53"/>
      <c r="L243" s="52"/>
      <c r="M243" s="53"/>
      <c r="N243" s="52" t="s">
        <v>66</v>
      </c>
      <c r="O243" s="51"/>
    </row>
    <row r="244" spans="1:15" ht="25.5" x14ac:dyDescent="0.2">
      <c r="A244" s="50"/>
      <c r="B244" s="49" t="s">
        <v>626</v>
      </c>
      <c r="C244" s="48" t="s">
        <v>627</v>
      </c>
      <c r="D244" s="43"/>
      <c r="E244" s="47"/>
      <c r="F244" s="43"/>
      <c r="G244" s="46" t="s">
        <v>628</v>
      </c>
      <c r="H244" s="43"/>
      <c r="I244" s="43"/>
      <c r="J244" s="1"/>
      <c r="K244" s="45"/>
      <c r="L244" s="1"/>
      <c r="M244" s="45"/>
      <c r="N244" s="44"/>
      <c r="O244" s="43"/>
    </row>
    <row r="245" spans="1:15" ht="25.5" x14ac:dyDescent="0.2">
      <c r="C245" s="15" t="s">
        <v>629</v>
      </c>
      <c r="D245" s="11" t="s">
        <v>563</v>
      </c>
      <c r="E245" s="42">
        <v>10</v>
      </c>
      <c r="F245" s="11" t="s">
        <v>359</v>
      </c>
      <c r="G245" s="11"/>
      <c r="H245" s="11" t="s">
        <v>630</v>
      </c>
      <c r="I245" s="11" t="s">
        <v>631</v>
      </c>
      <c r="J245" s="4">
        <v>2353</v>
      </c>
      <c r="K245" s="13">
        <v>11896194.83</v>
      </c>
      <c r="L245" s="4">
        <v>2041</v>
      </c>
      <c r="M245" s="13">
        <v>11799560.66</v>
      </c>
      <c r="N245" s="12" t="s">
        <v>66</v>
      </c>
    </row>
    <row r="246" spans="1:15" ht="25.5" x14ac:dyDescent="0.2">
      <c r="C246" s="15" t="s">
        <v>632</v>
      </c>
      <c r="D246" s="11" t="s">
        <v>563</v>
      </c>
      <c r="E246" s="42">
        <v>20</v>
      </c>
      <c r="F246" s="11" t="s">
        <v>359</v>
      </c>
      <c r="G246" s="11"/>
      <c r="H246" s="11" t="s">
        <v>630</v>
      </c>
      <c r="I246" s="11" t="s">
        <v>633</v>
      </c>
      <c r="J246" s="4"/>
      <c r="L246" s="4"/>
      <c r="N246" s="12" t="s">
        <v>66</v>
      </c>
      <c r="O246" s="11" t="s">
        <v>634</v>
      </c>
    </row>
    <row r="247" spans="1:15" ht="25.5" x14ac:dyDescent="0.2">
      <c r="C247" s="15" t="s">
        <v>635</v>
      </c>
      <c r="D247" s="11" t="s">
        <v>563</v>
      </c>
      <c r="E247" s="41" t="s">
        <v>497</v>
      </c>
      <c r="F247" s="11" t="s">
        <v>359</v>
      </c>
      <c r="G247" s="11"/>
      <c r="H247" s="40">
        <v>44118</v>
      </c>
      <c r="I247" s="11" t="s">
        <v>636</v>
      </c>
      <c r="J247" s="4"/>
      <c r="L247" s="4"/>
      <c r="N247" s="12" t="s">
        <v>66</v>
      </c>
      <c r="O247" s="11" t="s">
        <v>634</v>
      </c>
    </row>
    <row r="248" spans="1:15" s="21" customFormat="1" x14ac:dyDescent="0.2">
      <c r="A248" s="33" t="s">
        <v>637</v>
      </c>
      <c r="B248" s="38"/>
      <c r="C248" s="39"/>
      <c r="D248" s="38"/>
      <c r="E248" s="37"/>
      <c r="F248" s="36"/>
      <c r="G248" s="36"/>
      <c r="H248" s="36"/>
      <c r="I248" s="36"/>
      <c r="J248" s="35"/>
      <c r="K248" s="34"/>
      <c r="L248" s="35"/>
      <c r="M248" s="34"/>
      <c r="N248" s="33"/>
      <c r="O248" s="32"/>
    </row>
    <row r="249" spans="1:15" x14ac:dyDescent="0.2">
      <c r="I249" s="11"/>
    </row>
    <row r="250" spans="1:15" s="22" customFormat="1" x14ac:dyDescent="0.2">
      <c r="A250" s="31"/>
      <c r="B250" s="30"/>
      <c r="C250" s="29"/>
      <c r="D250" s="28"/>
      <c r="E250" s="27"/>
      <c r="F250" s="26"/>
      <c r="G250" s="26"/>
      <c r="H250" s="26"/>
      <c r="I250" s="26"/>
      <c r="J250" s="25"/>
      <c r="K250" s="24"/>
      <c r="L250" s="25"/>
      <c r="M250" s="24"/>
      <c r="N250" s="12"/>
      <c r="O250" s="23"/>
    </row>
    <row r="251" spans="1:15" x14ac:dyDescent="0.2">
      <c r="A251" s="21" t="s">
        <v>638</v>
      </c>
    </row>
    <row r="253" spans="1:15" x14ac:dyDescent="0.2">
      <c r="I253" s="16"/>
    </row>
    <row r="266" spans="2:9" x14ac:dyDescent="0.2">
      <c r="B266" s="21"/>
      <c r="D266" s="9"/>
      <c r="E266" s="20"/>
      <c r="F266" s="9"/>
      <c r="G266" s="9"/>
      <c r="H266" s="9"/>
      <c r="I266" s="9"/>
    </row>
    <row r="267" spans="2:9" x14ac:dyDescent="0.2">
      <c r="B267" s="21"/>
      <c r="D267" s="9"/>
      <c r="E267" s="20"/>
      <c r="F267" s="9"/>
      <c r="G267" s="9"/>
      <c r="H267" s="9"/>
      <c r="I267" s="9"/>
    </row>
    <row r="268" spans="2:9" x14ac:dyDescent="0.2">
      <c r="B268" s="21"/>
      <c r="D268" s="9"/>
      <c r="E268" s="20"/>
      <c r="F268" s="9"/>
      <c r="G268" s="9"/>
      <c r="H268" s="9"/>
      <c r="I268" s="9"/>
    </row>
    <row r="269" spans="2:9" x14ac:dyDescent="0.2">
      <c r="B269" s="21"/>
      <c r="D269" s="9"/>
      <c r="E269" s="20"/>
      <c r="F269" s="9"/>
      <c r="G269" s="9"/>
      <c r="H269" s="9"/>
      <c r="I269" s="9"/>
    </row>
    <row r="270" spans="2:9" x14ac:dyDescent="0.2">
      <c r="B270" s="21"/>
      <c r="D270" s="9"/>
      <c r="E270" s="20"/>
      <c r="F270" s="9"/>
      <c r="G270" s="9"/>
      <c r="H270" s="9"/>
      <c r="I270" s="9"/>
    </row>
    <row r="271" spans="2:9" x14ac:dyDescent="0.2">
      <c r="B271" s="21"/>
      <c r="D271" s="9"/>
      <c r="E271" s="20"/>
      <c r="F271" s="9"/>
      <c r="G271" s="9"/>
      <c r="H271" s="9"/>
      <c r="I271" s="9"/>
    </row>
    <row r="272" spans="2:9" x14ac:dyDescent="0.2">
      <c r="B272" s="21"/>
      <c r="D272" s="9"/>
      <c r="E272" s="20"/>
      <c r="F272" s="9"/>
      <c r="G272" s="9"/>
      <c r="H272" s="9"/>
      <c r="I272" s="9"/>
    </row>
    <row r="273" spans="2:9" x14ac:dyDescent="0.2">
      <c r="B273" s="21"/>
      <c r="D273" s="9"/>
      <c r="E273" s="20"/>
      <c r="F273" s="9"/>
      <c r="G273" s="9"/>
      <c r="H273" s="9"/>
      <c r="I273" s="9"/>
    </row>
    <row r="274" spans="2:9" x14ac:dyDescent="0.2">
      <c r="B274" s="21"/>
      <c r="D274" s="9"/>
      <c r="E274" s="20"/>
      <c r="F274" s="9"/>
      <c r="G274" s="9"/>
      <c r="H274" s="9"/>
      <c r="I274" s="9"/>
    </row>
    <row r="275" spans="2:9" x14ac:dyDescent="0.2">
      <c r="B275" s="21"/>
      <c r="D275" s="9"/>
      <c r="E275" s="20"/>
      <c r="F275" s="9"/>
      <c r="G275" s="9"/>
      <c r="H275" s="9"/>
      <c r="I275" s="9"/>
    </row>
    <row r="276" spans="2:9" x14ac:dyDescent="0.2">
      <c r="B276" s="21"/>
      <c r="D276" s="9"/>
      <c r="E276" s="20"/>
      <c r="F276" s="9"/>
      <c r="G276" s="9"/>
      <c r="H276" s="9"/>
      <c r="I276" s="9"/>
    </row>
    <row r="277" spans="2:9" x14ac:dyDescent="0.2">
      <c r="B277" s="21"/>
      <c r="D277" s="9"/>
      <c r="E277" s="20"/>
      <c r="F277" s="9"/>
      <c r="G277" s="9"/>
      <c r="H277" s="9"/>
      <c r="I277" s="9"/>
    </row>
    <row r="278" spans="2:9" x14ac:dyDescent="0.2">
      <c r="B278" s="21"/>
      <c r="D278" s="9"/>
      <c r="E278" s="20"/>
      <c r="F278" s="9"/>
      <c r="G278" s="9"/>
      <c r="H278" s="9"/>
      <c r="I278" s="9"/>
    </row>
    <row r="279" spans="2:9" x14ac:dyDescent="0.2">
      <c r="B279" s="21"/>
      <c r="D279" s="9"/>
      <c r="E279" s="20"/>
      <c r="F279" s="9"/>
      <c r="G279" s="9"/>
      <c r="H279" s="9"/>
      <c r="I279" s="9"/>
    </row>
    <row r="280" spans="2:9" x14ac:dyDescent="0.2">
      <c r="B280" s="21"/>
      <c r="D280" s="9"/>
      <c r="E280" s="20"/>
      <c r="F280" s="9"/>
      <c r="G280" s="9"/>
      <c r="H280" s="9"/>
      <c r="I280" s="9"/>
    </row>
    <row r="281" spans="2:9" x14ac:dyDescent="0.2">
      <c r="B281" s="21"/>
      <c r="D281" s="9"/>
      <c r="E281" s="20"/>
      <c r="F281" s="9"/>
      <c r="G281" s="9"/>
      <c r="H281" s="9"/>
      <c r="I281" s="9"/>
    </row>
    <row r="282" spans="2:9" x14ac:dyDescent="0.2">
      <c r="B282" s="21"/>
      <c r="D282" s="9"/>
      <c r="E282" s="20"/>
      <c r="F282" s="9"/>
      <c r="G282" s="9"/>
      <c r="H282" s="9"/>
      <c r="I282" s="9"/>
    </row>
    <row r="283" spans="2:9" x14ac:dyDescent="0.2">
      <c r="B283" s="21"/>
      <c r="D283" s="9"/>
      <c r="E283" s="20"/>
      <c r="F283" s="9"/>
      <c r="G283" s="9"/>
      <c r="H283" s="9"/>
      <c r="I283" s="9"/>
    </row>
    <row r="284" spans="2:9" x14ac:dyDescent="0.2">
      <c r="B284" s="21"/>
      <c r="D284" s="9"/>
      <c r="E284" s="20"/>
      <c r="F284" s="9"/>
      <c r="G284" s="9"/>
      <c r="H284" s="9"/>
      <c r="I284" s="9"/>
    </row>
    <row r="285" spans="2:9" x14ac:dyDescent="0.2">
      <c r="B285" s="21"/>
      <c r="D285" s="9"/>
      <c r="E285" s="20"/>
      <c r="F285" s="9"/>
      <c r="G285" s="9"/>
      <c r="H285" s="9"/>
      <c r="I285" s="9"/>
    </row>
    <row r="286" spans="2:9" x14ac:dyDescent="0.2">
      <c r="B286" s="21"/>
      <c r="D286" s="9"/>
      <c r="E286" s="20"/>
      <c r="F286" s="9"/>
      <c r="G286" s="9"/>
      <c r="H286" s="9"/>
      <c r="I286" s="9"/>
    </row>
    <row r="287" spans="2:9" x14ac:dyDescent="0.2">
      <c r="B287" s="21"/>
      <c r="D287" s="9"/>
      <c r="E287" s="20"/>
      <c r="F287" s="9"/>
      <c r="G287" s="9"/>
      <c r="H287" s="9"/>
      <c r="I287" s="9"/>
    </row>
    <row r="288" spans="2:9" x14ac:dyDescent="0.2">
      <c r="B288" s="21"/>
      <c r="D288" s="9"/>
      <c r="E288" s="20"/>
      <c r="F288" s="9"/>
      <c r="G288" s="9"/>
      <c r="H288" s="9"/>
      <c r="I288" s="9"/>
    </row>
    <row r="289" spans="2:9" x14ac:dyDescent="0.2">
      <c r="B289" s="21"/>
      <c r="D289" s="9"/>
      <c r="E289" s="20"/>
      <c r="F289" s="9"/>
      <c r="G289" s="9"/>
      <c r="H289" s="9"/>
      <c r="I289" s="9"/>
    </row>
    <row r="290" spans="2:9" x14ac:dyDescent="0.2">
      <c r="B290" s="21"/>
      <c r="D290" s="9"/>
      <c r="E290" s="20"/>
      <c r="F290" s="9"/>
      <c r="G290" s="9"/>
      <c r="H290" s="9"/>
      <c r="I290" s="9"/>
    </row>
    <row r="291" spans="2:9" x14ac:dyDescent="0.2">
      <c r="B291" s="21"/>
      <c r="D291" s="9"/>
      <c r="E291" s="20"/>
      <c r="F291" s="9"/>
      <c r="G291" s="9"/>
      <c r="H291" s="9"/>
      <c r="I291" s="9"/>
    </row>
    <row r="292" spans="2:9" x14ac:dyDescent="0.2">
      <c r="B292" s="21"/>
      <c r="D292" s="9"/>
      <c r="E292" s="20"/>
      <c r="F292" s="9"/>
      <c r="G292" s="9"/>
      <c r="H292" s="9"/>
      <c r="I292" s="9"/>
    </row>
    <row r="293" spans="2:9" x14ac:dyDescent="0.2">
      <c r="B293" s="21"/>
      <c r="D293" s="9"/>
      <c r="E293" s="20"/>
      <c r="F293" s="9"/>
      <c r="G293" s="9"/>
      <c r="H293" s="9"/>
      <c r="I293" s="9"/>
    </row>
    <row r="294" spans="2:9" x14ac:dyDescent="0.2">
      <c r="B294" s="21"/>
      <c r="D294" s="9"/>
      <c r="E294" s="20"/>
      <c r="F294" s="9"/>
      <c r="G294" s="9"/>
      <c r="H294" s="9"/>
      <c r="I294" s="9"/>
    </row>
    <row r="295" spans="2:9" x14ac:dyDescent="0.2">
      <c r="B295" s="21"/>
      <c r="D295" s="9"/>
      <c r="E295" s="20"/>
      <c r="F295" s="9"/>
      <c r="G295" s="9"/>
      <c r="H295" s="9"/>
      <c r="I295" s="9"/>
    </row>
    <row r="296" spans="2:9" x14ac:dyDescent="0.2">
      <c r="B296" s="21"/>
      <c r="D296" s="9"/>
      <c r="E296" s="20"/>
      <c r="F296" s="9"/>
      <c r="G296" s="9"/>
      <c r="H296" s="9"/>
      <c r="I296" s="9"/>
    </row>
    <row r="297" spans="2:9" x14ac:dyDescent="0.2">
      <c r="B297" s="21"/>
      <c r="D297" s="9"/>
      <c r="E297" s="20"/>
      <c r="F297" s="9"/>
      <c r="G297" s="9"/>
      <c r="H297" s="9"/>
      <c r="I297" s="9"/>
    </row>
    <row r="298" spans="2:9" x14ac:dyDescent="0.2">
      <c r="B298" s="21"/>
      <c r="D298" s="9"/>
      <c r="E298" s="20"/>
      <c r="F298" s="9"/>
      <c r="G298" s="9"/>
      <c r="H298" s="9"/>
      <c r="I298" s="9"/>
    </row>
    <row r="299" spans="2:9" x14ac:dyDescent="0.2">
      <c r="B299" s="21"/>
      <c r="D299" s="9"/>
      <c r="E299" s="20"/>
      <c r="F299" s="9"/>
      <c r="G299" s="9"/>
      <c r="H299" s="9"/>
      <c r="I299" s="9"/>
    </row>
    <row r="300" spans="2:9" x14ac:dyDescent="0.2">
      <c r="B300" s="21"/>
      <c r="D300" s="9"/>
      <c r="E300" s="20"/>
      <c r="F300" s="9"/>
      <c r="G300" s="9"/>
      <c r="H300" s="9"/>
      <c r="I300" s="9"/>
    </row>
    <row r="301" spans="2:9" x14ac:dyDescent="0.2">
      <c r="B301" s="21"/>
      <c r="D301" s="9"/>
      <c r="E301" s="20"/>
      <c r="F301" s="9"/>
      <c r="G301" s="9"/>
      <c r="H301" s="9"/>
      <c r="I301" s="9"/>
    </row>
    <row r="302" spans="2:9" x14ac:dyDescent="0.2">
      <c r="B302" s="21"/>
      <c r="D302" s="9"/>
      <c r="E302" s="20"/>
      <c r="F302" s="9"/>
      <c r="G302" s="9"/>
      <c r="H302" s="9"/>
      <c r="I302" s="9"/>
    </row>
    <row r="303" spans="2:9" x14ac:dyDescent="0.2">
      <c r="B303" s="21"/>
      <c r="D303" s="9"/>
      <c r="E303" s="20"/>
      <c r="F303" s="9"/>
      <c r="G303" s="9"/>
      <c r="H303" s="9"/>
      <c r="I303" s="9"/>
    </row>
    <row r="304" spans="2:9" x14ac:dyDescent="0.2">
      <c r="B304" s="21"/>
      <c r="D304" s="9"/>
      <c r="E304" s="20"/>
      <c r="F304" s="9"/>
      <c r="G304" s="9"/>
      <c r="H304" s="9"/>
      <c r="I304" s="9"/>
    </row>
    <row r="305" spans="2:9" x14ac:dyDescent="0.2">
      <c r="B305" s="21"/>
      <c r="D305" s="9"/>
      <c r="E305" s="20"/>
      <c r="F305" s="9"/>
      <c r="G305" s="9"/>
      <c r="H305" s="9"/>
      <c r="I305" s="9"/>
    </row>
    <row r="306" spans="2:9" x14ac:dyDescent="0.2">
      <c r="B306" s="21"/>
      <c r="D306" s="9"/>
      <c r="E306" s="20"/>
      <c r="F306" s="9"/>
      <c r="G306" s="9"/>
      <c r="H306" s="9"/>
      <c r="I306" s="9"/>
    </row>
    <row r="307" spans="2:9" x14ac:dyDescent="0.2">
      <c r="B307" s="21"/>
      <c r="D307" s="9"/>
      <c r="E307" s="20"/>
      <c r="F307" s="9"/>
      <c r="G307" s="9"/>
      <c r="H307" s="9"/>
      <c r="I307" s="9"/>
    </row>
    <row r="308" spans="2:9" x14ac:dyDescent="0.2">
      <c r="B308" s="21"/>
      <c r="D308" s="9"/>
      <c r="E308" s="20"/>
      <c r="F308" s="9"/>
      <c r="G308" s="9"/>
      <c r="H308" s="9"/>
      <c r="I308" s="9"/>
    </row>
    <row r="309" spans="2:9" x14ac:dyDescent="0.2">
      <c r="B309" s="21"/>
      <c r="D309" s="9"/>
      <c r="E309" s="20"/>
      <c r="F309" s="9"/>
      <c r="G309" s="9"/>
      <c r="H309" s="9"/>
      <c r="I309" s="9"/>
    </row>
    <row r="310" spans="2:9" x14ac:dyDescent="0.2">
      <c r="B310" s="21"/>
      <c r="D310" s="9"/>
      <c r="E310" s="20"/>
      <c r="F310" s="9"/>
      <c r="G310" s="9"/>
      <c r="H310" s="9"/>
      <c r="I310" s="9"/>
    </row>
    <row r="311" spans="2:9" x14ac:dyDescent="0.2">
      <c r="B311" s="21"/>
      <c r="D311" s="9"/>
      <c r="E311" s="20"/>
      <c r="F311" s="9"/>
      <c r="G311" s="9"/>
      <c r="H311" s="9"/>
      <c r="I311" s="9"/>
    </row>
    <row r="312" spans="2:9" x14ac:dyDescent="0.2">
      <c r="B312" s="21"/>
      <c r="D312" s="9"/>
      <c r="E312" s="20"/>
      <c r="F312" s="9"/>
      <c r="G312" s="9"/>
      <c r="H312" s="9"/>
      <c r="I312" s="9"/>
    </row>
    <row r="313" spans="2:9" x14ac:dyDescent="0.2">
      <c r="B313" s="21"/>
      <c r="D313" s="9"/>
      <c r="E313" s="20"/>
      <c r="F313" s="9"/>
      <c r="G313" s="9"/>
      <c r="H313" s="9"/>
      <c r="I313" s="9"/>
    </row>
    <row r="314" spans="2:9" x14ac:dyDescent="0.2">
      <c r="B314" s="21"/>
      <c r="D314" s="9"/>
      <c r="E314" s="20"/>
      <c r="F314" s="9"/>
      <c r="G314" s="9"/>
      <c r="H314" s="9"/>
      <c r="I314" s="9"/>
    </row>
    <row r="315" spans="2:9" x14ac:dyDescent="0.2">
      <c r="B315" s="21"/>
      <c r="D315" s="9"/>
      <c r="E315" s="20"/>
      <c r="F315" s="9"/>
      <c r="G315" s="9"/>
      <c r="H315" s="9"/>
      <c r="I315" s="9"/>
    </row>
    <row r="316" spans="2:9" x14ac:dyDescent="0.2">
      <c r="B316" s="21"/>
      <c r="D316" s="9"/>
      <c r="E316" s="20"/>
      <c r="F316" s="9"/>
      <c r="G316" s="9"/>
      <c r="H316" s="9"/>
      <c r="I316" s="9"/>
    </row>
    <row r="317" spans="2:9" x14ac:dyDescent="0.2">
      <c r="B317" s="21"/>
      <c r="D317" s="9"/>
      <c r="E317" s="20"/>
      <c r="F317" s="9"/>
      <c r="G317" s="9"/>
      <c r="H317" s="9"/>
      <c r="I317" s="9"/>
    </row>
    <row r="318" spans="2:9" x14ac:dyDescent="0.2">
      <c r="B318" s="21"/>
      <c r="D318" s="9"/>
      <c r="E318" s="20"/>
      <c r="F318" s="9"/>
      <c r="G318" s="9"/>
      <c r="H318" s="9"/>
      <c r="I318" s="9"/>
    </row>
    <row r="319" spans="2:9" x14ac:dyDescent="0.2">
      <c r="B319" s="21"/>
      <c r="D319" s="9"/>
      <c r="E319" s="20"/>
      <c r="F319" s="9"/>
      <c r="G319" s="9"/>
      <c r="H319" s="9"/>
      <c r="I319" s="9"/>
    </row>
    <row r="320" spans="2:9" x14ac:dyDescent="0.2">
      <c r="B320" s="21"/>
      <c r="D320" s="9"/>
      <c r="E320" s="20"/>
      <c r="F320" s="9"/>
      <c r="G320" s="9"/>
      <c r="H320" s="9"/>
      <c r="I320" s="9"/>
    </row>
    <row r="321" spans="2:9" x14ac:dyDescent="0.2">
      <c r="B321" s="21"/>
      <c r="D321" s="9"/>
      <c r="E321" s="20"/>
      <c r="F321" s="9"/>
      <c r="G321" s="9"/>
      <c r="H321" s="9"/>
      <c r="I321" s="9"/>
    </row>
    <row r="322" spans="2:9" x14ac:dyDescent="0.2">
      <c r="B322" s="21"/>
      <c r="D322" s="9"/>
      <c r="E322" s="20"/>
      <c r="F322" s="9"/>
      <c r="G322" s="9"/>
      <c r="H322" s="9"/>
      <c r="I322" s="9"/>
    </row>
    <row r="323" spans="2:9" x14ac:dyDescent="0.2">
      <c r="B323" s="21"/>
      <c r="D323" s="9"/>
      <c r="E323" s="20"/>
      <c r="F323" s="9"/>
      <c r="G323" s="9"/>
      <c r="H323" s="9"/>
      <c r="I323" s="9"/>
    </row>
    <row r="324" spans="2:9" x14ac:dyDescent="0.2">
      <c r="B324" s="21"/>
      <c r="D324" s="9"/>
      <c r="E324" s="20"/>
      <c r="F324" s="9"/>
      <c r="G324" s="9"/>
      <c r="H324" s="9"/>
      <c r="I324" s="9"/>
    </row>
    <row r="325" spans="2:9" x14ac:dyDescent="0.2">
      <c r="B325" s="21"/>
      <c r="D325" s="9"/>
      <c r="E325" s="20"/>
      <c r="F325" s="9"/>
      <c r="G325" s="9"/>
      <c r="H325" s="9"/>
      <c r="I325" s="9"/>
    </row>
    <row r="326" spans="2:9" x14ac:dyDescent="0.2">
      <c r="B326" s="21"/>
      <c r="D326" s="9"/>
      <c r="E326" s="20"/>
      <c r="F326" s="9"/>
      <c r="G326" s="9"/>
      <c r="H326" s="9"/>
      <c r="I326" s="9"/>
    </row>
    <row r="327" spans="2:9" x14ac:dyDescent="0.2">
      <c r="B327" s="21"/>
      <c r="D327" s="9"/>
      <c r="E327" s="20"/>
      <c r="F327" s="9"/>
      <c r="G327" s="9"/>
      <c r="H327" s="9"/>
      <c r="I327" s="9"/>
    </row>
    <row r="328" spans="2:9" x14ac:dyDescent="0.2">
      <c r="B328" s="21"/>
      <c r="D328" s="9"/>
      <c r="E328" s="20"/>
      <c r="F328" s="9"/>
      <c r="G328" s="9"/>
      <c r="H328" s="9"/>
      <c r="I328" s="9"/>
    </row>
    <row r="329" spans="2:9" x14ac:dyDescent="0.2">
      <c r="B329" s="21"/>
      <c r="D329" s="9"/>
      <c r="E329" s="20"/>
      <c r="F329" s="9"/>
      <c r="G329" s="9"/>
      <c r="H329" s="9"/>
      <c r="I329" s="9"/>
    </row>
    <row r="330" spans="2:9" x14ac:dyDescent="0.2">
      <c r="B330" s="21"/>
      <c r="D330" s="9"/>
      <c r="E330" s="20"/>
      <c r="F330" s="9"/>
      <c r="G330" s="9"/>
      <c r="H330" s="9"/>
      <c r="I330" s="9"/>
    </row>
    <row r="331" spans="2:9" x14ac:dyDescent="0.2">
      <c r="B331" s="21"/>
      <c r="D331" s="9"/>
      <c r="E331" s="20"/>
      <c r="F331" s="9"/>
      <c r="G331" s="9"/>
      <c r="H331" s="9"/>
      <c r="I331" s="9"/>
    </row>
    <row r="332" spans="2:9" x14ac:dyDescent="0.2">
      <c r="B332" s="21"/>
      <c r="D332" s="9"/>
      <c r="E332" s="20"/>
      <c r="F332" s="9"/>
      <c r="G332" s="9"/>
      <c r="H332" s="9"/>
      <c r="I332" s="9"/>
    </row>
    <row r="333" spans="2:9" x14ac:dyDescent="0.2">
      <c r="B333" s="21"/>
      <c r="D333" s="9"/>
      <c r="E333" s="20"/>
      <c r="F333" s="9"/>
      <c r="G333" s="9"/>
      <c r="H333" s="9"/>
      <c r="I333" s="9"/>
    </row>
    <row r="334" spans="2:9" x14ac:dyDescent="0.2">
      <c r="B334" s="21"/>
      <c r="D334" s="9"/>
      <c r="E334" s="20"/>
      <c r="F334" s="9"/>
      <c r="G334" s="9"/>
      <c r="H334" s="9"/>
      <c r="I334" s="9"/>
    </row>
    <row r="335" spans="2:9" x14ac:dyDescent="0.2">
      <c r="B335" s="21"/>
      <c r="D335" s="9"/>
      <c r="E335" s="20"/>
      <c r="F335" s="9"/>
      <c r="G335" s="9"/>
      <c r="H335" s="9"/>
      <c r="I335" s="9"/>
    </row>
    <row r="336" spans="2:9" x14ac:dyDescent="0.2">
      <c r="B336" s="21"/>
      <c r="D336" s="9"/>
      <c r="E336" s="20"/>
      <c r="F336" s="9"/>
      <c r="G336" s="9"/>
      <c r="H336" s="9"/>
      <c r="I336" s="9"/>
    </row>
    <row r="337" spans="2:9" x14ac:dyDescent="0.2">
      <c r="B337" s="21"/>
      <c r="D337" s="9"/>
      <c r="E337" s="20"/>
      <c r="F337" s="9"/>
      <c r="G337" s="9"/>
      <c r="H337" s="9"/>
      <c r="I337" s="9"/>
    </row>
    <row r="338" spans="2:9" x14ac:dyDescent="0.2">
      <c r="B338" s="21"/>
      <c r="D338" s="9"/>
      <c r="E338" s="20"/>
      <c r="F338" s="9"/>
      <c r="G338" s="9"/>
      <c r="H338" s="9"/>
      <c r="I338" s="9"/>
    </row>
    <row r="339" spans="2:9" x14ac:dyDescent="0.2">
      <c r="B339" s="21"/>
      <c r="D339" s="9"/>
      <c r="E339" s="20"/>
      <c r="F339" s="9"/>
      <c r="G339" s="9"/>
      <c r="H339" s="9"/>
      <c r="I339" s="9"/>
    </row>
    <row r="340" spans="2:9" x14ac:dyDescent="0.2">
      <c r="B340" s="21"/>
      <c r="D340" s="9"/>
      <c r="E340" s="20"/>
      <c r="F340" s="9"/>
      <c r="G340" s="9"/>
      <c r="H340" s="9"/>
      <c r="I340" s="9"/>
    </row>
    <row r="341" spans="2:9" x14ac:dyDescent="0.2">
      <c r="B341" s="21"/>
      <c r="D341" s="9"/>
      <c r="E341" s="20"/>
      <c r="F341" s="9"/>
      <c r="G341" s="9"/>
      <c r="H341" s="9"/>
      <c r="I341" s="9"/>
    </row>
    <row r="342" spans="2:9" x14ac:dyDescent="0.2">
      <c r="B342" s="21"/>
      <c r="D342" s="9"/>
      <c r="E342" s="20"/>
      <c r="F342" s="9"/>
      <c r="G342" s="9"/>
      <c r="H342" s="9"/>
      <c r="I342" s="9"/>
    </row>
    <row r="343" spans="2:9" x14ac:dyDescent="0.2">
      <c r="B343" s="21"/>
      <c r="D343" s="9"/>
      <c r="E343" s="20"/>
      <c r="F343" s="9"/>
      <c r="G343" s="9"/>
      <c r="H343" s="9"/>
      <c r="I343" s="9"/>
    </row>
    <row r="344" spans="2:9" x14ac:dyDescent="0.2">
      <c r="B344" s="21"/>
      <c r="D344" s="9"/>
      <c r="E344" s="20"/>
      <c r="F344" s="9"/>
      <c r="G344" s="9"/>
      <c r="H344" s="9"/>
      <c r="I344" s="9"/>
    </row>
    <row r="345" spans="2:9" x14ac:dyDescent="0.2">
      <c r="B345" s="21"/>
      <c r="D345" s="9"/>
      <c r="E345" s="20"/>
      <c r="F345" s="9"/>
      <c r="G345" s="9"/>
      <c r="H345" s="9"/>
      <c r="I345" s="9"/>
    </row>
    <row r="346" spans="2:9" x14ac:dyDescent="0.2">
      <c r="B346" s="21"/>
      <c r="D346" s="9"/>
      <c r="E346" s="20"/>
      <c r="F346" s="9"/>
      <c r="G346" s="9"/>
      <c r="H346" s="9"/>
      <c r="I346" s="9"/>
    </row>
    <row r="347" spans="2:9" x14ac:dyDescent="0.2">
      <c r="B347" s="21"/>
      <c r="D347" s="9"/>
      <c r="E347" s="20"/>
      <c r="F347" s="9"/>
      <c r="G347" s="9"/>
      <c r="H347" s="9"/>
      <c r="I347" s="9"/>
    </row>
    <row r="348" spans="2:9" x14ac:dyDescent="0.2">
      <c r="B348" s="21"/>
      <c r="D348" s="9"/>
      <c r="E348" s="20"/>
      <c r="F348" s="9"/>
      <c r="G348" s="9"/>
      <c r="H348" s="9"/>
      <c r="I348" s="9"/>
    </row>
    <row r="349" spans="2:9" x14ac:dyDescent="0.2">
      <c r="B349" s="21"/>
      <c r="D349" s="9"/>
      <c r="E349" s="20"/>
      <c r="F349" s="9"/>
      <c r="G349" s="9"/>
      <c r="H349" s="9"/>
      <c r="I349" s="9"/>
    </row>
    <row r="350" spans="2:9" x14ac:dyDescent="0.2">
      <c r="B350" s="21"/>
      <c r="D350" s="9"/>
      <c r="E350" s="20"/>
      <c r="F350" s="9"/>
      <c r="G350" s="9"/>
      <c r="H350" s="9"/>
      <c r="I350" s="9"/>
    </row>
    <row r="351" spans="2:9" x14ac:dyDescent="0.2">
      <c r="B351" s="21"/>
      <c r="D351" s="9"/>
      <c r="E351" s="20"/>
      <c r="F351" s="9"/>
      <c r="G351" s="9"/>
      <c r="H351" s="9"/>
      <c r="I351" s="9"/>
    </row>
    <row r="352" spans="2:9" x14ac:dyDescent="0.2">
      <c r="B352" s="21"/>
      <c r="D352" s="9"/>
      <c r="E352" s="20"/>
      <c r="F352" s="9"/>
      <c r="G352" s="9"/>
      <c r="H352" s="9"/>
      <c r="I352" s="9"/>
    </row>
    <row r="353" spans="2:9" x14ac:dyDescent="0.2">
      <c r="B353" s="21"/>
      <c r="D353" s="9"/>
      <c r="E353" s="20"/>
      <c r="F353" s="9"/>
      <c r="G353" s="9"/>
      <c r="H353" s="9"/>
      <c r="I353" s="9"/>
    </row>
    <row r="354" spans="2:9" x14ac:dyDescent="0.2">
      <c r="B354" s="21"/>
      <c r="D354" s="9"/>
      <c r="E354" s="20"/>
      <c r="F354" s="9"/>
      <c r="G354" s="9"/>
      <c r="H354" s="9"/>
      <c r="I354" s="9"/>
    </row>
    <row r="355" spans="2:9" x14ac:dyDescent="0.2">
      <c r="B355" s="21"/>
      <c r="D355" s="9"/>
      <c r="E355" s="20"/>
      <c r="F355" s="9"/>
      <c r="G355" s="9"/>
      <c r="H355" s="9"/>
      <c r="I355" s="9"/>
    </row>
    <row r="356" spans="2:9" x14ac:dyDescent="0.2">
      <c r="B356" s="21"/>
      <c r="D356" s="9"/>
      <c r="E356" s="20"/>
      <c r="F356" s="9"/>
      <c r="G356" s="9"/>
      <c r="H356" s="9"/>
      <c r="I356" s="9"/>
    </row>
    <row r="357" spans="2:9" x14ac:dyDescent="0.2">
      <c r="B357" s="21"/>
      <c r="D357" s="9"/>
      <c r="E357" s="20"/>
      <c r="F357" s="9"/>
      <c r="G357" s="9"/>
      <c r="H357" s="9"/>
      <c r="I357" s="9"/>
    </row>
    <row r="358" spans="2:9" x14ac:dyDescent="0.2">
      <c r="B358" s="21"/>
      <c r="D358" s="9"/>
      <c r="E358" s="20"/>
      <c r="F358" s="9"/>
      <c r="G358" s="9"/>
      <c r="H358" s="9"/>
      <c r="I358" s="9"/>
    </row>
    <row r="359" spans="2:9" x14ac:dyDescent="0.2">
      <c r="B359" s="21"/>
      <c r="D359" s="9"/>
      <c r="E359" s="20"/>
      <c r="F359" s="9"/>
      <c r="G359" s="9"/>
      <c r="H359" s="9"/>
      <c r="I359" s="9"/>
    </row>
    <row r="360" spans="2:9" x14ac:dyDescent="0.2">
      <c r="B360" s="21"/>
      <c r="D360" s="9"/>
      <c r="E360" s="20"/>
      <c r="F360" s="9"/>
      <c r="G360" s="9"/>
      <c r="H360" s="9"/>
      <c r="I360" s="9"/>
    </row>
    <row r="361" spans="2:9" x14ac:dyDescent="0.2">
      <c r="B361" s="21"/>
      <c r="D361" s="9"/>
      <c r="E361" s="20"/>
      <c r="F361" s="9"/>
      <c r="G361" s="9"/>
      <c r="H361" s="9"/>
      <c r="I361" s="9"/>
    </row>
    <row r="362" spans="2:9" x14ac:dyDescent="0.2">
      <c r="B362" s="21"/>
      <c r="D362" s="9"/>
      <c r="E362" s="20"/>
      <c r="F362" s="9"/>
      <c r="G362" s="9"/>
      <c r="H362" s="9"/>
      <c r="I362" s="9"/>
    </row>
    <row r="363" spans="2:9" x14ac:dyDescent="0.2">
      <c r="B363" s="21"/>
      <c r="D363" s="9"/>
      <c r="E363" s="20"/>
      <c r="F363" s="9"/>
      <c r="G363" s="9"/>
      <c r="H363" s="9"/>
      <c r="I363" s="9"/>
    </row>
    <row r="364" spans="2:9" x14ac:dyDescent="0.2">
      <c r="B364" s="21"/>
      <c r="D364" s="9"/>
      <c r="E364" s="20"/>
      <c r="F364" s="9"/>
      <c r="G364" s="9"/>
      <c r="H364" s="9"/>
      <c r="I364" s="9"/>
    </row>
    <row r="365" spans="2:9" x14ac:dyDescent="0.2">
      <c r="B365" s="21"/>
      <c r="D365" s="9"/>
      <c r="E365" s="20"/>
      <c r="F365" s="9"/>
      <c r="G365" s="9"/>
      <c r="H365" s="9"/>
      <c r="I365" s="9"/>
    </row>
    <row r="366" spans="2:9" x14ac:dyDescent="0.2">
      <c r="B366" s="21"/>
      <c r="D366" s="9"/>
      <c r="E366" s="20"/>
      <c r="F366" s="9"/>
      <c r="G366" s="9"/>
      <c r="H366" s="9"/>
      <c r="I366" s="9"/>
    </row>
    <row r="367" spans="2:9" x14ac:dyDescent="0.2">
      <c r="B367" s="21"/>
      <c r="D367" s="9"/>
      <c r="E367" s="20"/>
      <c r="F367" s="9"/>
      <c r="G367" s="9"/>
      <c r="H367" s="9"/>
      <c r="I367" s="9"/>
    </row>
    <row r="368" spans="2:9" x14ac:dyDescent="0.2">
      <c r="B368" s="21"/>
      <c r="D368" s="9"/>
      <c r="E368" s="20"/>
      <c r="F368" s="9"/>
      <c r="G368" s="9"/>
      <c r="H368" s="9"/>
      <c r="I368" s="9"/>
    </row>
    <row r="369" spans="2:9" x14ac:dyDescent="0.2">
      <c r="B369" s="21"/>
      <c r="D369" s="9"/>
      <c r="E369" s="20"/>
      <c r="F369" s="9"/>
      <c r="G369" s="9"/>
      <c r="H369" s="9"/>
      <c r="I369" s="9"/>
    </row>
    <row r="370" spans="2:9" x14ac:dyDescent="0.2">
      <c r="B370" s="21"/>
      <c r="D370" s="9"/>
      <c r="E370" s="20"/>
      <c r="F370" s="9"/>
      <c r="G370" s="9"/>
      <c r="H370" s="9"/>
      <c r="I370" s="9"/>
    </row>
    <row r="371" spans="2:9" x14ac:dyDescent="0.2">
      <c r="B371" s="21"/>
      <c r="D371" s="9"/>
      <c r="E371" s="20"/>
      <c r="F371" s="9"/>
      <c r="G371" s="9"/>
      <c r="H371" s="9"/>
      <c r="I371" s="9"/>
    </row>
    <row r="372" spans="2:9" x14ac:dyDescent="0.2">
      <c r="B372" s="21"/>
      <c r="D372" s="9"/>
      <c r="E372" s="20"/>
      <c r="F372" s="9"/>
      <c r="G372" s="9"/>
      <c r="H372" s="9"/>
      <c r="I372" s="9"/>
    </row>
    <row r="373" spans="2:9" x14ac:dyDescent="0.2">
      <c r="B373" s="21"/>
      <c r="D373" s="9"/>
      <c r="E373" s="20"/>
      <c r="F373" s="9"/>
      <c r="G373" s="9"/>
      <c r="H373" s="9"/>
      <c r="I373" s="9"/>
    </row>
    <row r="374" spans="2:9" x14ac:dyDescent="0.2">
      <c r="B374" s="21"/>
      <c r="D374" s="9"/>
      <c r="E374" s="20"/>
      <c r="F374" s="9"/>
      <c r="G374" s="9"/>
      <c r="H374" s="9"/>
      <c r="I374" s="9"/>
    </row>
    <row r="375" spans="2:9" x14ac:dyDescent="0.2">
      <c r="B375" s="21"/>
      <c r="D375" s="9"/>
      <c r="E375" s="20"/>
      <c r="F375" s="9"/>
      <c r="G375" s="9"/>
      <c r="H375" s="9"/>
      <c r="I375" s="9"/>
    </row>
    <row r="376" spans="2:9" x14ac:dyDescent="0.2">
      <c r="B376" s="21"/>
      <c r="D376" s="9"/>
      <c r="E376" s="20"/>
      <c r="F376" s="9"/>
      <c r="G376" s="9"/>
      <c r="H376" s="9"/>
      <c r="I376" s="9"/>
    </row>
    <row r="377" spans="2:9" x14ac:dyDescent="0.2">
      <c r="B377" s="21"/>
      <c r="D377" s="9"/>
      <c r="E377" s="20"/>
      <c r="F377" s="9"/>
      <c r="G377" s="9"/>
      <c r="H377" s="9"/>
      <c r="I377" s="9"/>
    </row>
    <row r="378" spans="2:9" x14ac:dyDescent="0.2">
      <c r="B378" s="21"/>
      <c r="D378" s="9"/>
      <c r="E378" s="20"/>
      <c r="F378" s="9"/>
      <c r="G378" s="9"/>
      <c r="H378" s="9"/>
      <c r="I378" s="9"/>
    </row>
    <row r="379" spans="2:9" x14ac:dyDescent="0.2">
      <c r="B379" s="21"/>
      <c r="D379" s="9"/>
      <c r="E379" s="20"/>
      <c r="F379" s="9"/>
      <c r="G379" s="9"/>
      <c r="H379" s="9"/>
      <c r="I379" s="9"/>
    </row>
    <row r="380" spans="2:9" x14ac:dyDescent="0.2">
      <c r="B380" s="21"/>
      <c r="D380" s="9"/>
      <c r="E380" s="20"/>
      <c r="F380" s="9"/>
      <c r="G380" s="9"/>
      <c r="H380" s="9"/>
      <c r="I380" s="9"/>
    </row>
    <row r="381" spans="2:9" x14ac:dyDescent="0.2">
      <c r="B381" s="21"/>
      <c r="D381" s="9"/>
      <c r="E381" s="20"/>
      <c r="F381" s="9"/>
      <c r="G381" s="9"/>
      <c r="H381" s="9"/>
      <c r="I381" s="9"/>
    </row>
    <row r="382" spans="2:9" x14ac:dyDescent="0.2">
      <c r="B382" s="21"/>
      <c r="D382" s="9"/>
      <c r="E382" s="20"/>
      <c r="F382" s="9"/>
      <c r="G382" s="9"/>
      <c r="H382" s="9"/>
      <c r="I382" s="9"/>
    </row>
    <row r="383" spans="2:9" x14ac:dyDescent="0.2">
      <c r="B383" s="21"/>
      <c r="D383" s="9"/>
      <c r="E383" s="20"/>
      <c r="F383" s="9"/>
      <c r="G383" s="9"/>
      <c r="H383" s="9"/>
      <c r="I383" s="9"/>
    </row>
    <row r="384" spans="2:9" x14ac:dyDescent="0.2">
      <c r="B384" s="21"/>
      <c r="D384" s="9"/>
      <c r="E384" s="20"/>
      <c r="F384" s="9"/>
      <c r="G384" s="9"/>
      <c r="H384" s="9"/>
      <c r="I384" s="9"/>
    </row>
    <row r="385" spans="2:9" x14ac:dyDescent="0.2">
      <c r="B385" s="21"/>
      <c r="D385" s="9"/>
      <c r="E385" s="20"/>
      <c r="F385" s="9"/>
      <c r="G385" s="9"/>
      <c r="H385" s="9"/>
      <c r="I385" s="9"/>
    </row>
    <row r="386" spans="2:9" x14ac:dyDescent="0.2">
      <c r="B386" s="21"/>
      <c r="D386" s="9"/>
      <c r="E386" s="20"/>
      <c r="F386" s="9"/>
      <c r="G386" s="9"/>
      <c r="H386" s="9"/>
      <c r="I386" s="9"/>
    </row>
    <row r="387" spans="2:9" x14ac:dyDescent="0.2">
      <c r="B387" s="21"/>
      <c r="D387" s="9"/>
      <c r="E387" s="20"/>
      <c r="F387" s="9"/>
      <c r="G387" s="9"/>
      <c r="H387" s="9"/>
      <c r="I387" s="9"/>
    </row>
    <row r="388" spans="2:9" x14ac:dyDescent="0.2">
      <c r="B388" s="21"/>
      <c r="D388" s="9"/>
      <c r="E388" s="20"/>
      <c r="F388" s="9"/>
      <c r="G388" s="9"/>
      <c r="H388" s="9"/>
      <c r="I388" s="9"/>
    </row>
    <row r="389" spans="2:9" x14ac:dyDescent="0.2">
      <c r="B389" s="21"/>
      <c r="D389" s="9"/>
      <c r="E389" s="20"/>
      <c r="F389" s="9"/>
      <c r="G389" s="9"/>
      <c r="H389" s="9"/>
      <c r="I389" s="9"/>
    </row>
    <row r="390" spans="2:9" x14ac:dyDescent="0.2">
      <c r="B390" s="21"/>
      <c r="D390" s="9"/>
      <c r="E390" s="20"/>
      <c r="F390" s="9"/>
      <c r="G390" s="9"/>
      <c r="H390" s="9"/>
      <c r="I390" s="9"/>
    </row>
    <row r="391" spans="2:9" x14ac:dyDescent="0.2">
      <c r="B391" s="21"/>
      <c r="D391" s="9"/>
      <c r="E391" s="20"/>
      <c r="F391" s="9"/>
      <c r="G391" s="9"/>
      <c r="H391" s="9"/>
      <c r="I391" s="9"/>
    </row>
    <row r="392" spans="2:9" x14ac:dyDescent="0.2">
      <c r="B392" s="21"/>
      <c r="D392" s="9"/>
      <c r="E392" s="20"/>
      <c r="F392" s="9"/>
      <c r="G392" s="9"/>
      <c r="H392" s="9"/>
      <c r="I392" s="9"/>
    </row>
    <row r="393" spans="2:9" x14ac:dyDescent="0.2">
      <c r="B393" s="21"/>
      <c r="D393" s="9"/>
      <c r="E393" s="20"/>
      <c r="F393" s="9"/>
      <c r="G393" s="9"/>
      <c r="H393" s="9"/>
      <c r="I393" s="9"/>
    </row>
    <row r="394" spans="2:9" x14ac:dyDescent="0.2">
      <c r="B394" s="21"/>
      <c r="D394" s="9"/>
      <c r="E394" s="20"/>
      <c r="F394" s="9"/>
      <c r="G394" s="9"/>
      <c r="H394" s="9"/>
      <c r="I394" s="9"/>
    </row>
    <row r="395" spans="2:9" x14ac:dyDescent="0.2">
      <c r="B395" s="21"/>
      <c r="D395" s="9"/>
      <c r="E395" s="20"/>
      <c r="F395" s="9"/>
      <c r="G395" s="9"/>
      <c r="H395" s="9"/>
      <c r="I395" s="9"/>
    </row>
    <row r="396" spans="2:9" x14ac:dyDescent="0.2">
      <c r="B396" s="21"/>
      <c r="D396" s="9"/>
      <c r="E396" s="20"/>
      <c r="F396" s="9"/>
      <c r="G396" s="9"/>
      <c r="H396" s="9"/>
      <c r="I396" s="9"/>
    </row>
    <row r="397" spans="2:9" x14ac:dyDescent="0.2">
      <c r="B397" s="21"/>
      <c r="D397" s="9"/>
      <c r="E397" s="20"/>
      <c r="F397" s="9"/>
      <c r="G397" s="9"/>
      <c r="H397" s="9"/>
      <c r="I397" s="9"/>
    </row>
    <row r="398" spans="2:9" x14ac:dyDescent="0.2">
      <c r="B398" s="21"/>
      <c r="D398" s="9"/>
      <c r="E398" s="20"/>
      <c r="F398" s="9"/>
      <c r="G398" s="9"/>
      <c r="H398" s="9"/>
      <c r="I398" s="9"/>
    </row>
    <row r="399" spans="2:9" x14ac:dyDescent="0.2">
      <c r="B399" s="21"/>
      <c r="D399" s="9"/>
      <c r="E399" s="20"/>
      <c r="F399" s="9"/>
      <c r="G399" s="9"/>
      <c r="H399" s="9"/>
      <c r="I399" s="9"/>
    </row>
    <row r="400" spans="2:9" x14ac:dyDescent="0.2">
      <c r="B400" s="21"/>
      <c r="D400" s="9"/>
      <c r="E400" s="20"/>
      <c r="F400" s="9"/>
      <c r="G400" s="9"/>
      <c r="H400" s="9"/>
      <c r="I400" s="9"/>
    </row>
    <row r="401" spans="2:9" x14ac:dyDescent="0.2">
      <c r="B401" s="21"/>
      <c r="D401" s="9"/>
      <c r="E401" s="20"/>
      <c r="F401" s="9"/>
      <c r="G401" s="9"/>
      <c r="H401" s="9"/>
      <c r="I401" s="9"/>
    </row>
    <row r="402" spans="2:9" x14ac:dyDescent="0.2">
      <c r="B402" s="21"/>
      <c r="D402" s="9"/>
      <c r="E402" s="20"/>
      <c r="F402" s="9"/>
      <c r="G402" s="9"/>
      <c r="H402" s="9"/>
      <c r="I402" s="9"/>
    </row>
    <row r="403" spans="2:9" x14ac:dyDescent="0.2">
      <c r="B403" s="21"/>
      <c r="D403" s="9"/>
      <c r="E403" s="20"/>
      <c r="F403" s="9"/>
      <c r="G403" s="9"/>
      <c r="H403" s="9"/>
      <c r="I403" s="9"/>
    </row>
    <row r="404" spans="2:9" x14ac:dyDescent="0.2">
      <c r="B404" s="21"/>
      <c r="D404" s="9"/>
      <c r="E404" s="20"/>
      <c r="F404" s="9"/>
      <c r="G404" s="9"/>
      <c r="H404" s="9"/>
      <c r="I404" s="9"/>
    </row>
    <row r="405" spans="2:9" x14ac:dyDescent="0.2">
      <c r="B405" s="21"/>
      <c r="D405" s="9"/>
      <c r="E405" s="20"/>
      <c r="F405" s="9"/>
      <c r="G405" s="9"/>
      <c r="H405" s="9"/>
      <c r="I405" s="9"/>
    </row>
    <row r="406" spans="2:9" x14ac:dyDescent="0.2">
      <c r="B406" s="21"/>
      <c r="D406" s="9"/>
      <c r="E406" s="20"/>
      <c r="F406" s="9"/>
      <c r="G406" s="9"/>
      <c r="H406" s="9"/>
      <c r="I406" s="9"/>
    </row>
    <row r="407" spans="2:9" x14ac:dyDescent="0.2">
      <c r="B407" s="21"/>
      <c r="D407" s="9"/>
      <c r="E407" s="20"/>
      <c r="F407" s="9"/>
      <c r="G407" s="9"/>
      <c r="H407" s="9"/>
      <c r="I407" s="9"/>
    </row>
    <row r="408" spans="2:9" x14ac:dyDescent="0.2">
      <c r="B408" s="21"/>
      <c r="D408" s="9"/>
      <c r="E408" s="20"/>
      <c r="F408" s="9"/>
      <c r="G408" s="9"/>
      <c r="H408" s="9"/>
      <c r="I408" s="9"/>
    </row>
    <row r="409" spans="2:9" x14ac:dyDescent="0.2">
      <c r="B409" s="21"/>
      <c r="D409" s="9"/>
      <c r="E409" s="20"/>
      <c r="F409" s="9"/>
      <c r="G409" s="9"/>
      <c r="H409" s="9"/>
      <c r="I409" s="9"/>
    </row>
    <row r="410" spans="2:9" x14ac:dyDescent="0.2">
      <c r="B410" s="21"/>
      <c r="D410" s="9"/>
      <c r="E410" s="20"/>
      <c r="F410" s="9"/>
      <c r="H410" s="9"/>
      <c r="I410" s="9"/>
    </row>
    <row r="411" spans="2:9" x14ac:dyDescent="0.2">
      <c r="B411" s="21"/>
      <c r="D411" s="9"/>
      <c r="E411" s="20"/>
      <c r="F411" s="9"/>
      <c r="G411" s="9"/>
      <c r="H411" s="9"/>
      <c r="I411" s="9"/>
    </row>
    <row r="412" spans="2:9" x14ac:dyDescent="0.2">
      <c r="B412" s="21"/>
      <c r="D412" s="9"/>
      <c r="E412" s="20"/>
      <c r="F412" s="9"/>
      <c r="G412" s="9"/>
      <c r="H412" s="9"/>
      <c r="I412" s="9"/>
    </row>
    <row r="413" spans="2:9" x14ac:dyDescent="0.2">
      <c r="B413" s="21"/>
      <c r="D413" s="9"/>
      <c r="E413" s="20"/>
      <c r="F413" s="9"/>
      <c r="G413" s="9"/>
      <c r="H413" s="9"/>
      <c r="I413" s="9"/>
    </row>
    <row r="414" spans="2:9" x14ac:dyDescent="0.2">
      <c r="B414" s="21"/>
      <c r="D414" s="9"/>
      <c r="E414" s="20"/>
      <c r="F414" s="9"/>
      <c r="G414" s="9"/>
      <c r="H414" s="9"/>
      <c r="I414" s="9"/>
    </row>
    <row r="415" spans="2:9" x14ac:dyDescent="0.2">
      <c r="B415" s="21"/>
      <c r="D415" s="9"/>
      <c r="E415" s="20"/>
      <c r="F415" s="9"/>
      <c r="G415" s="9"/>
      <c r="H415" s="9"/>
      <c r="I415" s="9"/>
    </row>
    <row r="416" spans="2:9" x14ac:dyDescent="0.2">
      <c r="B416" s="21"/>
      <c r="D416" s="9"/>
      <c r="E416" s="20"/>
      <c r="F416" s="9"/>
      <c r="G416" s="9"/>
      <c r="H416" s="9"/>
      <c r="I416" s="9"/>
    </row>
    <row r="417" spans="2:9" x14ac:dyDescent="0.2">
      <c r="B417" s="21"/>
      <c r="D417" s="9"/>
      <c r="E417" s="20"/>
      <c r="F417" s="9"/>
      <c r="G417" s="9"/>
      <c r="H417" s="9"/>
      <c r="I417" s="9"/>
    </row>
    <row r="418" spans="2:9" x14ac:dyDescent="0.2">
      <c r="B418" s="21"/>
      <c r="D418" s="9"/>
      <c r="E418" s="20"/>
      <c r="F418" s="9"/>
      <c r="G418" s="9"/>
      <c r="H418" s="9"/>
      <c r="I418" s="9"/>
    </row>
    <row r="419" spans="2:9" x14ac:dyDescent="0.2">
      <c r="B419" s="21"/>
      <c r="D419" s="9"/>
      <c r="E419" s="20"/>
      <c r="F419" s="9"/>
      <c r="G419" s="9"/>
      <c r="H419" s="9"/>
      <c r="I419" s="9"/>
    </row>
    <row r="420" spans="2:9" x14ac:dyDescent="0.2">
      <c r="B420" s="21"/>
      <c r="D420" s="9"/>
      <c r="E420" s="20"/>
      <c r="F420" s="9"/>
      <c r="G420" s="9"/>
      <c r="H420" s="9"/>
      <c r="I420" s="9"/>
    </row>
    <row r="421" spans="2:9" x14ac:dyDescent="0.2">
      <c r="B421" s="21"/>
      <c r="D421" s="9"/>
      <c r="E421" s="20"/>
      <c r="F421" s="9"/>
      <c r="G421" s="9"/>
      <c r="H421" s="9"/>
      <c r="I421" s="9"/>
    </row>
    <row r="422" spans="2:9" x14ac:dyDescent="0.2">
      <c r="B422" s="21"/>
      <c r="D422" s="9"/>
      <c r="E422" s="20"/>
      <c r="F422" s="9"/>
      <c r="G422" s="9"/>
      <c r="H422" s="9"/>
      <c r="I422" s="9"/>
    </row>
    <row r="423" spans="2:9" x14ac:dyDescent="0.2">
      <c r="B423" s="21"/>
      <c r="D423" s="9"/>
      <c r="E423" s="20"/>
      <c r="F423" s="9"/>
      <c r="G423" s="9"/>
      <c r="H423" s="9"/>
      <c r="I423" s="9"/>
    </row>
    <row r="424" spans="2:9" x14ac:dyDescent="0.2">
      <c r="B424" s="21"/>
      <c r="D424" s="9"/>
      <c r="E424" s="20"/>
      <c r="F424" s="9"/>
      <c r="G424" s="9"/>
      <c r="H424" s="9"/>
      <c r="I424" s="9"/>
    </row>
    <row r="425" spans="2:9" x14ac:dyDescent="0.2">
      <c r="B425" s="21"/>
      <c r="D425" s="9"/>
      <c r="E425" s="20"/>
      <c r="F425" s="9"/>
      <c r="G425" s="9"/>
      <c r="H425" s="9"/>
      <c r="I425" s="9"/>
    </row>
    <row r="426" spans="2:9" x14ac:dyDescent="0.2">
      <c r="B426" s="21"/>
      <c r="D426" s="9"/>
      <c r="E426" s="20"/>
      <c r="F426" s="9"/>
      <c r="G426" s="9"/>
      <c r="H426" s="9"/>
      <c r="I426" s="9"/>
    </row>
    <row r="427" spans="2:9" x14ac:dyDescent="0.2">
      <c r="B427" s="21"/>
      <c r="D427" s="9"/>
      <c r="E427" s="20"/>
      <c r="F427" s="9"/>
      <c r="G427" s="9"/>
      <c r="H427" s="9"/>
      <c r="I427" s="9"/>
    </row>
    <row r="428" spans="2:9" x14ac:dyDescent="0.2">
      <c r="B428" s="21"/>
      <c r="D428" s="9"/>
      <c r="E428" s="20"/>
      <c r="F428" s="9"/>
      <c r="G428" s="9"/>
      <c r="H428" s="9"/>
      <c r="I428" s="9"/>
    </row>
    <row r="429" spans="2:9" x14ac:dyDescent="0.2">
      <c r="B429" s="21"/>
      <c r="D429" s="9"/>
      <c r="E429" s="20"/>
      <c r="F429" s="9"/>
      <c r="G429" s="9"/>
      <c r="H429" s="9"/>
      <c r="I429" s="9"/>
    </row>
    <row r="430" spans="2:9" x14ac:dyDescent="0.2">
      <c r="B430" s="21"/>
      <c r="D430" s="9"/>
      <c r="E430" s="20"/>
      <c r="F430" s="9"/>
      <c r="G430" s="9"/>
      <c r="H430" s="9"/>
      <c r="I430" s="9"/>
    </row>
    <row r="431" spans="2:9" x14ac:dyDescent="0.2">
      <c r="B431" s="21"/>
      <c r="D431" s="9"/>
      <c r="E431" s="20"/>
      <c r="F431" s="9"/>
      <c r="G431" s="9"/>
      <c r="H431" s="9"/>
      <c r="I431" s="9"/>
    </row>
    <row r="432" spans="2:9" x14ac:dyDescent="0.2">
      <c r="B432" s="21"/>
      <c r="D432" s="9"/>
      <c r="E432" s="20"/>
      <c r="F432" s="9"/>
      <c r="G432" s="9"/>
      <c r="H432" s="9"/>
      <c r="I432" s="9"/>
    </row>
    <row r="433" spans="2:9" x14ac:dyDescent="0.2">
      <c r="B433" s="21"/>
      <c r="D433" s="9"/>
      <c r="E433" s="20"/>
      <c r="F433" s="9"/>
      <c r="G433" s="9"/>
      <c r="H433" s="9"/>
      <c r="I433" s="9"/>
    </row>
    <row r="434" spans="2:9" x14ac:dyDescent="0.2">
      <c r="B434" s="21"/>
      <c r="D434" s="9"/>
      <c r="E434" s="20"/>
      <c r="F434" s="9"/>
      <c r="G434" s="9"/>
      <c r="H434" s="9"/>
      <c r="I434" s="9"/>
    </row>
    <row r="435" spans="2:9" x14ac:dyDescent="0.2">
      <c r="B435" s="21"/>
      <c r="D435" s="9"/>
      <c r="E435" s="20"/>
      <c r="F435" s="9"/>
      <c r="G435" s="9"/>
      <c r="H435" s="9"/>
      <c r="I435" s="9"/>
    </row>
    <row r="436" spans="2:9" x14ac:dyDescent="0.2">
      <c r="B436" s="21"/>
      <c r="D436" s="9"/>
      <c r="E436" s="20"/>
      <c r="F436" s="9"/>
      <c r="G436" s="9"/>
      <c r="H436" s="9"/>
      <c r="I436" s="9"/>
    </row>
    <row r="437" spans="2:9" x14ac:dyDescent="0.2">
      <c r="B437" s="21"/>
      <c r="D437" s="9"/>
      <c r="E437" s="20"/>
      <c r="F437" s="9"/>
      <c r="G437" s="9"/>
      <c r="H437" s="9"/>
      <c r="I437" s="9"/>
    </row>
    <row r="438" spans="2:9" x14ac:dyDescent="0.2">
      <c r="B438" s="21"/>
      <c r="D438" s="9"/>
      <c r="E438" s="20"/>
      <c r="F438" s="9"/>
      <c r="G438" s="9"/>
      <c r="H438" s="9"/>
      <c r="I438" s="9"/>
    </row>
    <row r="439" spans="2:9" x14ac:dyDescent="0.2">
      <c r="B439" s="21"/>
      <c r="D439" s="9"/>
      <c r="E439" s="20"/>
      <c r="F439" s="9"/>
      <c r="G439" s="9"/>
      <c r="H439" s="9"/>
      <c r="I439" s="9"/>
    </row>
    <row r="440" spans="2:9" x14ac:dyDescent="0.2">
      <c r="B440" s="21"/>
      <c r="D440" s="9"/>
      <c r="E440" s="20"/>
      <c r="F440" s="9"/>
      <c r="G440" s="9"/>
      <c r="H440" s="9"/>
      <c r="I440" s="9"/>
    </row>
    <row r="441" spans="2:9" x14ac:dyDescent="0.2">
      <c r="B441" s="21"/>
      <c r="D441" s="9"/>
      <c r="E441" s="20"/>
      <c r="F441" s="9"/>
      <c r="G441" s="9"/>
      <c r="H441" s="9"/>
      <c r="I441" s="9"/>
    </row>
    <row r="442" spans="2:9" x14ac:dyDescent="0.2">
      <c r="B442" s="21"/>
      <c r="D442" s="9"/>
      <c r="E442" s="20"/>
      <c r="F442" s="9"/>
      <c r="G442" s="9"/>
      <c r="H442" s="9"/>
      <c r="I442" s="9"/>
    </row>
    <row r="443" spans="2:9" x14ac:dyDescent="0.2">
      <c r="B443" s="21"/>
      <c r="D443" s="9"/>
      <c r="E443" s="20"/>
      <c r="F443" s="9"/>
      <c r="G443" s="9"/>
      <c r="H443" s="9"/>
      <c r="I443" s="9"/>
    </row>
    <row r="444" spans="2:9" x14ac:dyDescent="0.2">
      <c r="B444" s="21"/>
      <c r="D444" s="9"/>
      <c r="E444" s="20"/>
      <c r="F444" s="9"/>
      <c r="G444" s="9"/>
      <c r="H444" s="9"/>
      <c r="I444" s="9"/>
    </row>
    <row r="445" spans="2:9" x14ac:dyDescent="0.2">
      <c r="B445" s="21"/>
      <c r="D445" s="9"/>
      <c r="E445" s="20"/>
      <c r="F445" s="9"/>
      <c r="G445" s="9"/>
      <c r="H445" s="9"/>
      <c r="I445" s="9"/>
    </row>
    <row r="446" spans="2:9" x14ac:dyDescent="0.2">
      <c r="B446" s="21"/>
      <c r="D446" s="9"/>
      <c r="E446" s="20"/>
      <c r="F446" s="9"/>
      <c r="G446" s="9"/>
      <c r="H446" s="9"/>
      <c r="I446" s="9"/>
    </row>
    <row r="447" spans="2:9" x14ac:dyDescent="0.2">
      <c r="B447" s="21"/>
      <c r="D447" s="9"/>
      <c r="E447" s="20"/>
      <c r="F447" s="9"/>
      <c r="G447" s="9"/>
      <c r="H447" s="9"/>
      <c r="I447" s="9"/>
    </row>
    <row r="448" spans="2:9" x14ac:dyDescent="0.2">
      <c r="B448" s="21"/>
      <c r="D448" s="9"/>
      <c r="E448" s="20"/>
      <c r="F448" s="9"/>
      <c r="G448" s="9"/>
      <c r="H448" s="9"/>
      <c r="I448" s="9"/>
    </row>
    <row r="449" spans="2:9" x14ac:dyDescent="0.2">
      <c r="B449" s="21"/>
      <c r="D449" s="9"/>
      <c r="E449" s="20"/>
      <c r="F449" s="9"/>
      <c r="G449" s="9"/>
      <c r="H449" s="9"/>
      <c r="I449" s="9"/>
    </row>
    <row r="450" spans="2:9" x14ac:dyDescent="0.2">
      <c r="B450" s="21"/>
      <c r="D450" s="9"/>
      <c r="E450" s="20"/>
      <c r="F450" s="9"/>
      <c r="G450" s="9"/>
      <c r="H450" s="9"/>
      <c r="I450" s="9"/>
    </row>
    <row r="451" spans="2:9" x14ac:dyDescent="0.2">
      <c r="B451" s="21"/>
      <c r="D451" s="9"/>
      <c r="E451" s="20"/>
      <c r="F451" s="9"/>
      <c r="G451" s="9"/>
      <c r="H451" s="9"/>
      <c r="I451" s="9"/>
    </row>
    <row r="452" spans="2:9" x14ac:dyDescent="0.2">
      <c r="B452" s="21"/>
      <c r="D452" s="9"/>
      <c r="E452" s="20"/>
      <c r="F452" s="9"/>
      <c r="G452" s="9"/>
      <c r="H452" s="9"/>
      <c r="I452" s="9"/>
    </row>
    <row r="453" spans="2:9" x14ac:dyDescent="0.2">
      <c r="B453" s="21"/>
      <c r="D453" s="9"/>
      <c r="E453" s="20"/>
      <c r="F453" s="9"/>
      <c r="G453" s="9"/>
      <c r="H453" s="9"/>
      <c r="I453" s="9"/>
    </row>
    <row r="454" spans="2:9" x14ac:dyDescent="0.2">
      <c r="B454" s="21"/>
      <c r="D454" s="9"/>
      <c r="E454" s="20"/>
      <c r="F454" s="9"/>
      <c r="G454" s="9"/>
      <c r="H454" s="9"/>
      <c r="I454" s="9"/>
    </row>
    <row r="455" spans="2:9" x14ac:dyDescent="0.2">
      <c r="B455" s="21"/>
      <c r="D455" s="9"/>
      <c r="E455" s="20"/>
      <c r="F455" s="9"/>
      <c r="G455" s="9"/>
      <c r="H455" s="9"/>
      <c r="I455" s="9"/>
    </row>
    <row r="456" spans="2:9" x14ac:dyDescent="0.2">
      <c r="B456" s="21"/>
      <c r="D456" s="9"/>
      <c r="E456" s="20"/>
      <c r="F456" s="9"/>
      <c r="G456" s="9"/>
      <c r="H456" s="9"/>
      <c r="I456" s="9"/>
    </row>
    <row r="457" spans="2:9" x14ac:dyDescent="0.2">
      <c r="B457" s="21"/>
      <c r="D457" s="9"/>
      <c r="E457" s="20"/>
      <c r="F457" s="9"/>
      <c r="G457" s="9"/>
      <c r="H457" s="9"/>
      <c r="I457" s="9"/>
    </row>
    <row r="458" spans="2:9" x14ac:dyDescent="0.2">
      <c r="B458" s="21"/>
      <c r="D458" s="9"/>
      <c r="E458" s="20"/>
      <c r="F458" s="9"/>
      <c r="G458" s="9"/>
      <c r="H458" s="9"/>
      <c r="I458" s="9"/>
    </row>
    <row r="459" spans="2:9" x14ac:dyDescent="0.2">
      <c r="B459" s="21"/>
      <c r="D459" s="9"/>
      <c r="E459" s="20"/>
      <c r="F459" s="9"/>
      <c r="G459" s="9"/>
      <c r="H459" s="9"/>
      <c r="I459" s="9"/>
    </row>
    <row r="460" spans="2:9" x14ac:dyDescent="0.2">
      <c r="B460" s="21"/>
      <c r="D460" s="9"/>
      <c r="E460" s="20"/>
      <c r="F460" s="9"/>
      <c r="G460" s="9"/>
      <c r="H460" s="9"/>
      <c r="I460" s="9"/>
    </row>
    <row r="461" spans="2:9" x14ac:dyDescent="0.2">
      <c r="B461" s="21"/>
      <c r="D461" s="9"/>
      <c r="E461" s="20"/>
      <c r="F461" s="9"/>
      <c r="G461" s="9"/>
      <c r="H461" s="9"/>
      <c r="I461" s="9"/>
    </row>
    <row r="462" spans="2:9" x14ac:dyDescent="0.2">
      <c r="B462" s="21"/>
      <c r="D462" s="9"/>
      <c r="E462" s="20"/>
      <c r="F462" s="9"/>
      <c r="G462" s="9"/>
      <c r="H462" s="9"/>
      <c r="I462" s="9"/>
    </row>
    <row r="463" spans="2:9" x14ac:dyDescent="0.2">
      <c r="B463" s="21"/>
      <c r="D463" s="9"/>
      <c r="E463" s="20"/>
      <c r="F463" s="9"/>
      <c r="G463" s="9"/>
      <c r="H463" s="9"/>
      <c r="I463" s="9"/>
    </row>
    <row r="464" spans="2:9" x14ac:dyDescent="0.2">
      <c r="B464" s="21"/>
      <c r="D464" s="9"/>
      <c r="E464" s="20"/>
      <c r="F464" s="9"/>
      <c r="G464" s="9"/>
      <c r="H464" s="9"/>
      <c r="I464" s="9"/>
    </row>
    <row r="465" spans="2:9" x14ac:dyDescent="0.2">
      <c r="B465" s="21"/>
      <c r="D465" s="9"/>
      <c r="E465" s="20"/>
      <c r="F465" s="9"/>
      <c r="G465" s="9"/>
      <c r="H465" s="9"/>
      <c r="I465" s="9"/>
    </row>
    <row r="466" spans="2:9" x14ac:dyDescent="0.2">
      <c r="B466" s="21"/>
      <c r="D466" s="9"/>
      <c r="E466" s="20"/>
      <c r="F466" s="9"/>
      <c r="G466" s="9"/>
      <c r="H466" s="9"/>
      <c r="I466" s="9"/>
    </row>
    <row r="467" spans="2:9" x14ac:dyDescent="0.2">
      <c r="B467" s="21"/>
      <c r="D467" s="9"/>
      <c r="E467" s="20"/>
      <c r="F467" s="9"/>
      <c r="G467" s="9"/>
      <c r="H467" s="9"/>
      <c r="I467" s="9"/>
    </row>
    <row r="468" spans="2:9" x14ac:dyDescent="0.2">
      <c r="B468" s="21"/>
      <c r="D468" s="9"/>
      <c r="E468" s="20"/>
      <c r="F468" s="9"/>
      <c r="G468" s="9"/>
      <c r="H468" s="9"/>
      <c r="I468" s="9"/>
    </row>
    <row r="469" spans="2:9" x14ac:dyDescent="0.2">
      <c r="B469" s="21"/>
      <c r="D469" s="9"/>
      <c r="E469" s="20"/>
      <c r="F469" s="9"/>
      <c r="G469" s="9"/>
      <c r="H469" s="9"/>
      <c r="I469" s="9"/>
    </row>
    <row r="470" spans="2:9" x14ac:dyDescent="0.2">
      <c r="B470" s="21"/>
      <c r="D470" s="9"/>
      <c r="E470" s="20"/>
      <c r="F470" s="9"/>
      <c r="G470" s="9"/>
      <c r="H470" s="9"/>
      <c r="I470" s="9"/>
    </row>
    <row r="471" spans="2:9" x14ac:dyDescent="0.2">
      <c r="B471" s="21"/>
      <c r="D471" s="9"/>
      <c r="E471" s="20"/>
      <c r="F471" s="9"/>
      <c r="G471" s="9"/>
      <c r="H471" s="9"/>
      <c r="I471" s="9"/>
    </row>
    <row r="472" spans="2:9" x14ac:dyDescent="0.2">
      <c r="B472" s="21"/>
      <c r="D472" s="9"/>
      <c r="E472" s="20"/>
      <c r="F472" s="9"/>
      <c r="G472" s="9"/>
      <c r="H472" s="9"/>
      <c r="I472" s="9"/>
    </row>
    <row r="473" spans="2:9" x14ac:dyDescent="0.2">
      <c r="B473" s="21"/>
      <c r="D473" s="9"/>
      <c r="E473" s="20"/>
      <c r="F473" s="9"/>
      <c r="G473" s="9"/>
      <c r="H473" s="9"/>
      <c r="I473" s="9"/>
    </row>
    <row r="474" spans="2:9" x14ac:dyDescent="0.2">
      <c r="B474" s="21"/>
      <c r="D474" s="9"/>
      <c r="E474" s="20"/>
      <c r="F474" s="9"/>
      <c r="G474" s="9"/>
      <c r="H474" s="9"/>
      <c r="I474" s="9"/>
    </row>
    <row r="475" spans="2:9" x14ac:dyDescent="0.2">
      <c r="B475" s="21"/>
      <c r="D475" s="9"/>
      <c r="E475" s="20"/>
      <c r="F475" s="9"/>
      <c r="G475" s="9"/>
      <c r="H475" s="9"/>
      <c r="I475" s="9"/>
    </row>
    <row r="476" spans="2:9" x14ac:dyDescent="0.2">
      <c r="B476" s="21"/>
      <c r="D476" s="9"/>
      <c r="E476" s="20"/>
      <c r="F476" s="9"/>
      <c r="G476" s="9"/>
      <c r="H476" s="9"/>
      <c r="I476" s="9"/>
    </row>
    <row r="477" spans="2:9" x14ac:dyDescent="0.2">
      <c r="B477" s="21"/>
      <c r="D477" s="9"/>
      <c r="E477" s="20"/>
      <c r="F477" s="9"/>
      <c r="G477" s="9"/>
      <c r="H477" s="9"/>
      <c r="I477" s="9"/>
    </row>
    <row r="478" spans="2:9" x14ac:dyDescent="0.2">
      <c r="B478" s="21"/>
      <c r="D478" s="9"/>
      <c r="E478" s="20"/>
      <c r="F478" s="9"/>
      <c r="G478" s="9"/>
      <c r="H478" s="9"/>
      <c r="I478" s="9"/>
    </row>
    <row r="479" spans="2:9" x14ac:dyDescent="0.2">
      <c r="B479" s="21"/>
      <c r="D479" s="9"/>
      <c r="E479" s="20"/>
      <c r="F479" s="9"/>
      <c r="G479" s="9"/>
      <c r="H479" s="9"/>
      <c r="I479" s="9"/>
    </row>
    <row r="480" spans="2:9" x14ac:dyDescent="0.2">
      <c r="B480" s="21"/>
      <c r="D480" s="9"/>
      <c r="E480" s="20"/>
      <c r="F480" s="9"/>
      <c r="G480" s="9"/>
      <c r="H480" s="9"/>
      <c r="I480" s="9"/>
    </row>
    <row r="481" spans="2:9" x14ac:dyDescent="0.2">
      <c r="B481" s="21"/>
      <c r="D481" s="9"/>
      <c r="E481" s="20"/>
      <c r="F481" s="9"/>
      <c r="G481" s="9"/>
      <c r="H481" s="9"/>
      <c r="I481" s="9"/>
    </row>
    <row r="482" spans="2:9" x14ac:dyDescent="0.2">
      <c r="B482" s="21"/>
      <c r="D482" s="9"/>
      <c r="E482" s="20"/>
      <c r="F482" s="9"/>
      <c r="G482" s="9"/>
      <c r="H482" s="9"/>
      <c r="I482" s="9"/>
    </row>
    <row r="483" spans="2:9" x14ac:dyDescent="0.2">
      <c r="B483" s="21"/>
      <c r="D483" s="9"/>
      <c r="E483" s="20"/>
      <c r="F483" s="9"/>
      <c r="G483" s="9"/>
      <c r="H483" s="9"/>
      <c r="I483" s="9"/>
    </row>
    <row r="484" spans="2:9" x14ac:dyDescent="0.2">
      <c r="B484" s="21"/>
      <c r="D484" s="9"/>
      <c r="E484" s="20"/>
      <c r="F484" s="9"/>
      <c r="G484" s="9"/>
      <c r="H484" s="9"/>
      <c r="I484" s="9"/>
    </row>
    <row r="485" spans="2:9" x14ac:dyDescent="0.2">
      <c r="B485" s="21"/>
      <c r="D485" s="9"/>
      <c r="E485" s="20"/>
      <c r="F485" s="9"/>
      <c r="G485" s="9"/>
      <c r="H485" s="9"/>
      <c r="I485" s="9"/>
    </row>
    <row r="486" spans="2:9" x14ac:dyDescent="0.2">
      <c r="B486" s="21"/>
      <c r="D486" s="9"/>
      <c r="E486" s="20"/>
      <c r="F486" s="9"/>
      <c r="G486" s="9"/>
      <c r="H486" s="9"/>
      <c r="I486" s="9"/>
    </row>
    <row r="487" spans="2:9" x14ac:dyDescent="0.2">
      <c r="B487" s="21"/>
      <c r="D487" s="9"/>
      <c r="E487" s="20"/>
      <c r="F487" s="9"/>
      <c r="G487" s="9"/>
      <c r="H487" s="9"/>
      <c r="I487" s="9"/>
    </row>
    <row r="488" spans="2:9" x14ac:dyDescent="0.2">
      <c r="B488" s="21"/>
      <c r="D488" s="9"/>
      <c r="E488" s="20"/>
      <c r="F488" s="9"/>
      <c r="G488" s="9"/>
      <c r="H488" s="9"/>
      <c r="I488" s="9"/>
    </row>
    <row r="489" spans="2:9" x14ac:dyDescent="0.2">
      <c r="B489" s="21"/>
      <c r="D489" s="9"/>
      <c r="E489" s="20"/>
      <c r="F489" s="9"/>
      <c r="G489" s="9"/>
      <c r="H489" s="9"/>
      <c r="I489" s="9"/>
    </row>
    <row r="490" spans="2:9" x14ac:dyDescent="0.2">
      <c r="B490" s="21"/>
      <c r="D490" s="9"/>
      <c r="E490" s="20"/>
      <c r="F490" s="9"/>
      <c r="G490" s="9"/>
      <c r="H490" s="9"/>
      <c r="I490" s="9"/>
    </row>
    <row r="491" spans="2:9" x14ac:dyDescent="0.2">
      <c r="B491" s="21"/>
      <c r="D491" s="9"/>
      <c r="E491" s="20"/>
      <c r="F491" s="9"/>
      <c r="G491" s="9"/>
      <c r="H491" s="9"/>
      <c r="I491" s="9"/>
    </row>
    <row r="492" spans="2:9" x14ac:dyDescent="0.2">
      <c r="B492" s="21"/>
      <c r="D492" s="9"/>
      <c r="E492" s="20"/>
      <c r="F492" s="9"/>
      <c r="G492" s="9"/>
      <c r="H492" s="9"/>
      <c r="I492" s="9"/>
    </row>
    <row r="493" spans="2:9" x14ac:dyDescent="0.2">
      <c r="B493" s="21"/>
      <c r="D493" s="9"/>
      <c r="E493" s="20"/>
      <c r="F493" s="9"/>
      <c r="G493" s="9"/>
      <c r="H493" s="9"/>
      <c r="I493" s="9"/>
    </row>
    <row r="494" spans="2:9" x14ac:dyDescent="0.2">
      <c r="B494" s="21"/>
      <c r="D494" s="9"/>
      <c r="E494" s="20"/>
      <c r="F494" s="9"/>
      <c r="G494" s="9"/>
      <c r="H494" s="9"/>
      <c r="I494" s="9"/>
    </row>
    <row r="495" spans="2:9" x14ac:dyDescent="0.2">
      <c r="B495" s="21"/>
      <c r="D495" s="9"/>
      <c r="E495" s="20"/>
      <c r="F495" s="9"/>
      <c r="G495" s="9"/>
      <c r="H495" s="9"/>
      <c r="I495" s="9"/>
    </row>
    <row r="496" spans="2:9" x14ac:dyDescent="0.2">
      <c r="B496" s="21"/>
      <c r="D496" s="9"/>
      <c r="E496" s="20"/>
      <c r="F496" s="9"/>
      <c r="G496" s="9"/>
      <c r="H496" s="9"/>
      <c r="I496" s="9"/>
    </row>
    <row r="497" spans="2:9" x14ac:dyDescent="0.2">
      <c r="B497" s="21"/>
      <c r="D497" s="9"/>
      <c r="E497" s="20"/>
      <c r="F497" s="9"/>
      <c r="G497" s="9"/>
      <c r="H497" s="9"/>
      <c r="I497" s="9"/>
    </row>
    <row r="498" spans="2:9" x14ac:dyDescent="0.2">
      <c r="B498" s="21"/>
      <c r="D498" s="9"/>
      <c r="E498" s="20"/>
      <c r="F498" s="9"/>
      <c r="G498" s="9"/>
      <c r="H498" s="9"/>
      <c r="I498" s="9"/>
    </row>
    <row r="499" spans="2:9" x14ac:dyDescent="0.2">
      <c r="B499" s="21"/>
      <c r="D499" s="9"/>
      <c r="E499" s="20"/>
      <c r="F499" s="9"/>
      <c r="G499" s="9"/>
      <c r="H499" s="9"/>
      <c r="I499" s="9"/>
    </row>
    <row r="500" spans="2:9" x14ac:dyDescent="0.2">
      <c r="B500" s="21"/>
      <c r="D500" s="9"/>
      <c r="E500" s="20"/>
      <c r="F500" s="9"/>
      <c r="G500" s="9"/>
      <c r="H500" s="9"/>
      <c r="I500" s="9"/>
    </row>
    <row r="501" spans="2:9" x14ac:dyDescent="0.2">
      <c r="B501" s="21"/>
      <c r="D501" s="9"/>
      <c r="E501" s="20"/>
      <c r="F501" s="9"/>
      <c r="G501" s="9"/>
      <c r="H501" s="9"/>
      <c r="I501" s="9"/>
    </row>
    <row r="502" spans="2:9" x14ac:dyDescent="0.2">
      <c r="B502" s="21"/>
      <c r="D502" s="9"/>
      <c r="E502" s="20"/>
      <c r="F502" s="9"/>
      <c r="G502" s="9"/>
      <c r="H502" s="9"/>
      <c r="I502" s="9"/>
    </row>
    <row r="503" spans="2:9" x14ac:dyDescent="0.2">
      <c r="B503" s="21"/>
      <c r="D503" s="9"/>
      <c r="E503" s="20"/>
      <c r="F503" s="9"/>
      <c r="G503" s="9"/>
      <c r="H503" s="9"/>
      <c r="I503" s="9"/>
    </row>
    <row r="504" spans="2:9" x14ac:dyDescent="0.2">
      <c r="B504" s="21"/>
      <c r="D504" s="9"/>
      <c r="E504" s="20"/>
      <c r="F504" s="9"/>
      <c r="G504" s="9"/>
      <c r="H504" s="9"/>
      <c r="I504" s="9"/>
    </row>
    <row r="505" spans="2:9" x14ac:dyDescent="0.2">
      <c r="B505" s="21"/>
      <c r="D505" s="9"/>
      <c r="E505" s="20"/>
      <c r="F505" s="9"/>
      <c r="G505" s="9"/>
      <c r="H505" s="9"/>
      <c r="I505" s="9"/>
    </row>
    <row r="506" spans="2:9" x14ac:dyDescent="0.2">
      <c r="B506" s="21"/>
      <c r="D506" s="9"/>
      <c r="E506" s="20"/>
      <c r="F506" s="9"/>
      <c r="G506" s="9"/>
      <c r="H506" s="9"/>
      <c r="I506" s="9"/>
    </row>
    <row r="507" spans="2:9" x14ac:dyDescent="0.2">
      <c r="B507" s="21"/>
      <c r="D507" s="9"/>
      <c r="E507" s="20"/>
      <c r="F507" s="9"/>
      <c r="G507" s="9"/>
      <c r="H507" s="9"/>
      <c r="I507" s="9"/>
    </row>
    <row r="508" spans="2:9" x14ac:dyDescent="0.2">
      <c r="B508" s="21"/>
      <c r="D508" s="9"/>
      <c r="E508" s="20"/>
      <c r="F508" s="9"/>
      <c r="G508" s="9"/>
      <c r="H508" s="9"/>
      <c r="I508" s="9"/>
    </row>
    <row r="509" spans="2:9" x14ac:dyDescent="0.2">
      <c r="B509" s="21"/>
      <c r="D509" s="9"/>
      <c r="E509" s="20"/>
      <c r="F509" s="9"/>
      <c r="G509" s="9"/>
      <c r="H509" s="9"/>
      <c r="I509" s="9"/>
    </row>
    <row r="510" spans="2:9" x14ac:dyDescent="0.2">
      <c r="B510" s="21"/>
      <c r="D510" s="9"/>
      <c r="E510" s="20"/>
      <c r="F510" s="9"/>
      <c r="G510" s="9"/>
      <c r="H510" s="9"/>
      <c r="I510" s="9"/>
    </row>
    <row r="511" spans="2:9" x14ac:dyDescent="0.2">
      <c r="B511" s="21"/>
      <c r="D511" s="9"/>
      <c r="E511" s="20"/>
      <c r="F511" s="9"/>
      <c r="G511" s="9"/>
      <c r="H511" s="9"/>
      <c r="I511" s="9"/>
    </row>
    <row r="512" spans="2:9" x14ac:dyDescent="0.2">
      <c r="B512" s="21"/>
      <c r="D512" s="9"/>
      <c r="E512" s="20"/>
      <c r="F512" s="9"/>
      <c r="G512" s="9"/>
      <c r="H512" s="9"/>
      <c r="I512" s="9"/>
    </row>
    <row r="513" spans="2:9" x14ac:dyDescent="0.2">
      <c r="B513" s="21"/>
      <c r="D513" s="9"/>
      <c r="E513" s="20"/>
      <c r="F513" s="9"/>
      <c r="G513" s="9"/>
      <c r="H513" s="9"/>
      <c r="I513" s="9"/>
    </row>
    <row r="514" spans="2:9" x14ac:dyDescent="0.2">
      <c r="B514" s="21"/>
      <c r="D514" s="9"/>
      <c r="E514" s="20"/>
      <c r="F514" s="9"/>
      <c r="G514" s="9"/>
      <c r="H514" s="9"/>
      <c r="I514" s="9"/>
    </row>
    <row r="515" spans="2:9" x14ac:dyDescent="0.2">
      <c r="B515" s="21"/>
      <c r="D515" s="9"/>
      <c r="E515" s="20"/>
      <c r="F515" s="9"/>
      <c r="G515" s="9"/>
      <c r="H515" s="9"/>
      <c r="I515" s="9"/>
    </row>
    <row r="516" spans="2:9" x14ac:dyDescent="0.2">
      <c r="B516" s="21"/>
      <c r="D516" s="9"/>
      <c r="E516" s="20"/>
      <c r="F516" s="9"/>
      <c r="G516" s="9"/>
      <c r="H516" s="9"/>
      <c r="I516" s="9"/>
    </row>
    <row r="517" spans="2:9" x14ac:dyDescent="0.2">
      <c r="B517" s="21"/>
      <c r="D517" s="9"/>
      <c r="E517" s="20"/>
      <c r="F517" s="9"/>
      <c r="G517" s="9"/>
      <c r="H517" s="9"/>
      <c r="I517" s="9"/>
    </row>
    <row r="518" spans="2:9" x14ac:dyDescent="0.2">
      <c r="B518" s="21"/>
      <c r="D518" s="9"/>
      <c r="E518" s="20"/>
      <c r="F518" s="9"/>
      <c r="G518" s="9"/>
      <c r="H518" s="9"/>
      <c r="I518" s="9"/>
    </row>
    <row r="519" spans="2:9" x14ac:dyDescent="0.2">
      <c r="B519" s="21"/>
      <c r="D519" s="9"/>
      <c r="E519" s="20"/>
      <c r="F519" s="9"/>
      <c r="G519" s="9"/>
      <c r="H519" s="9"/>
      <c r="I519" s="9"/>
    </row>
    <row r="520" spans="2:9" x14ac:dyDescent="0.2">
      <c r="B520" s="21"/>
      <c r="D520" s="9"/>
      <c r="E520" s="20"/>
      <c r="F520" s="9"/>
      <c r="G520" s="9"/>
      <c r="H520" s="9"/>
      <c r="I520" s="9"/>
    </row>
    <row r="521" spans="2:9" x14ac:dyDescent="0.2">
      <c r="B521" s="21"/>
      <c r="D521" s="9"/>
      <c r="E521" s="20"/>
      <c r="F521" s="9"/>
      <c r="G521" s="9"/>
      <c r="H521" s="9"/>
      <c r="I521" s="9"/>
    </row>
    <row r="522" spans="2:9" x14ac:dyDescent="0.2">
      <c r="B522" s="21"/>
      <c r="D522" s="9"/>
      <c r="E522" s="20"/>
      <c r="F522" s="9"/>
      <c r="G522" s="9"/>
      <c r="H522" s="9"/>
      <c r="I522" s="9"/>
    </row>
    <row r="523" spans="2:9" x14ac:dyDescent="0.2">
      <c r="B523" s="21"/>
      <c r="D523" s="9"/>
      <c r="E523" s="20"/>
      <c r="F523" s="9"/>
      <c r="G523" s="9"/>
      <c r="H523" s="9"/>
      <c r="I523" s="9"/>
    </row>
    <row r="524" spans="2:9" x14ac:dyDescent="0.2">
      <c r="B524" s="21"/>
      <c r="D524" s="9"/>
      <c r="E524" s="20"/>
      <c r="F524" s="9"/>
      <c r="G524" s="9"/>
      <c r="H524" s="9"/>
      <c r="I524" s="9"/>
    </row>
    <row r="525" spans="2:9" x14ac:dyDescent="0.2">
      <c r="B525" s="21"/>
      <c r="D525" s="9"/>
      <c r="E525" s="20"/>
      <c r="F525" s="9"/>
      <c r="G525" s="9"/>
      <c r="H525" s="9"/>
      <c r="I525" s="9"/>
    </row>
    <row r="526" spans="2:9" x14ac:dyDescent="0.2">
      <c r="B526" s="21"/>
      <c r="D526" s="9"/>
      <c r="E526" s="20"/>
      <c r="F526" s="9"/>
      <c r="G526" s="9"/>
      <c r="H526" s="9"/>
      <c r="I526" s="9"/>
    </row>
    <row r="527" spans="2:9" x14ac:dyDescent="0.2">
      <c r="B527" s="21"/>
      <c r="D527" s="9"/>
      <c r="E527" s="20"/>
      <c r="F527" s="9"/>
      <c r="G527" s="9"/>
      <c r="H527" s="9"/>
      <c r="I527" s="9"/>
    </row>
    <row r="528" spans="2:9" x14ac:dyDescent="0.2">
      <c r="B528" s="21"/>
      <c r="D528" s="9"/>
      <c r="E528" s="20"/>
      <c r="F528" s="9"/>
      <c r="G528" s="9"/>
      <c r="H528" s="9"/>
      <c r="I528" s="9"/>
    </row>
    <row r="529" spans="2:9" x14ac:dyDescent="0.2">
      <c r="B529" s="21"/>
      <c r="D529" s="9"/>
      <c r="E529" s="20"/>
      <c r="F529" s="9"/>
      <c r="G529" s="9"/>
      <c r="H529" s="9"/>
      <c r="I529" s="9"/>
    </row>
    <row r="530" spans="2:9" x14ac:dyDescent="0.2">
      <c r="B530" s="21"/>
      <c r="D530" s="9"/>
      <c r="E530" s="20"/>
      <c r="F530" s="9"/>
      <c r="G530" s="9"/>
      <c r="H530" s="9"/>
      <c r="I530" s="9"/>
    </row>
    <row r="531" spans="2:9" x14ac:dyDescent="0.2">
      <c r="B531" s="21"/>
      <c r="D531" s="9"/>
      <c r="E531" s="20"/>
      <c r="F531" s="9"/>
      <c r="G531" s="9"/>
      <c r="H531" s="9"/>
      <c r="I531" s="9"/>
    </row>
    <row r="532" spans="2:9" x14ac:dyDescent="0.2">
      <c r="B532" s="21"/>
      <c r="D532" s="9"/>
      <c r="E532" s="20"/>
      <c r="F532" s="9"/>
      <c r="G532" s="9"/>
      <c r="H532" s="9"/>
      <c r="I532" s="9"/>
    </row>
    <row r="533" spans="2:9" x14ac:dyDescent="0.2">
      <c r="B533" s="21"/>
      <c r="D533" s="9"/>
      <c r="E533" s="20"/>
      <c r="F533" s="9"/>
      <c r="G533" s="9"/>
      <c r="H533" s="9"/>
      <c r="I533" s="9"/>
    </row>
    <row r="534" spans="2:9" x14ac:dyDescent="0.2">
      <c r="B534" s="21"/>
      <c r="D534" s="9"/>
      <c r="E534" s="20"/>
      <c r="F534" s="9"/>
      <c r="G534" s="9"/>
      <c r="H534" s="9"/>
      <c r="I534" s="9"/>
    </row>
  </sheetData>
  <autoFilter ref="A2:P405" xr:uid="{2B55837D-4C2B-439C-8843-03E8A7358D2E}"/>
  <printOptions horizontalCentered="1"/>
  <pageMargins left="0.5" right="0.5" top="0.75" bottom="0.75" header="0.3" footer="0.13"/>
  <pageSetup paperSize="17" scale="49" fitToHeight="6" orientation="landscape" r:id="rId1"/>
  <headerFooter alignWithMargins="0">
    <oddHeader xml:space="preserve">&amp;L&amp;"Arial,Bold"&amp;12Department of Transportation&amp;R&amp;"Arial,Bold"&amp;12Transportation, Infrastructure, and Capitals Appropriations Subcommittee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Dept of Transportation Fees</vt:lpstr>
      <vt:lpstr>'Dept of Transportation Fees'!Print_Area</vt:lpstr>
      <vt:lpstr>'Dept of Transportation Fees'!Print_Titles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Ubben, Chris [LEGIS]</cp:lastModifiedBy>
  <dcterms:created xsi:type="dcterms:W3CDTF">2025-01-03T17:21:58Z</dcterms:created>
  <dcterms:modified xsi:type="dcterms:W3CDTF">2025-01-03T17:26:48Z</dcterms:modified>
</cp:coreProperties>
</file>