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G:\Fiscal Services\Projects\Fee Project\FY 2017-2018\Justice\"/>
    </mc:Choice>
  </mc:AlternateContent>
  <xr:revisionPtr revIDLastSave="0" documentId="10_ncr:100000_{4BA79AE2-7386-4A94-8968-2A97D556BD62}" xr6:coauthVersionLast="31" xr6:coauthVersionMax="31" xr10:uidLastSave="{00000000-0000-0000-0000-000000000000}"/>
  <bookViews>
    <workbookView xWindow="0" yWindow="210" windowWidth="15570" windowHeight="9315" tabRatio="365" activeTab="2" xr2:uid="{00000000-000D-0000-FFFF-FFFF00000000}"/>
  </bookViews>
  <sheets>
    <sheet name="EMD" sheetId="5" r:id="rId1"/>
    <sheet name="Courts" sheetId="7" r:id="rId2"/>
    <sheet name="AG" sheetId="1" r:id="rId3"/>
    <sheet name="DOC" sheetId="2" r:id="rId4"/>
    <sheet name="DPS 2" sheetId="3" r:id="rId5"/>
    <sheet name="ILEA" sheetId="6" r:id="rId6"/>
  </sheets>
  <definedNames>
    <definedName name="_xlnm.Print_Area" localSheetId="2">AG!$A$1:$AX$10</definedName>
    <definedName name="_xlnm.Print_Area" localSheetId="1">Courts!$A$1:$AX$36</definedName>
    <definedName name="_xlnm.Print_Area" localSheetId="3">DOC!$B$1:$BD$159</definedName>
    <definedName name="_xlnm.Print_Area" localSheetId="4">'DPS 2'!$A$1:$BA$93</definedName>
    <definedName name="_xlnm.Print_Area" localSheetId="0">EMD!$A$1:$AW$6</definedName>
    <definedName name="_xlnm.Print_Area" localSheetId="5">ILEA!$A$1:$AU$102</definedName>
    <definedName name="_xlnm.Print_Titles" localSheetId="2">AG!$1:$1</definedName>
    <definedName name="_xlnm.Print_Titles" localSheetId="3">DOC!$1:$1</definedName>
    <definedName name="_xlnm.Print_Titles" localSheetId="4">'DPS 2'!$1:$1</definedName>
    <definedName name="_xlnm.Print_Titles" localSheetId="5">ILEA!$1:$1</definedName>
  </definedNames>
  <calcPr calcId="179017"/>
</workbook>
</file>

<file path=xl/calcChain.xml><?xml version="1.0" encoding="utf-8"?>
<calcChain xmlns="http://schemas.openxmlformats.org/spreadsheetml/2006/main">
  <c r="AP100" i="6" l="1"/>
  <c r="AN100" i="6"/>
  <c r="AL100" i="6"/>
  <c r="AK100" i="6"/>
  <c r="AI100" i="6"/>
  <c r="AF100" i="6"/>
  <c r="AC100" i="6"/>
  <c r="Y100" i="6"/>
  <c r="AT92" i="6"/>
  <c r="U88" i="6"/>
  <c r="Q88" i="6"/>
  <c r="W87" i="6"/>
  <c r="W86" i="6"/>
  <c r="S86" i="6"/>
  <c r="W85" i="6"/>
  <c r="W84" i="6"/>
  <c r="W83" i="6"/>
  <c r="W82" i="6"/>
  <c r="AH81" i="6"/>
  <c r="AE81" i="6"/>
  <c r="AA81" i="6"/>
  <c r="W81" i="6"/>
  <c r="S81" i="6"/>
  <c r="AH80" i="6"/>
  <c r="AE80" i="6"/>
  <c r="AA80" i="6"/>
  <c r="W80" i="6"/>
  <c r="S80" i="6"/>
  <c r="AT79" i="6"/>
  <c r="AH79" i="6"/>
  <c r="AE79" i="6"/>
  <c r="AA79" i="6"/>
  <c r="W79" i="6"/>
  <c r="S79" i="6"/>
  <c r="AH78" i="6"/>
  <c r="AE78" i="6"/>
  <c r="AA78" i="6"/>
  <c r="W78" i="6"/>
  <c r="S78" i="6"/>
  <c r="AH77" i="6"/>
  <c r="AE77" i="6"/>
  <c r="AA77" i="6"/>
  <c r="W77" i="6"/>
  <c r="S77" i="6"/>
  <c r="AH76" i="6"/>
  <c r="AH75" i="6"/>
  <c r="AE75" i="6"/>
  <c r="AA75" i="6"/>
  <c r="W75" i="6"/>
  <c r="AH74" i="6"/>
  <c r="S74" i="6"/>
  <c r="AA73" i="6"/>
  <c r="S73" i="6"/>
  <c r="AH72" i="6"/>
  <c r="AE72" i="6"/>
  <c r="AA72" i="6"/>
  <c r="W72" i="6"/>
  <c r="S72" i="6"/>
  <c r="AA71" i="6"/>
  <c r="W71" i="6"/>
  <c r="AH70" i="6"/>
  <c r="AE70" i="6"/>
  <c r="AA70" i="6"/>
  <c r="W70" i="6"/>
  <c r="S70" i="6"/>
  <c r="AH69" i="6"/>
  <c r="AA69" i="6"/>
  <c r="W69" i="6"/>
  <c r="AH68" i="6"/>
  <c r="AE68" i="6"/>
  <c r="W68" i="6"/>
  <c r="AH65" i="6"/>
  <c r="AE65" i="6"/>
  <c r="AH64" i="6"/>
  <c r="AE64" i="6"/>
  <c r="AA64" i="6"/>
  <c r="W64" i="6"/>
  <c r="S64" i="6"/>
  <c r="W63" i="6"/>
  <c r="S62" i="6"/>
  <c r="W61" i="6"/>
  <c r="AT60" i="6"/>
  <c r="AQ60" i="6"/>
  <c r="AH60" i="6"/>
  <c r="AE60" i="6"/>
  <c r="AA60" i="6"/>
  <c r="W60" i="6"/>
  <c r="W59" i="6"/>
  <c r="S59" i="6"/>
  <c r="W58" i="6"/>
  <c r="S58" i="6"/>
  <c r="W57" i="6"/>
  <c r="S57" i="6"/>
  <c r="AE56" i="6"/>
  <c r="AA56" i="6"/>
  <c r="W56" i="6"/>
  <c r="S55" i="6"/>
  <c r="S54" i="6"/>
  <c r="AH53" i="6"/>
  <c r="AA53" i="6"/>
  <c r="S53" i="6"/>
  <c r="S52" i="6"/>
  <c r="AE50" i="6"/>
  <c r="AA50" i="6"/>
  <c r="W50" i="6"/>
  <c r="S50" i="6"/>
  <c r="S49" i="6"/>
  <c r="AH48" i="6"/>
  <c r="W47" i="6"/>
  <c r="W45" i="6"/>
  <c r="S45" i="6"/>
  <c r="AH44" i="6"/>
  <c r="AA44" i="6"/>
  <c r="W44" i="6"/>
  <c r="S44" i="6"/>
  <c r="AE43" i="6"/>
  <c r="AA43" i="6"/>
  <c r="S43" i="6"/>
  <c r="AH42" i="6"/>
  <c r="AE42" i="6"/>
  <c r="W42" i="6"/>
  <c r="S42" i="6"/>
  <c r="AE41" i="6"/>
  <c r="S41" i="6"/>
  <c r="S40" i="6"/>
  <c r="AE39" i="6"/>
  <c r="W39" i="6"/>
  <c r="AQ38" i="6"/>
  <c r="AH38" i="6"/>
  <c r="AE38" i="6"/>
  <c r="AA38" i="6"/>
  <c r="W38" i="6"/>
  <c r="S38" i="6"/>
  <c r="W37" i="6"/>
  <c r="AH34" i="6"/>
  <c r="AE34" i="6"/>
  <c r="AA34" i="6"/>
  <c r="W34" i="6"/>
  <c r="S34" i="6"/>
  <c r="S33" i="6"/>
  <c r="AH32" i="6"/>
  <c r="AE32" i="6"/>
  <c r="AA32" i="6"/>
  <c r="W32" i="6"/>
  <c r="S32" i="6"/>
  <c r="AH31" i="6"/>
  <c r="AA31" i="6"/>
  <c r="S31" i="6"/>
  <c r="AH30" i="6"/>
  <c r="AE30" i="6"/>
  <c r="AA30" i="6"/>
  <c r="W30" i="6"/>
  <c r="S30" i="6"/>
  <c r="AH29" i="6"/>
  <c r="AE29" i="6"/>
  <c r="AA29" i="6"/>
  <c r="W29" i="6"/>
  <c r="S29" i="6"/>
  <c r="AT28" i="6"/>
  <c r="AH28" i="6"/>
  <c r="AE28" i="6"/>
  <c r="AA28" i="6"/>
  <c r="W28" i="6"/>
  <c r="S28" i="6"/>
  <c r="S27" i="6"/>
  <c r="AA26" i="6"/>
  <c r="W26" i="6"/>
  <c r="AH25" i="6"/>
  <c r="AE25" i="6"/>
  <c r="AA25" i="6"/>
  <c r="S25" i="6"/>
  <c r="AE24" i="6"/>
  <c r="S24" i="6"/>
  <c r="S23" i="6"/>
  <c r="AH22" i="6"/>
  <c r="AH100" i="6" s="1"/>
  <c r="AE22" i="6"/>
  <c r="AA22" i="6"/>
  <c r="S22" i="6"/>
  <c r="AE21" i="6"/>
  <c r="AA21" i="6"/>
  <c r="W21" i="6"/>
  <c r="S21" i="6"/>
  <c r="AT20" i="6"/>
  <c r="AT100" i="6" s="1"/>
  <c r="AQ20" i="6"/>
  <c r="AH20" i="6"/>
  <c r="AE20" i="6"/>
  <c r="AA20" i="6"/>
  <c r="AA100" i="6" s="1"/>
  <c r="W20" i="6"/>
  <c r="S20" i="6"/>
  <c r="AH17" i="6"/>
  <c r="AE17" i="6"/>
  <c r="AA17" i="6"/>
  <c r="W17" i="6"/>
  <c r="S17" i="6"/>
  <c r="S16" i="6"/>
  <c r="AH15" i="6"/>
  <c r="AE15" i="6"/>
  <c r="W15" i="6"/>
  <c r="S15" i="6"/>
  <c r="AH14" i="6"/>
  <c r="AA14" i="6"/>
  <c r="S14" i="6"/>
  <c r="AQ13" i="6"/>
  <c r="AQ100" i="6" s="1"/>
  <c r="AH13" i="6"/>
  <c r="AE13" i="6"/>
  <c r="AE100" i="6" s="1"/>
  <c r="AA13" i="6"/>
  <c r="W13" i="6"/>
  <c r="AE12" i="6"/>
  <c r="AH11" i="6"/>
  <c r="AE11" i="6"/>
  <c r="AA11" i="6"/>
  <c r="W11" i="6"/>
  <c r="S11" i="6"/>
  <c r="AH10" i="6"/>
  <c r="AE10" i="6"/>
  <c r="AA10" i="6"/>
  <c r="W10" i="6"/>
  <c r="S10" i="6"/>
  <c r="S9" i="6"/>
  <c r="W8" i="6"/>
  <c r="S8" i="6"/>
  <c r="AH7" i="6"/>
  <c r="AE7" i="6"/>
  <c r="S7" i="6"/>
  <c r="AA6" i="6"/>
  <c r="S6" i="6"/>
  <c r="S5" i="6"/>
  <c r="AA4" i="6"/>
  <c r="S4" i="6"/>
  <c r="AH3" i="6"/>
  <c r="AE3" i="6"/>
  <c r="AA3" i="6"/>
  <c r="W3" i="6"/>
  <c r="S3" i="6"/>
  <c r="AH2" i="6"/>
  <c r="AE2" i="6"/>
  <c r="AA2" i="6"/>
  <c r="W2" i="6"/>
  <c r="S2" i="6"/>
  <c r="S88" i="6" s="1"/>
  <c r="W88" i="6" l="1"/>
  <c r="AZ90" i="3" l="1"/>
  <c r="AY90" i="3"/>
  <c r="AW90" i="3"/>
  <c r="AV90" i="3"/>
  <c r="AT90" i="3"/>
  <c r="AR90" i="3"/>
  <c r="AQ90" i="3"/>
  <c r="AO90" i="3"/>
  <c r="AN90" i="3"/>
  <c r="AM90" i="3"/>
  <c r="AL90" i="3"/>
  <c r="AK90" i="3"/>
  <c r="AJ90" i="3"/>
  <c r="AI90" i="3"/>
  <c r="AH90" i="3"/>
  <c r="AF90" i="3"/>
  <c r="AE90" i="3"/>
  <c r="AC90" i="3"/>
  <c r="AA90" i="3"/>
  <c r="Y90" i="3"/>
  <c r="W90" i="3"/>
  <c r="U90" i="3"/>
  <c r="S90" i="3"/>
  <c r="Q90" i="3"/>
  <c r="BA149" i="2" l="1"/>
  <c r="AZ149" i="2"/>
  <c r="AW149" i="2"/>
  <c r="AV149" i="2"/>
  <c r="AS149" i="2"/>
  <c r="AR149" i="2"/>
  <c r="AO149" i="2"/>
  <c r="AN149" i="2"/>
  <c r="AH149" i="2"/>
  <c r="AG149" i="2"/>
  <c r="AD149" i="2"/>
  <c r="AC149" i="2"/>
  <c r="Z149" i="2"/>
  <c r="X149" i="2"/>
  <c r="W149" i="2"/>
  <c r="V149" i="2"/>
  <c r="U149" i="2"/>
  <c r="S149" i="2"/>
  <c r="R149" i="2"/>
  <c r="T123" i="2"/>
  <c r="T149" i="2" s="1"/>
  <c r="AP59" i="2"/>
  <c r="AI59" i="2"/>
  <c r="AI43" i="2"/>
  <c r="AT20" i="7" l="1"/>
  <c r="AQ20" i="7"/>
  <c r="AN20" i="7"/>
  <c r="AM20" i="7"/>
  <c r="AK20" i="7"/>
  <c r="AJ20" i="7"/>
  <c r="AH20" i="7"/>
  <c r="AG20" i="7"/>
  <c r="AE20" i="7"/>
  <c r="AD20" i="7"/>
  <c r="AC20" i="7"/>
  <c r="AB20" i="7"/>
  <c r="AA20" i="7"/>
  <c r="Z20" i="7"/>
  <c r="Y20" i="7"/>
  <c r="X20" i="7"/>
  <c r="V20" i="7"/>
  <c r="T20" i="7"/>
  <c r="R20" i="7"/>
  <c r="AS19" i="7"/>
  <c r="AS17" i="7"/>
  <c r="AS15" i="7"/>
  <c r="AS14" i="7"/>
  <c r="AP14" i="7"/>
  <c r="AL14" i="7"/>
  <c r="AI14" i="7"/>
  <c r="AP13" i="7"/>
  <c r="AL13" i="7"/>
  <c r="AI13" i="7"/>
  <c r="AF13" i="7"/>
  <c r="AF20" i="7" s="1"/>
  <c r="AP12" i="7"/>
  <c r="AL12" i="7"/>
  <c r="AS11" i="7"/>
  <c r="AP11" i="7"/>
  <c r="AI11" i="7"/>
  <c r="AS10" i="7"/>
  <c r="AR10" i="7"/>
  <c r="AP10" i="7"/>
  <c r="AU9" i="7"/>
  <c r="AU20" i="7" s="1"/>
  <c r="AS9" i="7"/>
  <c r="AR9" i="7"/>
  <c r="AR20" i="7" s="1"/>
  <c r="AS8" i="7"/>
  <c r="AP8" i="7"/>
  <c r="AI8" i="7"/>
  <c r="AS4" i="7"/>
  <c r="AS2" i="7"/>
  <c r="AL2" i="7"/>
  <c r="AL20" i="7" l="1"/>
  <c r="AP20" i="7"/>
  <c r="AS20" i="7"/>
  <c r="AI20" i="7"/>
  <c r="AM4" i="5"/>
  <c r="AJ4" i="5"/>
  <c r="AG4" i="5"/>
  <c r="AD4" i="5"/>
  <c r="Z4" i="5"/>
  <c r="V4" i="5"/>
  <c r="R4" i="5"/>
  <c r="AN4" i="1" l="1"/>
  <c r="AL4" i="1"/>
  <c r="AK4" i="1"/>
  <c r="AI4" i="1"/>
  <c r="AH4" i="1" l="1"/>
  <c r="AF4" i="1"/>
  <c r="AE4" i="1"/>
  <c r="AC4" i="1"/>
  <c r="AA4" i="1"/>
  <c r="Y4" i="1"/>
  <c r="Q4" i="1" l="1"/>
  <c r="U4" i="1"/>
  <c r="W4" i="1"/>
  <c r="S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heuton</author>
  </authors>
  <commentList>
    <comment ref="O3" authorId="0" shapeId="0" xr:uid="{46B9BAAC-1155-48C0-9538-725B3796F304}">
      <text>
        <r>
          <rPr>
            <b/>
            <sz val="10"/>
            <color indexed="81"/>
            <rFont val="Tahoma"/>
            <family val="2"/>
          </rPr>
          <t>heuton:</t>
        </r>
        <r>
          <rPr>
            <sz val="10"/>
            <color indexed="81"/>
            <rFont val="Tahoma"/>
            <family val="2"/>
          </rPr>
          <t xml:space="preserve">
While the fee structure changed in 2010 it was changed from a $10 one-year permit to a $50 5-year permit.  Any change in fees collected will be based on volume.</t>
        </r>
      </text>
    </comment>
    <comment ref="S3" authorId="0" shapeId="0" xr:uid="{9FFC99D7-19AF-4C47-8515-ABC1DEF2F5A6}">
      <text>
        <r>
          <rPr>
            <b/>
            <sz val="10"/>
            <color indexed="81"/>
            <rFont val="Tahoma"/>
            <family val="2"/>
          </rPr>
          <t>heuton:</t>
        </r>
        <r>
          <rPr>
            <sz val="10"/>
            <color indexed="81"/>
            <rFont val="Tahoma"/>
            <family val="2"/>
          </rPr>
          <t xml:space="preserve">
Fee collections will likely very due to the change in issuance laws.  Combined with renewal revenue.
</t>
        </r>
      </text>
    </comment>
    <comment ref="AA3" authorId="0" shapeId="0" xr:uid="{54C1836D-F26D-4C41-BA3B-B1D014C90D4F}">
      <text>
        <r>
          <rPr>
            <b/>
            <sz val="10"/>
            <color indexed="81"/>
            <rFont val="Tahoma"/>
            <family val="2"/>
          </rPr>
          <t>heuton:</t>
        </r>
        <r>
          <rPr>
            <sz val="10"/>
            <color indexed="81"/>
            <rFont val="Tahoma"/>
            <family val="2"/>
          </rPr>
          <t xml:space="preserve">
Fee collections will likely very due to the change in issuance laws.  Combined with renewal revenue.
</t>
        </r>
      </text>
    </comment>
    <comment ref="S14" authorId="0" shapeId="0" xr:uid="{238728F8-DB25-4A14-8EA7-2ECF9997CF04}">
      <text>
        <r>
          <rPr>
            <b/>
            <sz val="10"/>
            <color indexed="81"/>
            <rFont val="Tahoma"/>
            <family val="2"/>
          </rPr>
          <t>heuton:</t>
        </r>
        <r>
          <rPr>
            <sz val="10"/>
            <color indexed="81"/>
            <rFont val="Tahoma"/>
            <family val="2"/>
          </rPr>
          <t xml:space="preserve">
In FY10 these fees were deposited to 0001-595-2700, 2750 and 2755.
</t>
        </r>
      </text>
    </comment>
    <comment ref="AA14" authorId="0" shapeId="0" xr:uid="{86C4A9E0-6644-457A-99EF-3B73281780C9}">
      <text>
        <r>
          <rPr>
            <b/>
            <sz val="10"/>
            <color indexed="81"/>
            <rFont val="Tahoma"/>
            <family val="2"/>
          </rPr>
          <t>heuton:</t>
        </r>
        <r>
          <rPr>
            <sz val="10"/>
            <color indexed="81"/>
            <rFont val="Tahoma"/>
            <family val="2"/>
          </rPr>
          <t xml:space="preserve">
In FY10 these fees were deposited to 0001-595-2700, 2750 and 2755.
</t>
        </r>
      </text>
    </comment>
    <comment ref="S15" authorId="0" shapeId="0" xr:uid="{FBF655E9-3E27-4473-8BFE-6F4B079DA800}">
      <text>
        <r>
          <rPr>
            <b/>
            <sz val="10"/>
            <color indexed="81"/>
            <rFont val="Tahoma"/>
            <family val="2"/>
          </rPr>
          <t>heuton:</t>
        </r>
        <r>
          <rPr>
            <sz val="10"/>
            <color indexed="81"/>
            <rFont val="Tahoma"/>
            <family val="2"/>
          </rPr>
          <t xml:space="preserve">
In FY10 these fees were deposited directly into the State General Fund.</t>
        </r>
      </text>
    </comment>
    <comment ref="AA15" authorId="0" shapeId="0" xr:uid="{A31AFE67-F0BA-4E3A-842E-FAC372F5E2E0}">
      <text>
        <r>
          <rPr>
            <b/>
            <sz val="10"/>
            <color indexed="81"/>
            <rFont val="Tahoma"/>
            <family val="2"/>
          </rPr>
          <t>heuton:</t>
        </r>
        <r>
          <rPr>
            <sz val="10"/>
            <color indexed="81"/>
            <rFont val="Tahoma"/>
            <family val="2"/>
          </rPr>
          <t xml:space="preserve">
In FY10 these fees were deposited directly into the State General Fund.</t>
        </r>
      </text>
    </comment>
  </commentList>
</comments>
</file>

<file path=xl/sharedStrings.xml><?xml version="1.0" encoding="utf-8"?>
<sst xmlns="http://schemas.openxmlformats.org/spreadsheetml/2006/main" count="4038" uniqueCount="949">
  <si>
    <t>Fee Description</t>
  </si>
  <si>
    <t>Payor of Fee</t>
  </si>
  <si>
    <t>Frequency</t>
  </si>
  <si>
    <t>Additional Comments</t>
  </si>
  <si>
    <t>Fee Amount</t>
  </si>
  <si>
    <t>Number of FY 2010 Payors</t>
  </si>
  <si>
    <t>FY 2010 Total Revenue</t>
  </si>
  <si>
    <t>Revenue Deposit Location (Fund)</t>
  </si>
  <si>
    <t>Year Last Revised</t>
  </si>
  <si>
    <t>Department</t>
  </si>
  <si>
    <t>Public Safety</t>
  </si>
  <si>
    <t>Electrician and Installers Licensing and Inspection Fund (0957)</t>
  </si>
  <si>
    <t>3 years</t>
  </si>
  <si>
    <t>Master A</t>
  </si>
  <si>
    <t>Master B</t>
  </si>
  <si>
    <t>Journeyman A</t>
  </si>
  <si>
    <t>Journeyman B</t>
  </si>
  <si>
    <t>Contractor</t>
  </si>
  <si>
    <t>Irrigation Systems</t>
  </si>
  <si>
    <t>Unclassified</t>
  </si>
  <si>
    <t>Annually</t>
  </si>
  <si>
    <t>Apprentice</t>
  </si>
  <si>
    <t>0957</t>
  </si>
  <si>
    <t>Code and/or Admin Rules Cite</t>
  </si>
  <si>
    <t>Expenditures</t>
  </si>
  <si>
    <t>Licensing of electricians began January 1, 2008.</t>
  </si>
  <si>
    <t>Per inspection and re-inspection</t>
  </si>
  <si>
    <t>They include an Inactive Master License, Residential Contractor, Residential Electrician, and Residential Electrician Trainee.</t>
  </si>
  <si>
    <t>The four new fees will be set by Rule.  Legislation effective July 1, 2009 pro-rates fees of licenses since all expire on the same day every three years.</t>
  </si>
  <si>
    <t>100 amps or less is $25; 101 amps to 200 amps is $35; greater than 200 amps is $35 plus $20 for each additional 100 amps or a fraction thereof.  Each new branch circuit or feeder is $5.  Each inspection requested is $25.  To request an inspection not required by law is $30.  To inspect a field irrigation system is $60.</t>
  </si>
  <si>
    <t>Varies - see comments for fees</t>
  </si>
  <si>
    <t>Homeland Security and Emergency Management Division</t>
  </si>
  <si>
    <t>Monthly to providers and remitted quarterly to the State</t>
  </si>
  <si>
    <t>Chapter 34A</t>
  </si>
  <si>
    <t>2007 Legislative Session increased the distribution to PSAPS from 24.0% to 25.0%.  Otherwise, no changes to the formula since 2004.</t>
  </si>
  <si>
    <t>Per Quarter - $50,000 for administration of the Program, wireless service provider cost recovery, wireline transport costs for local carriers, automated information costs for local carriers, Public Safety Answering Point Systems (PSAPS), and carryover funds for upgrades to local PSAPS and for grant matching.</t>
  </si>
  <si>
    <t>Provides funding for emergency communication systems such as mapping and 911 call location using latitude and longitude coordinates including funding for 122 Public Safety Answering Point Systems (PSAPS).</t>
  </si>
  <si>
    <t>Property Owner or person requesting the inspection</t>
  </si>
  <si>
    <t>Wireless 911 Surcharge (0046)</t>
  </si>
  <si>
    <t>Budget Unit or Fund Name and Number</t>
  </si>
  <si>
    <t>Judicial Branch</t>
  </si>
  <si>
    <t>Per Case</t>
  </si>
  <si>
    <t>Fines imposed in accordance with Section 455B.146, 455B.191, 455B.386, 455B.417, 455B.454, 455B.466, and 455B.477.</t>
  </si>
  <si>
    <t>Paid by the Defendant</t>
  </si>
  <si>
    <t>Detail on all fines related to Section 29C.8A maintained by the Department of Natural Resources</t>
  </si>
  <si>
    <t>Section 29C.8A</t>
  </si>
  <si>
    <t>Civil penalty; amount varies per case</t>
  </si>
  <si>
    <t>The first $100,000 of such penalties is deposited into this Fund and then transferred to HSEMD.  The penalty was paid by Matrix Metals and Keokuk Steel Castings.</t>
  </si>
  <si>
    <t>FY 2010 Total Net GF Revenue</t>
  </si>
  <si>
    <t>FY 2010 Total Local or Other Revenue</t>
  </si>
  <si>
    <t xml:space="preserve"> </t>
  </si>
  <si>
    <t>CBC District 1</t>
  </si>
  <si>
    <t>Supervision Fees: Fee charged of all probation or parole offenders on supervision to the district.</t>
  </si>
  <si>
    <t>Offenders</t>
  </si>
  <si>
    <t>Per Supervision</t>
  </si>
  <si>
    <t>Operating Budget</t>
  </si>
  <si>
    <t>905.14.</t>
  </si>
  <si>
    <t>Staff and operating costs for field services' expenditures</t>
  </si>
  <si>
    <t>Appropriations reduced to account for local income</t>
  </si>
  <si>
    <t xml:space="preserve">Sex Offender Fee: Fee charged to sex offenders under supervision to offset the cost of assessment and treatment. </t>
  </si>
  <si>
    <t>Sex Offenders</t>
  </si>
  <si>
    <t>331 (# of transactions)</t>
  </si>
  <si>
    <t>Staff and operating costs for sex offender program expenditures</t>
  </si>
  <si>
    <t>Residential Rent Regular: Rent fees charged to probation or work release offenders residing in a residential facility.</t>
  </si>
  <si>
    <t>per day</t>
  </si>
  <si>
    <t>900 (# of payors)</t>
  </si>
  <si>
    <t>Staff and operating costs for residential expenditures.</t>
  </si>
  <si>
    <t>Residential Rent OWI: Rent fees charged to OWI offenders residing in a residential facility.</t>
  </si>
  <si>
    <t>100 (# of payors)</t>
  </si>
  <si>
    <t>Day Reporting Rent: Fees charged to residential offenders placed on day reporting status</t>
  </si>
  <si>
    <t>per lab verification</t>
  </si>
  <si>
    <t>64 (# of transactions)</t>
  </si>
  <si>
    <t>Batterers' Education Program Fees: Charged to offenders who are court-ordered to attend weekly groups for a 12-week period.</t>
  </si>
  <si>
    <t>per group</t>
  </si>
  <si>
    <t>508 payors</t>
  </si>
  <si>
    <t>???</t>
  </si>
  <si>
    <t>Iowa Code 708.2B</t>
  </si>
  <si>
    <t>Staff for the Batterers' Education Program</t>
  </si>
  <si>
    <t>weekly</t>
  </si>
  <si>
    <t>1000 payors</t>
  </si>
  <si>
    <t>????</t>
  </si>
  <si>
    <t>28E</t>
  </si>
  <si>
    <t>Operating costs for the residential expenditures</t>
  </si>
  <si>
    <t>CBC District 2</t>
  </si>
  <si>
    <t>Supervision Fee</t>
  </si>
  <si>
    <t>Per Offender</t>
  </si>
  <si>
    <t>Funds are used to pay for Probation/Parole Officer staff, and District-wide operational expenses, such as staff training, utilities, rent, etc.</t>
  </si>
  <si>
    <t>Residential Rent</t>
  </si>
  <si>
    <t>Residential Center Clients</t>
  </si>
  <si>
    <t>Per Client Per Day</t>
  </si>
  <si>
    <t>Funds are used to pay for Residential Center staff and other District positions, and District-wide operational expenses, such as staff training, utilities, rent, food purchases, etc.</t>
  </si>
  <si>
    <t>State Residential Clients pay $19/day @ Ft. Dodge, Marshalltown &amp; Mason City Resi Centers, which includes 3 meals/day; Resi Clients pay $13/day @ Ames - no meal service provided *** State Client Rent ONLY</t>
  </si>
  <si>
    <t>Polygraph Examinations</t>
  </si>
  <si>
    <t>Sex Offender Treatment Program Clients</t>
  </si>
  <si>
    <t>Per (Required) Offender</t>
  </si>
  <si>
    <t>Funds are used to pay for operational support costs for the Sex Offender Treatment Program, including the supply cost for the Polygraph</t>
  </si>
  <si>
    <t>Funds are used to pay for operational support costs for the Sex Offender Treatment Program, including the evaluation cost for the Assessment</t>
  </si>
  <si>
    <t>Local income consists of a $22 intake fee and a $22 weekly group fee - client is required to complete 24 weekly sessions</t>
  </si>
  <si>
    <t>ABEL Test</t>
  </si>
  <si>
    <t>Fee covers cost of test evaluation and processing</t>
  </si>
  <si>
    <t>Sex Offender Treatment Program Fee</t>
  </si>
  <si>
    <t>Funds are used to pay for operational support costs for the Sex Offender Treatment Program</t>
  </si>
  <si>
    <t>Linen Fees</t>
  </si>
  <si>
    <t>Fee covers the cost of purchasing and providing bed linens to all Residential Center clients</t>
  </si>
  <si>
    <t>CBC District 3</t>
  </si>
  <si>
    <t>SOTP</t>
  </si>
  <si>
    <t>one time</t>
  </si>
  <si>
    <t>cost for class supplies and instructor time</t>
  </si>
  <si>
    <t>Offenders are charged actual cost</t>
  </si>
  <si>
    <t>RET Classes</t>
  </si>
  <si>
    <t>per class</t>
  </si>
  <si>
    <t>Phone Card</t>
  </si>
  <si>
    <t>per purchase</t>
  </si>
  <si>
    <t>cost of phone card purchased</t>
  </si>
  <si>
    <t>Damage Reimbursement</t>
  </si>
  <si>
    <t>per incident</t>
  </si>
  <si>
    <t>cost of damage incurred</t>
  </si>
  <si>
    <t>Linens</t>
  </si>
  <si>
    <t>cost of linens purchased from local charity</t>
  </si>
  <si>
    <t>TB Testing</t>
  </si>
  <si>
    <t>per test</t>
  </si>
  <si>
    <t>cost of tests performed at local health clinics</t>
  </si>
  <si>
    <t>UA Confirmation</t>
  </si>
  <si>
    <t>cost of submitting second test to outside lab for confirmation testing</t>
  </si>
  <si>
    <t>Pays for all support expenditures which are not covered by appropriations</t>
  </si>
  <si>
    <t>Rent</t>
  </si>
  <si>
    <t>daily</t>
  </si>
  <si>
    <t>Meals</t>
  </si>
  <si>
    <t>CBC District 4</t>
  </si>
  <si>
    <t>Supervision Enrollment Fee</t>
  </si>
  <si>
    <t>Offenders Placed Under our Supervision</t>
  </si>
  <si>
    <t>Section 905.14</t>
  </si>
  <si>
    <t>Funds 1 FTE.</t>
  </si>
  <si>
    <t>Appropriation Reduced to account for Local Revenue generated.</t>
  </si>
  <si>
    <t>Sex Offender Treatment Program</t>
  </si>
  <si>
    <t>Per Psycho-Sexual Evaluation</t>
  </si>
  <si>
    <t>Cost of Test</t>
  </si>
  <si>
    <t>Per weekly session</t>
  </si>
  <si>
    <t>Cost of Service Provider</t>
  </si>
  <si>
    <t>Sex Offender Polygraphs</t>
  </si>
  <si>
    <t>Per Examination</t>
  </si>
  <si>
    <t>Cost of Polygraph</t>
  </si>
  <si>
    <t>OWI Treatment Fees</t>
  </si>
  <si>
    <t>Cost of OWI Treatment with Contractor.</t>
  </si>
  <si>
    <t>Day</t>
  </si>
  <si>
    <t>Pays for District operations</t>
  </si>
  <si>
    <t>Residential Day Reporting Charge</t>
  </si>
  <si>
    <t>Daily Fee</t>
  </si>
  <si>
    <t>CBC District 5</t>
  </si>
  <si>
    <t>per supervision</t>
  </si>
  <si>
    <t>Helps to fund expenditures in field operations, such as professional contracts, UA kits/supplies, utilities, rental expense for satellite offices, maintenance on the buildings, etc.</t>
  </si>
  <si>
    <t># of transactions, not number of payors - per supervision means that the offender is not charged a supervision fee per charge that they are on to us, but instead each break in supervision creates a new supervision and thus a new supervision fee.</t>
  </si>
  <si>
    <t>Helps to fund local expenditures that support residential operations, such as food, utilities, UA kits/supplies, maintenance on the buildings, etc.</t>
  </si>
  <si>
    <t>Capacity is 168 at one time plus day reporters.</t>
  </si>
  <si>
    <t>Capacity is 120 at one time</t>
  </si>
  <si>
    <t>Residential Linen Fee</t>
  </si>
  <si>
    <t>flat fee</t>
  </si>
  <si>
    <t>Offsets local expenditures for the cost of the linens</t>
  </si>
  <si>
    <t># of transactions, not number of payors</t>
  </si>
  <si>
    <t>Residential Laundry Fee</t>
  </si>
  <si>
    <t>Offsets local expenditures for the utilities used and maintenance on the washing machines/replacement of machines</t>
  </si>
  <si>
    <t>Physicals</t>
  </si>
  <si>
    <t>one-time</t>
  </si>
  <si>
    <t>Offsets local expenditures for the cost of the physicals</t>
  </si>
  <si>
    <t>Residential Drinking Glass fee</t>
  </si>
  <si>
    <t>Offsets local expenditures for the cost of the drinking glasses</t>
  </si>
  <si>
    <t>Residential Padlock fee</t>
  </si>
  <si>
    <t>Offsets local expenditures for the cost of the padlocks and the locking cabinets that are used in the residential facilities for offender use</t>
  </si>
  <si>
    <t>Urinalysis Confirmation Fee</t>
  </si>
  <si>
    <t>Offsets local expenditures for the cost of the UA confirmation paid to a vendor</t>
  </si>
  <si>
    <t>BEP Group Fees</t>
  </si>
  <si>
    <t>Offsets local expenditures linked to the BEP program (local salaries and materials)</t>
  </si>
  <si>
    <t>BEP Intake</t>
  </si>
  <si>
    <t>as necessary</t>
  </si>
  <si>
    <t>Offsets local expenditures linked to these services, such as equipment, materials, and locally funded sex offender salaries</t>
  </si>
  <si>
    <t>Sex Offender Group Fee</t>
  </si>
  <si>
    <t>Sex Offender Individual Treatment</t>
  </si>
  <si>
    <t>per occrnc</t>
  </si>
  <si>
    <t>Sex Offender Psychosexual Evaluation</t>
  </si>
  <si>
    <t>Community Service Fee</t>
  </si>
  <si>
    <t>Offsets local expenditures linked to monitoring community service records for non-supervised offenders</t>
  </si>
  <si>
    <t>Returned Check Fee (NSF)</t>
  </si>
  <si>
    <t>Offsets local expenditures linked to the fee charged by the bank for the NSF charge</t>
  </si>
  <si>
    <t>CBC District 6</t>
  </si>
  <si>
    <t>per charge</t>
  </si>
  <si>
    <t>Pays for District personnel</t>
  </si>
  <si>
    <t xml:space="preserve">flat fee </t>
  </si>
  <si>
    <t>Pays for daily operations</t>
  </si>
  <si>
    <t>Pays for drug test to verify if + or -</t>
  </si>
  <si>
    <t>CBC District 7</t>
  </si>
  <si>
    <t>Offsets District operations</t>
  </si>
  <si>
    <t>OWI Residential Rent</t>
  </si>
  <si>
    <t xml:space="preserve">Batterers Education Program </t>
  </si>
  <si>
    <t>per session</t>
  </si>
  <si>
    <t>Offsets Group Facilitators costs</t>
  </si>
  <si>
    <t>CBC District 8</t>
  </si>
  <si>
    <t>Pays for District Operations</t>
  </si>
  <si>
    <t>*Number of Transactions-not offenders</t>
  </si>
  <si>
    <t>Daily</t>
  </si>
  <si>
    <t>Flat Fee</t>
  </si>
  <si>
    <t>Year</t>
  </si>
  <si>
    <t>688*</t>
  </si>
  <si>
    <t>255*</t>
  </si>
  <si>
    <t>Central Office</t>
  </si>
  <si>
    <t>per offender</t>
  </si>
  <si>
    <t>460 - Interstate Compact Fund</t>
  </si>
  <si>
    <t>904.117,907B.4</t>
  </si>
  <si>
    <t>To offset costs of complying with the interstate compact for adult offender supervision in ch.907B.4</t>
  </si>
  <si>
    <t>Fort Madison</t>
  </si>
  <si>
    <t>Incarceration Fee</t>
  </si>
  <si>
    <t>Incarceration Fee, 6% surcharge on all offender purchases</t>
  </si>
  <si>
    <t>House Rent</t>
  </si>
  <si>
    <t>Monthly</t>
  </si>
  <si>
    <t>Offset for maintenance costs and general expenses</t>
  </si>
  <si>
    <t>County</t>
  </si>
  <si>
    <t>We prepare meals for the County Jail and Juvenile Center</t>
  </si>
  <si>
    <t>Debitek Card Fees</t>
  </si>
  <si>
    <t>Institutional Visitors</t>
  </si>
  <si>
    <t>per card</t>
  </si>
  <si>
    <t>Direct offset to expenditures-Commissary fund</t>
  </si>
  <si>
    <t>Fee for purchase of Debitek card to use in vending machines on site</t>
  </si>
  <si>
    <t>Medical Co-Pays</t>
  </si>
  <si>
    <t>Per Office Visit</t>
  </si>
  <si>
    <t>Copies</t>
  </si>
  <si>
    <t>$0.15 per copy</t>
  </si>
  <si>
    <t>per request</t>
  </si>
  <si>
    <t>Account Overdraft Fee</t>
  </si>
  <si>
    <t>per transaction</t>
  </si>
  <si>
    <t>Anamosa</t>
  </si>
  <si>
    <t>Per Transaction</t>
  </si>
  <si>
    <t>Locker Rent</t>
  </si>
  <si>
    <t>per use</t>
  </si>
  <si>
    <t>rent for lockers available in lobby</t>
  </si>
  <si>
    <t>monthly</t>
  </si>
  <si>
    <t>National Weather Service</t>
  </si>
  <si>
    <t>quarterly</t>
  </si>
  <si>
    <t>Oakdale</t>
  </si>
  <si>
    <t>Newton</t>
  </si>
  <si>
    <t>Per Medical Visit</t>
  </si>
  <si>
    <t>direct offset to a non-general fund account</t>
  </si>
  <si>
    <t>Mt. Pleasant</t>
  </si>
  <si>
    <t>Direct offset to GF expenditures.</t>
  </si>
  <si>
    <t>Direct offset to expenditures - Centralized Canteen Account.</t>
  </si>
  <si>
    <t>Fee for replacement of Debitek card to use in vending machines on site</t>
  </si>
  <si>
    <t>Rockwell City</t>
  </si>
  <si>
    <t>Private Sector Job Pay</t>
  </si>
  <si>
    <t xml:space="preserve"> off ground income, mileage</t>
  </si>
  <si>
    <t>Clarinda</t>
  </si>
  <si>
    <t>Meal Ticket Sales</t>
  </si>
  <si>
    <t>Mitchellville</t>
  </si>
  <si>
    <t>Fort Dodge</t>
  </si>
  <si>
    <t>Rest and Remainder</t>
  </si>
  <si>
    <t>Varies</t>
  </si>
  <si>
    <t>per payroll</t>
  </si>
  <si>
    <t>Fees used to offset expense of housing offenders.</t>
  </si>
  <si>
    <t>Board of Examiners of Shorthand Reporters</t>
  </si>
  <si>
    <t>Annual License Renewal Fee</t>
  </si>
  <si>
    <t>Certified Shorthand Reporters</t>
  </si>
  <si>
    <t>General Fund</t>
  </si>
  <si>
    <t>Iowa Code section 602.3106; Iowa Court Rule 46.7(2)</t>
  </si>
  <si>
    <t>Money is deposited in general fund</t>
  </si>
  <si>
    <t>Fee for Late Filing of Annual Renewal</t>
  </si>
  <si>
    <t>Annually, if Report is Late</t>
  </si>
  <si>
    <t>Iowa Code section 602.3106; Iowa Court Rule 46.7(3)</t>
  </si>
  <si>
    <t>Examination Fee</t>
  </si>
  <si>
    <t>Candidates to be Certified Shorthand Reporters</t>
  </si>
  <si>
    <t>Due with each application for examination</t>
  </si>
  <si>
    <t>Iowa Code section 602.3106; Iowa Court Rule 46.7(1)</t>
  </si>
  <si>
    <t>Fee for Extension of Time to Complete Continuing Education</t>
  </si>
  <si>
    <t>Due with each extension application</t>
  </si>
  <si>
    <t>Iowa Code section 602.3106; Iowa Court Rule 46.7(6)</t>
  </si>
  <si>
    <t>Fee for Reinstatement from Suspension</t>
  </si>
  <si>
    <t>Due with each reinstatement application</t>
  </si>
  <si>
    <t>Iowa Code section 602.3106; Iowa Court Rule 46.7(4)</t>
  </si>
  <si>
    <t>Fee for Reinstatement from Inactive Status</t>
  </si>
  <si>
    <t>Iowa Code section 602.3106; Iowa Court Rule 46.7(5)</t>
  </si>
  <si>
    <t>Board of Law Examiners</t>
  </si>
  <si>
    <t>Law Student Registration Fee</t>
  </si>
  <si>
    <t>Law Students</t>
  </si>
  <si>
    <t>Due with registration</t>
  </si>
  <si>
    <t>Iowa Code section 602.10108; Iowa Court Rule 31.2(1)</t>
  </si>
  <si>
    <t>Law Student Late Registration Fee</t>
  </si>
  <si>
    <t>Due with late registration in lieu of regular $25 fee</t>
  </si>
  <si>
    <t>Iowa Code section 602.10108; Iowa Court Rule 31.2(2)</t>
  </si>
  <si>
    <t>Bar Examination Fee</t>
  </si>
  <si>
    <t>Candidates for Admission by Examination</t>
  </si>
  <si>
    <t>Due with application to take bar examination</t>
  </si>
  <si>
    <t>Iowa Code section 602.10108; Iowa Court Rule 31.6</t>
  </si>
  <si>
    <t>Admission on Motion Fee</t>
  </si>
  <si>
    <t>Candidates for Admission on Motion</t>
  </si>
  <si>
    <t>Due with application for admission on motion</t>
  </si>
  <si>
    <t>Iowa Code section 602.10108; Iowa Court Rule 31.12(2)</t>
  </si>
  <si>
    <t>Office of Professional Regulation (Interpreter Function)</t>
  </si>
  <si>
    <t>Application Fee to be Interpreter</t>
  </si>
  <si>
    <t>Candidates to be Court Interpreters</t>
  </si>
  <si>
    <t>Due with application</t>
  </si>
  <si>
    <t>Registration Fee for Oral Interpreter Examination</t>
  </si>
  <si>
    <t>Candidate to be Certified Court Interpreter</t>
  </si>
  <si>
    <t>Administrative Services Division (0001-0R64)</t>
  </si>
  <si>
    <t>IOWA System/NCIC User Fees</t>
  </si>
  <si>
    <t>User Agencies</t>
  </si>
  <si>
    <t>Based on message traffic</t>
  </si>
  <si>
    <t>N/A</t>
  </si>
  <si>
    <t>§80.9(2)(d); IOWA System User Agreement (contract)</t>
  </si>
  <si>
    <t>Fees are used to provide criminal justice data to all jurisdictions in the State of Iowa.  Includes salaries of system dedicated personnel, communications costs, software, training and other support costs.</t>
  </si>
  <si>
    <t>Issuance of weapon permits for non-residents &amp; non-peace officer state employees</t>
  </si>
  <si>
    <t>Permit Applicants</t>
  </si>
  <si>
    <t>5 Years</t>
  </si>
  <si>
    <t>§724.11; 661-91.4</t>
  </si>
  <si>
    <t>Fees are intended to pay for the costs of 1.00 FTE and printing of permit application forms.</t>
  </si>
  <si>
    <t>No average annual increase in fees since 1991.  Insufficient to pay annual costs.</t>
  </si>
  <si>
    <t>Renewal of weapon permits for non-residents &amp; non-peace officer state employees</t>
  </si>
  <si>
    <t>Included above</t>
  </si>
  <si>
    <t>Issuance of weapons permit by Iowa sheriff</t>
  </si>
  <si>
    <t>No average annual increase in fees since 1977.  Insufficient to pay annual costs.</t>
  </si>
  <si>
    <t>Renewal of weapons permit by Iowa sheriff</t>
  </si>
  <si>
    <t>Bail enforcement, private investigator, private security agency license</t>
  </si>
  <si>
    <t>PI/PS/BE Licensees</t>
  </si>
  <si>
    <t>§80A.5(3); 661-121.4, 661-121.7</t>
  </si>
  <si>
    <t>Bail enforcement, private investigator, private security ID Card</t>
  </si>
  <si>
    <t>PI/PS/BE Employees</t>
  </si>
  <si>
    <t>Per career or change in employer</t>
  </si>
  <si>
    <t>§80A.7(2); 661-121.11</t>
  </si>
  <si>
    <t>Out of state private investigation agency or private security agency - reciprocity license</t>
  </si>
  <si>
    <t>Periodic</t>
  </si>
  <si>
    <t>unknown</t>
  </si>
  <si>
    <t>§80A.18; 661-121.23</t>
  </si>
  <si>
    <t>PI/PS/BE licensing/ID card fingerprint processing</t>
  </si>
  <si>
    <t>PI/PS/BE Licensees and Employees</t>
  </si>
  <si>
    <t>Per license application, renewal, Per ID card issuance</t>
  </si>
  <si>
    <t>Began in 2002</t>
  </si>
  <si>
    <t>§80A.5(1); 661-121.7(2)</t>
  </si>
  <si>
    <t>Fees cover the processing costs of submitting fingerprints to the FBI and the fee charged by the FBI.</t>
  </si>
  <si>
    <t>Division of Criminal Investigation (0001-0R67)</t>
  </si>
  <si>
    <t>State criminal history check</t>
  </si>
  <si>
    <t>Requestors</t>
  </si>
  <si>
    <t>Per Check</t>
  </si>
  <si>
    <t>§690,§692; 661-11.5</t>
  </si>
  <si>
    <t>National criminal history check</t>
  </si>
  <si>
    <t xml:space="preserve">§692; 661-11.21 </t>
  </si>
  <si>
    <t>Fingerprinting service for DOT HazMat applicants</t>
  </si>
  <si>
    <t>Division of Criminal Investigation - Gaming</t>
  </si>
  <si>
    <t>Casino, pari-mutuel, and lottery background investigations</t>
  </si>
  <si>
    <t>Actual Costs - Reimb. receipts</t>
  </si>
  <si>
    <t>Activity Based</t>
  </si>
  <si>
    <t>Gaming Operating Budget - 0030-0R</t>
  </si>
  <si>
    <t>§99D, §99F</t>
  </si>
  <si>
    <t>These are reimbursement receipts intended to recoup the costs of conducting background investigations requested by the gaming establishment.</t>
  </si>
  <si>
    <t>Law enforcement services at gaming facilities</t>
  </si>
  <si>
    <t>Casinos and Tracks</t>
  </si>
  <si>
    <t>Allocated based on approved budget, billed through IRGC</t>
  </si>
  <si>
    <t>Annual</t>
  </si>
  <si>
    <t>Gaming Enforcement Fund (0030)</t>
  </si>
  <si>
    <t>Variable</t>
  </si>
  <si>
    <t>Sex Offender Reg. Fee and Civil Penalty</t>
  </si>
  <si>
    <t>Per Conviction</t>
  </si>
  <si>
    <t>Sex Offender Registry Fund</t>
  </si>
  <si>
    <t>No change since inception</t>
  </si>
  <si>
    <t>§692A.119</t>
  </si>
  <si>
    <t>Fees are used to augment appropriations in support the annual costs of maintaining the registry.</t>
  </si>
  <si>
    <t>State Fire Marshal (0001-0R72)</t>
  </si>
  <si>
    <t>Aboveground storage tank registration fee</t>
  </si>
  <si>
    <t>Storage Tank Owners</t>
  </si>
  <si>
    <t>State Fire Marshal</t>
  </si>
  <si>
    <t>Fees are used to defray the costs of licensing and inspection.</t>
  </si>
  <si>
    <t>Insufficient to cover the costs of the 2.5 to 3 FTE involved in the program.  Inspections conducted on a requested basis only.</t>
  </si>
  <si>
    <t>Aboveground storage tank registration late fee</t>
  </si>
  <si>
    <t>As assessed</t>
  </si>
  <si>
    <t>Commercial Explosives Licenses</t>
  </si>
  <si>
    <t>Licensees</t>
  </si>
  <si>
    <t>$60 annual fee, can be prorated for partial year</t>
  </si>
  <si>
    <t>General Fund - 0001</t>
  </si>
  <si>
    <t>Fees do not support the program, but are transferred to the general fund</t>
  </si>
  <si>
    <t>Contractors</t>
  </si>
  <si>
    <t>$500 per year</t>
  </si>
  <si>
    <t>§100C; 661-275.5</t>
  </si>
  <si>
    <t>Fire extinguishing system certification program - certification of additional "Responsible Managing Employees"</t>
  </si>
  <si>
    <t>$50 per year</t>
  </si>
  <si>
    <t>Fire extinguishing System Contractor amended certification</t>
  </si>
  <si>
    <t>§100C; 661-275.5(4)</t>
  </si>
  <si>
    <t>Architectural Firms</t>
  </si>
  <si>
    <t>Per Submittal</t>
  </si>
  <si>
    <t>§103A; 661-300.4</t>
  </si>
  <si>
    <t>Building code plan review fee - greater than $1.0 million</t>
  </si>
  <si>
    <t>Fire suppression system plan review - greater than $20,000</t>
  </si>
  <si>
    <t>Fire alarm system plan review - greater than $20,000</t>
  </si>
  <si>
    <t>Inspection of state owned buildings (other than Regents buildings)</t>
  </si>
  <si>
    <t>To Be Determined</t>
  </si>
  <si>
    <t>During construction</t>
  </si>
  <si>
    <t>§103A.10A; 661-300.5</t>
  </si>
  <si>
    <t>Inspection of Regents buildings</t>
  </si>
  <si>
    <t>Inspection of non-state owned buildings receiving state appropriation</t>
  </si>
  <si>
    <t>§103A; 661-300.5</t>
  </si>
  <si>
    <t>Energy review</t>
  </si>
  <si>
    <t>Unknown</t>
  </si>
  <si>
    <t>§103A; 661-303.5</t>
  </si>
  <si>
    <t>Manufactured home installation seal</t>
  </si>
  <si>
    <t>§103A.54; 661-16.625</t>
  </si>
  <si>
    <t>Manufactured home installation replacement seal</t>
  </si>
  <si>
    <t>Ground support and anchoring system Approval</t>
  </si>
  <si>
    <t>Manufactured home retailers, manufacturers or distributors license</t>
  </si>
  <si>
    <t>Increased 1/1/07</t>
  </si>
  <si>
    <t xml:space="preserve">§103A; 661-372.8 </t>
  </si>
  <si>
    <t>Licensed manufactured home retailer "Installer Certification"</t>
  </si>
  <si>
    <t xml:space="preserve">§103A; 661-16.622 </t>
  </si>
  <si>
    <t>Licensed manufactured home retailer "Installer Certification - Application Amendment"</t>
  </si>
  <si>
    <t>"Independent Manufactured Home Installer Certification"</t>
  </si>
  <si>
    <t>Manufactured home retailer supplemental statement fee for change of business name or business location</t>
  </si>
  <si>
    <t xml:space="preserve">§103A; 661-372.4 </t>
  </si>
  <si>
    <t>Modular code compliance seal - No prefix or "A" prefix</t>
  </si>
  <si>
    <t>§103A.23; 661-16.610</t>
  </si>
  <si>
    <t>Modular code compliance seal - B, C, D, E, etc prefixes</t>
  </si>
  <si>
    <t>Modular code compliance seal - Replacement seal</t>
  </si>
  <si>
    <t>Modular installation seal</t>
  </si>
  <si>
    <t>Modular installation replacement seal</t>
  </si>
  <si>
    <t>Inspection of licensed health care facility</t>
  </si>
  <si>
    <t>Inspection of licensed group home</t>
  </si>
  <si>
    <t>Inspection of certified elder group home</t>
  </si>
  <si>
    <t>Inspection of licensed assisted living facility</t>
  </si>
  <si>
    <t>Inspection of adult day services program</t>
  </si>
  <si>
    <t>Inspection of licensed child care facility</t>
  </si>
  <si>
    <t>As required</t>
  </si>
  <si>
    <t>Suitability inspection for possible health care, group home, elder group home, assisted living facility, adult day services</t>
  </si>
  <si>
    <t>Fire Service Training Bureau</t>
  </si>
  <si>
    <t>Firefighter certification</t>
  </si>
  <si>
    <t>Varies ($25 - 50 per test)</t>
  </si>
  <si>
    <t>Per Test</t>
  </si>
  <si>
    <t>§100B; 661-251.201, 661-251.203</t>
  </si>
  <si>
    <t>Fire and emergency services courses and tuition, conferences, publications, materials, and other</t>
  </si>
  <si>
    <t>Per Class</t>
  </si>
  <si>
    <t>Fees have always varied</t>
  </si>
  <si>
    <t>661.53.2(78GA,HF2492)</t>
  </si>
  <si>
    <t>Loan origination fee for Fire Fighting Equipment Revolving Loan Fund program</t>
  </si>
  <si>
    <t>Loan Recipient</t>
  </si>
  <si>
    <t>1% of loan amount</t>
  </si>
  <si>
    <t>Per Loan</t>
  </si>
  <si>
    <t>No change since program inception</t>
  </si>
  <si>
    <t>661-259.207(80GA,ch177)</t>
  </si>
  <si>
    <t>§103 and ARC 661</t>
  </si>
  <si>
    <t>Attorney General</t>
  </si>
  <si>
    <t>Iowa Consumer Credit Code Fund (0294)</t>
  </si>
  <si>
    <t>Consumer credit/debt collection fees</t>
  </si>
  <si>
    <t>Section 537.6203 was last amended in 2007, but fees and formula have not changed since enactment in 1974</t>
  </si>
  <si>
    <t>Iowa Code section 537.6203 and 61 IAC 22(537)</t>
  </si>
  <si>
    <t>Professional Commercial Fundraisers (General Fund 0001)</t>
  </si>
  <si>
    <t>Professional commercial fundraiser registration permit fee</t>
  </si>
  <si>
    <t>Iowa Code chapter 13C and 61 IAC 24(13C)</t>
  </si>
  <si>
    <t>Money deposited into State General Fund.</t>
  </si>
  <si>
    <t>Emergency Response Fund (0330)</t>
  </si>
  <si>
    <t>*</t>
  </si>
  <si>
    <t>Registration Fee for Written Interpreter Examination</t>
  </si>
  <si>
    <t>Candidates to be Certified Court Interpreter</t>
  </si>
  <si>
    <t>Wireless cell phone subscriber</t>
  </si>
  <si>
    <t>Funds are used for Hazardous Materials Emergency Preparedness planning and training.  Additional information can be found within the DNR annual report.</t>
  </si>
  <si>
    <t>General Fund (0001)</t>
  </si>
  <si>
    <t>Professional commercial fundraisers as defined in Iowa Code Section 13C.1(4)</t>
  </si>
  <si>
    <t>Various - See comments for fees</t>
  </si>
  <si>
    <t>150 (# of offenders)</t>
  </si>
  <si>
    <t>8,836  (# of transactions)</t>
  </si>
  <si>
    <t>Monthly flat fee</t>
  </si>
  <si>
    <t>5,436*</t>
  </si>
  <si>
    <t>July 2007</t>
  </si>
  <si>
    <t>January 2007</t>
  </si>
  <si>
    <t>correctional supervision.  Receipts per offender cross fiscal years.</t>
  </si>
  <si>
    <t>Some of the receipts generated from fees are recorded as expenditure offsets  (Urinalysis (UA) Re-Testing Fee) rather than a receipt.  For example, the UA test is charged when an offender claims</t>
  </si>
  <si>
    <t>Iowa Law Enforcement Academy (ILEA)</t>
  </si>
  <si>
    <t>Basic Level I Training School</t>
  </si>
  <si>
    <t>per person, per class</t>
  </si>
  <si>
    <t>ILEA</t>
  </si>
  <si>
    <t>Certification Through Examination</t>
  </si>
  <si>
    <t>Officers transferring in from another State</t>
  </si>
  <si>
    <t>City and county law enforcement, Departments of Transportation and Natural Resources</t>
  </si>
  <si>
    <t>Defensive Duty Officer Knife Instructor School</t>
  </si>
  <si>
    <t>Defensive Tactics Instructor Recertification School</t>
  </si>
  <si>
    <t>Firearms Instructor Recertification School</t>
  </si>
  <si>
    <t>Law Enforcement Open Sight Rifle Instructor Recertification School</t>
  </si>
  <si>
    <t>The agency the person works for</t>
  </si>
  <si>
    <t>Precision Driving Instructor Recertification School</t>
  </si>
  <si>
    <t>Sub-Gun Instructor Recertification School</t>
  </si>
  <si>
    <t>Taser Instructor Recertification School</t>
  </si>
  <si>
    <t>Advanced Collision Investigation School</t>
  </si>
  <si>
    <t>Crime Scene Photography School</t>
  </si>
  <si>
    <t>Child Abduction Response and Search Protocols School</t>
  </si>
  <si>
    <t>Commercial Vehicle Awareness Course</t>
  </si>
  <si>
    <t>Post Blast Investigation School</t>
  </si>
  <si>
    <t>Second Gold-Star Leadership Conference</t>
  </si>
  <si>
    <t>AED, CPR, and First Aid Classes</t>
  </si>
  <si>
    <t>Jail Basic 40-Hour School</t>
  </si>
  <si>
    <t>Jail Medication Management Schools</t>
  </si>
  <si>
    <t>Jail In-Service 5-Hour Temporary Holding Facility</t>
  </si>
  <si>
    <t>Jail In-Service 20-Hour School</t>
  </si>
  <si>
    <t>Reserve Officer Training Module A</t>
  </si>
  <si>
    <t>Reserve Officer Training Module F</t>
  </si>
  <si>
    <t>that the test is inaccurate.   A sample is sent to a different lab; if the test result is the same as that of the original test, the offender is charged for the cost of the lab work.</t>
  </si>
  <si>
    <t>The * on the CBC pages represents the number of transactions rather than the number of offenders.</t>
  </si>
  <si>
    <t>The DOC and CBC District Departments are authorized by law to charge offenders for certain services.  Offenders are placed on a payment plan and receipts are collected while the offender is under</t>
  </si>
  <si>
    <t>The appropriate line item expenditure is credited when the offender pays the fee so that expenditures are not overstated.</t>
  </si>
  <si>
    <t>ILEA operating budget</t>
  </si>
  <si>
    <t>ILEA Operating Budget</t>
  </si>
  <si>
    <t>Total Revenues</t>
  </si>
  <si>
    <t>Number of FY 2011 Payors</t>
  </si>
  <si>
    <t>FY 2011 Total Revenue</t>
  </si>
  <si>
    <t>FY 2011 Total Net GF Revenue</t>
  </si>
  <si>
    <t>30                              6</t>
  </si>
  <si>
    <t>$270 FY10         $275 FY11</t>
  </si>
  <si>
    <t>$80 FY10        $90 FY11</t>
  </si>
  <si>
    <t>$135 FY10      $140 FY11</t>
  </si>
  <si>
    <t>ASP Baton Instructor School</t>
  </si>
  <si>
    <t>ASP Restraint Instructor School</t>
  </si>
  <si>
    <t>Bicycle Patrol Officer Instructor School</t>
  </si>
  <si>
    <t>Chemical Munitions Instructor School</t>
  </si>
  <si>
    <t>Defensive Flashlight Instructor School</t>
  </si>
  <si>
    <t>Defensive Tactics Instructor School</t>
  </si>
  <si>
    <t>Firearms Instructor School</t>
  </si>
  <si>
    <t>Law Enforcement Open Sight Rifle Instructor  School</t>
  </si>
  <si>
    <t>$275 FY11</t>
  </si>
  <si>
    <t>Less Lethal Munitions Instructor School</t>
  </si>
  <si>
    <t>Oleoresin Capsicum Instructor School</t>
  </si>
  <si>
    <t>PR-24 Baton Instructor School</t>
  </si>
  <si>
    <t>Precision Driving Instructor  School</t>
  </si>
  <si>
    <t>Radar/Lidar Instructor Course</t>
  </si>
  <si>
    <t>N/C</t>
  </si>
  <si>
    <t>Standardized Field Sobriety Testing Instructor Course</t>
  </si>
  <si>
    <t>$275 FY10      $15 FY11</t>
  </si>
  <si>
    <t>ASP Baton Instructor Recertification School</t>
  </si>
  <si>
    <t>ASP Restraint Instructor Recertification  School</t>
  </si>
  <si>
    <t>Bicycle Patrol Officer Instructor Recertification School</t>
  </si>
  <si>
    <t>Chemical Munitions Instructor Recertification School</t>
  </si>
  <si>
    <t>Defensive Flashlight Instructor Recertification School</t>
  </si>
  <si>
    <t>Defensive duty Officer Knife Instructor Recertification  School</t>
  </si>
  <si>
    <t>Less Lethal Munitions Instructor Recertification School</t>
  </si>
  <si>
    <t>Oleoresin Capsicum Instructor Recertification School</t>
  </si>
  <si>
    <t>PR-24 Baton Instructor  Recertification School</t>
  </si>
  <si>
    <t>Radar/Lidar Instructor  Recertification Course</t>
  </si>
  <si>
    <t>Standardized Field Sobriety Testing Instructor Recertification  Course</t>
  </si>
  <si>
    <t>Basic Criminal Investigation School</t>
  </si>
  <si>
    <t>The 6th Annual Iowa Police Bicycle Officers' Fall Training</t>
  </si>
  <si>
    <t>Bicycle Patrol Officer School</t>
  </si>
  <si>
    <t>N/C                 $180</t>
  </si>
  <si>
    <t>Court Security School (presented by Advanced Law Enforcement Readiness Training)</t>
  </si>
  <si>
    <t>First Gold Star Leadership Program</t>
  </si>
  <si>
    <t>First Line Supervision School</t>
  </si>
  <si>
    <t>Human Trafficking Investigations (Presented by the Department of Justice, Civil Rights Division)</t>
  </si>
  <si>
    <t>Horse Cruelty and Abuse Investigation School</t>
  </si>
  <si>
    <t>Instructor Development School</t>
  </si>
  <si>
    <t>Interviews and Interrogations School</t>
  </si>
  <si>
    <t>Investigation of Financial Crimes</t>
  </si>
  <si>
    <t>Media Relations for Law Enforcement School</t>
  </si>
  <si>
    <t>$60 FY10       $75 FY11</t>
  </si>
  <si>
    <t>Mental Illness Strategies: The Police Response</t>
  </si>
  <si>
    <t>$75 FY10     $85 FY11</t>
  </si>
  <si>
    <t>Police Training Officer School</t>
  </si>
  <si>
    <t>Proctoring of the MMPI-2 and Post Tests School</t>
  </si>
  <si>
    <t xml:space="preserve"> $595 FY11 ($400 paid to FBI)</t>
  </si>
  <si>
    <t xml:space="preserve"> Update School - Firearms Training</t>
  </si>
  <si>
    <t>Technical Collision Investigation School</t>
  </si>
  <si>
    <t>National Center for Missing and Exploited Children School</t>
  </si>
  <si>
    <t>Communications Supervisor Management School</t>
  </si>
  <si>
    <t>Communications Training Officer School</t>
  </si>
  <si>
    <t>Mental Health First Aid</t>
  </si>
  <si>
    <t>Jail Basic 10-Hour Temporary Holding Facility Schools</t>
  </si>
  <si>
    <t>Reserve Officer Training Module B</t>
  </si>
  <si>
    <t>Reserve Officer Training Module C</t>
  </si>
  <si>
    <t>Reserve Officer Training Module D</t>
  </si>
  <si>
    <t>Reserve Officer Training Module E</t>
  </si>
  <si>
    <t>$55 (one day)    $95 (two day)</t>
  </si>
  <si>
    <t>No  increase in fees since 1982.  The changes to Ch 724 created a 5 year fee with authority to carry forward unexpended balances.</t>
  </si>
  <si>
    <t>Included Above</t>
  </si>
  <si>
    <t>FY 2011 Total Local or Other Revenue</t>
  </si>
  <si>
    <t>9,323 (# of transactions</t>
  </si>
  <si>
    <t>293 (# of transactions</t>
  </si>
  <si>
    <t>52 (# of transactions</t>
  </si>
  <si>
    <t>Batterers' Education Program Fee / Moving On Group Fee</t>
  </si>
  <si>
    <t>BEP Clients / Women Clients</t>
  </si>
  <si>
    <t>Per Client Per 24 Week Session + Intake</t>
  </si>
  <si>
    <t>Funds are used to pay for District staff who coordinate and facilitate BEP/Moving On</t>
  </si>
  <si>
    <t>Per Client Per Week/Per Month</t>
  </si>
  <si>
    <t>CALM Group Fee</t>
  </si>
  <si>
    <t>Anger Management Clients</t>
  </si>
  <si>
    <t>Per Client Per Weekly Session</t>
  </si>
  <si>
    <t>Funds are used to pay for the operational support costs associated with this 24-session anger management program</t>
  </si>
  <si>
    <t>Sex Offender Treatment Program Materials Fee</t>
  </si>
  <si>
    <t>Fee covers the cost of purchasing and providing Sex Offender Treatment Program educational materials to all new SOTP clients</t>
  </si>
  <si>
    <t>All new Sex Offender Treatment Program clients are required to purchase the Program educational materials (workbooks), which are theirs then to keep throughout their Program participation and upon completion</t>
  </si>
  <si>
    <t>UA Confirmation Processing Fee - Deny Positive</t>
  </si>
  <si>
    <t>Any Client Who Denies A Positive UA Test &amp; Requests A Confirmation</t>
  </si>
  <si>
    <t>Fee covers the cost of an UA laboratory confirmation test</t>
  </si>
  <si>
    <t>Any client who tests positive for drug use during an in-house UA test, but denies those test results may request a professional laboratory confirmation AND will be required to pay for the cost of that lab confirmation</t>
  </si>
  <si>
    <t>482 Transactions</t>
  </si>
  <si>
    <t>Paid to Provider</t>
  </si>
  <si>
    <t>17,467 (# of transactions)</t>
  </si>
  <si>
    <t>712 (# of transactions)</t>
  </si>
  <si>
    <t>7,433 (# of transactions)</t>
  </si>
  <si>
    <t>251 (# of transactions)</t>
  </si>
  <si>
    <t>89 (# of transactions)</t>
  </si>
  <si>
    <t>498 (# of transactions)</t>
  </si>
  <si>
    <t>44 (# of transactions)</t>
  </si>
  <si>
    <t>5,967 (# of transactions)</t>
  </si>
  <si>
    <t>299 (# of transactions)</t>
  </si>
  <si>
    <t>347 (# of transactions)</t>
  </si>
  <si>
    <t>2,470 (# of transactions)</t>
  </si>
  <si>
    <t>221 (# of transactions)</t>
  </si>
  <si>
    <t>113 (# of transactions)</t>
  </si>
  <si>
    <t>322 (# of transactions)</t>
  </si>
  <si>
    <t>29 (# of transactions)</t>
  </si>
  <si>
    <t>Offenders &amp; Offender's Family &amp; Friends</t>
  </si>
  <si>
    <t>per email</t>
  </si>
  <si>
    <t>Per Visit</t>
  </si>
  <si>
    <t>Fee for purchase of Debitek card to use in vending machines on site.  No net receipts in FY11 due to refunds made to inmates charged incorrectly.</t>
  </si>
  <si>
    <t>Pay to Stay is a direct offset to GF expenditures; 6% charged for offender store orders (e.g.; personal clothing, commissary, etc.).</t>
  </si>
  <si>
    <t>O-Mail</t>
  </si>
  <si>
    <r>
      <t>Pay to Stay is a direct offset to GF expenditures</t>
    </r>
    <r>
      <rPr>
        <sz val="8"/>
        <rFont val="Arial"/>
        <family val="2"/>
      </rPr>
      <t>; 6% charged for offender store orders (e.g.; personal clothing, commissary, etc.).</t>
    </r>
  </si>
  <si>
    <r>
      <t xml:space="preserve">Medical Co-Pays </t>
    </r>
    <r>
      <rPr>
        <sz val="8"/>
        <rFont val="Arial"/>
        <family val="2"/>
      </rPr>
      <t>are a direct offset to GF expense</t>
    </r>
  </si>
  <si>
    <t>Number of FY 2012 Payors</t>
  </si>
  <si>
    <t>FY 2012 Total Revenue</t>
  </si>
  <si>
    <t>Number of FY 2013 Payors</t>
  </si>
  <si>
    <t>FY 2013 Total Revenue</t>
  </si>
  <si>
    <t>Number of FY 2014 Payors</t>
  </si>
  <si>
    <t>FY 2014 Total Revenue</t>
  </si>
  <si>
    <t>FY 2012 Total Local or Other Revenue</t>
  </si>
  <si>
    <t>FY 2013 Total Net GF Revenue</t>
  </si>
  <si>
    <t>FY 2013 Total Local or Other Revenue</t>
  </si>
  <si>
    <t>FY 2014 Total Net GF Revenue</t>
  </si>
  <si>
    <t>FY 2014 Total Local or Other Revenue</t>
  </si>
  <si>
    <t xml:space="preserve">$1.00 per wireless phone, per month </t>
  </si>
  <si>
    <t>88 (# of transactions)</t>
  </si>
  <si>
    <t>6804 (# of transactions)</t>
  </si>
  <si>
    <t>439 (# of transactions)</t>
  </si>
  <si>
    <t>301 (# of transactions)</t>
  </si>
  <si>
    <t>2937 (# of transactions)</t>
  </si>
  <si>
    <t>238 (# of transactions)</t>
  </si>
  <si>
    <t>142 (# of transactions)</t>
  </si>
  <si>
    <t>414 (# of transactions)</t>
  </si>
  <si>
    <t>18 (# of transactions)</t>
  </si>
  <si>
    <t>18243 (# of transactions</t>
  </si>
  <si>
    <t>746*</t>
  </si>
  <si>
    <t>106846 messages</t>
  </si>
  <si>
    <t>NC</t>
  </si>
  <si>
    <t>Fitness Specialist Training (Cooper Institute)</t>
  </si>
  <si>
    <t>TASER  Instructor School</t>
  </si>
  <si>
    <t>TASER Instructor School (Models covered X2, X26</t>
  </si>
  <si>
    <t>5-Star Innovation Leadership</t>
  </si>
  <si>
    <t>Sniper-Observer School</t>
  </si>
  <si>
    <t>Force on Force Orientation</t>
  </si>
  <si>
    <t>Mental Health In-Service</t>
  </si>
  <si>
    <t>Fees pay for 36 FTE and the associated support costs of maintaining the computerized criminal history database.</t>
  </si>
  <si>
    <t>Fees are charged to cover 107 FTE and associated support costs of regulating the gaming industry.</t>
  </si>
  <si>
    <t>Fees are used for 6.0 FTE positions including three clerks and three temporary persons.  Also includes printer for licenses and file cabinets for paperwork.</t>
  </si>
  <si>
    <t>Fees are used for 20.0 FTE positions including 18 full-time inspectors and two supervisors.  Also includes a computer for each inspector.</t>
  </si>
  <si>
    <t>Biennial</t>
  </si>
  <si>
    <t>§101; 661-224.4(2) &amp; H.F. 640</t>
  </si>
  <si>
    <t>Aboveground storage tank registration plan review</t>
  </si>
  <si>
    <t>§101; 661-221.3(3)</t>
  </si>
  <si>
    <t>Aboveground storage tank registration plan review fee per tank</t>
  </si>
  <si>
    <t>3 Year Term</t>
  </si>
  <si>
    <t>§101A &amp; HF 223</t>
  </si>
  <si>
    <t>Individual Blaster Licenses</t>
  </si>
  <si>
    <t>Fire extinguishing System Contractor additional endorsements</t>
  </si>
  <si>
    <t>Licensee</t>
  </si>
  <si>
    <t>2 Year Term</t>
  </si>
  <si>
    <t>§100C; 661-276.4</t>
  </si>
  <si>
    <t>Fire extinguishing System Installer amended certification</t>
  </si>
  <si>
    <t>Fire extinguishing System Installer additional endorsements</t>
  </si>
  <si>
    <t>Fire extinguishing System Installer trainee</t>
  </si>
  <si>
    <t>Fire extinguishing System Installer temporary</t>
  </si>
  <si>
    <t>§100C; 661-276.3(5) &amp; 661-276.4</t>
  </si>
  <si>
    <t>2013</t>
  </si>
  <si>
    <t>§100C; 661-277</t>
  </si>
  <si>
    <t>Alarm System Contractor-certification of additional "Responsible Managing Employees"</t>
  </si>
  <si>
    <t>Alarm System Contractor amended certification</t>
  </si>
  <si>
    <t>Alarm System Contractor additional endorsements</t>
  </si>
  <si>
    <t>Alarm System Installer amended certification</t>
  </si>
  <si>
    <t>Alarm System Installer additional endorsements</t>
  </si>
  <si>
    <t>Alarm System Installer Assistant</t>
  </si>
  <si>
    <t>Fire suppression system plan review - more than $5,000 up to and including $20,000</t>
  </si>
  <si>
    <t>Fire alarm system plan review - more than $5,000 and up to and including $20,000</t>
  </si>
  <si>
    <t>3 Year</t>
  </si>
  <si>
    <t>Signs/Special</t>
  </si>
  <si>
    <t>Permits - Statewide inspection program began March 1, 2009.</t>
  </si>
  <si>
    <t>Air Conditioning Disconnect/Reconnect</t>
  </si>
  <si>
    <t>Iowa Code section 80B.11B</t>
  </si>
  <si>
    <t>802                             (# of offenders)</t>
  </si>
  <si>
    <t>All Residential Center clients upon arrival at one of our facilities is required to purchase a new set of bed linens, which is theirs to keep when they leave the facility.  Fee increased from $15 to $25 in FY2014</t>
  </si>
  <si>
    <t>**3,006</t>
  </si>
  <si>
    <t xml:space="preserve">**48 </t>
  </si>
  <si>
    <t>**292</t>
  </si>
  <si>
    <t>Fee for BEP</t>
  </si>
  <si>
    <t>**422</t>
  </si>
  <si>
    <t>**81</t>
  </si>
  <si>
    <t>Direct offset to GF expenditures</t>
  </si>
  <si>
    <t>214196 messages</t>
  </si>
  <si>
    <t>300636 messages</t>
  </si>
  <si>
    <t>Direct offsets to GF expenditures</t>
  </si>
  <si>
    <t>Unless otherwise stated, all Prison and CBC Local Other Revenues are offset by GF or Other Operating Expenses.</t>
  </si>
  <si>
    <t>per occurrence</t>
  </si>
  <si>
    <t>A= Sixth District Fee System Data Base
B= Converted to state-wide fee system on Dec. 2, 2013</t>
  </si>
  <si>
    <t>Clients normally make weekly payments causing a high degree of overlap in the two data fee systems used in 2014 during the transition.
A= Sixth District Fee System Data Base
B= Converted to state-wide fee system on Dec. 2, 2013</t>
  </si>
  <si>
    <t>Incoming and Outgoing Email</t>
  </si>
  <si>
    <t>Number of FY 2015 Payors</t>
  </si>
  <si>
    <t>FY 2015 Total Revenue</t>
  </si>
  <si>
    <t>Number of FY 2016 Payors</t>
  </si>
  <si>
    <t>FY 2016 Total Revenue</t>
  </si>
  <si>
    <t>FY 2015 Total Net GF Revenue</t>
  </si>
  <si>
    <t>FY 2015 Total Local or Other Revenue</t>
  </si>
  <si>
    <t>FY 2016 Total Net GF Revenue</t>
  </si>
  <si>
    <t>FY 2016 Total Local or Other Revenue</t>
  </si>
  <si>
    <t>Where is the fee amount listed? C=Code; R=Rule; N=neither</t>
  </si>
  <si>
    <t>C</t>
  </si>
  <si>
    <t>*Board of Shorthand Reporters Examination Fee - Fee changed from $100 to $200 in FY 2014.</t>
  </si>
  <si>
    <t>*Board of Shorthand Reporters Annual License Renewal Fee - Fee changed from $60 to $85 in FY 2014.</t>
  </si>
  <si>
    <t>Due with application for house counsel</t>
  </si>
  <si>
    <t>Candidates for House Counsel Admission</t>
  </si>
  <si>
    <t>House Counsel Application Fee</t>
  </si>
  <si>
    <t>N</t>
  </si>
  <si>
    <t>Sex Offender Registry Modification Fees</t>
  </si>
  <si>
    <t>Sex Offenders Requesting Modification to Registry Requirements</t>
  </si>
  <si>
    <t>$50 - Application / $550 - Evaluation</t>
  </si>
  <si>
    <t>Discontinued FY2015</t>
  </si>
  <si>
    <t>No Longer Use 12/1/15</t>
  </si>
  <si>
    <t>NA</t>
  </si>
  <si>
    <t>$3 Per Office Visit</t>
  </si>
  <si>
    <t>302425 messages</t>
  </si>
  <si>
    <t>R</t>
  </si>
  <si>
    <t>Fire extinguishing system contractor certification 3310</t>
  </si>
  <si>
    <t>Fire extinguishing System Installer 3310</t>
  </si>
  <si>
    <t xml:space="preserve">Alarm System Contractor certification </t>
  </si>
  <si>
    <t xml:space="preserve">Alarm System Installer certification  </t>
  </si>
  <si>
    <t>Fire suppression system plan review - up to and including $5,000 - GF</t>
  </si>
  <si>
    <t>Fire alarm system plan review - up to and including $5,000 - GF</t>
  </si>
  <si>
    <t>R, C</t>
  </si>
  <si>
    <t>Residential Electrician (RE) $75; Residential Master (RM) $375; Residential Electrical Contractor (REC) $375</t>
  </si>
  <si>
    <t>75, $375</t>
  </si>
  <si>
    <t>$100                  $190 $15 (FY17)</t>
  </si>
  <si>
    <t>150  $250(FY16)</t>
  </si>
  <si>
    <t>$225 FY10       $250 FY11 $275 FY17</t>
  </si>
  <si>
    <t>250 270 FY17</t>
  </si>
  <si>
    <t>60  100 FY16</t>
  </si>
  <si>
    <t>$90 FY 10     $95 FY11 150 FY16</t>
  </si>
  <si>
    <t>$140 FY10     $145 FY11 $160 FY16</t>
  </si>
  <si>
    <t>Emergency  Care Provider</t>
  </si>
  <si>
    <t>Blue Courage/Executive</t>
  </si>
  <si>
    <t>Expandable/Collapsible Batons</t>
  </si>
  <si>
    <t>Five Star-PLE-Core Leadership</t>
  </si>
  <si>
    <t>Five Star-PLE-Strategic Leadership</t>
  </si>
  <si>
    <t>Five Star Innovation Leadership Medallion</t>
  </si>
  <si>
    <t>Five Star FBI/LEEDA Media and Public Relations</t>
  </si>
  <si>
    <t>Five Star Innovation 1st Supervisor Leadership</t>
  </si>
  <si>
    <t>Five Star Innovation 2nd Command Supervisor Leader</t>
  </si>
  <si>
    <t>Domestic Violence In-Service Training</t>
  </si>
  <si>
    <t xml:space="preserve">ILEA Operating Budget       </t>
  </si>
  <si>
    <t xml:space="preserve">ILEA </t>
  </si>
  <si>
    <t xml:space="preserve">OWI Detection/Standardization </t>
  </si>
  <si>
    <t xml:space="preserve">The agency the person works </t>
  </si>
  <si>
    <t>Certain creditors engaged in consumer credit transactions, assignees of consumer credit debts, and debt collectors with total collections exceeding $25,000 in current or preceding calendar year.</t>
  </si>
  <si>
    <t xml:space="preserve"> $0.58 per $1,000 (min. $200)</t>
  </si>
  <si>
    <t>$580 for first $1.0 million plus $0.32 for each addt'l $1,000</t>
  </si>
  <si>
    <t>Building code plan review fee - up to and including $1.0 million</t>
  </si>
  <si>
    <t>$170   $250 FY16</t>
  </si>
  <si>
    <t>$550  $575 FY16</t>
  </si>
  <si>
    <t>$475  $500 FY16</t>
  </si>
  <si>
    <t>$125  $150 FY17</t>
  </si>
  <si>
    <t>$4,000 FY10      $4,606 FY11 $5,697 FY15 $6,000 FY16  $6,240 FY17</t>
  </si>
  <si>
    <t>$850 FY10                 $500 FY11         $850 FY11  $850 FY17</t>
  </si>
  <si>
    <t xml:space="preserve"> 125 FY16</t>
  </si>
  <si>
    <t>Bicycle Maintenance for the Bicycle Patrol Officer School</t>
  </si>
  <si>
    <t>Tele communicator Advanced 24-Hour School</t>
  </si>
  <si>
    <t>Tele communicator Basic 40-Hour School</t>
  </si>
  <si>
    <t>In-Service Tele communicator School</t>
  </si>
  <si>
    <t>Tele communicator Supervisor Management School</t>
  </si>
  <si>
    <t>$70 FY10     $75 FY11</t>
  </si>
  <si>
    <t>Technical Accident Investigation Course</t>
  </si>
  <si>
    <t>Second (or subsequent) reinsertion of health care, group home, elder group home, assisted living facility, adult day services program</t>
  </si>
  <si>
    <t>Number of FY 2017 Payors</t>
  </si>
  <si>
    <t>FY 2017 Total Revenue</t>
  </si>
  <si>
    <t>Number of FY 2018 Payors</t>
  </si>
  <si>
    <t>FY 2018 Total Revenue</t>
  </si>
  <si>
    <t>FY 2017 Total Net GF Revenue</t>
  </si>
  <si>
    <t>FY 2017 Total Local or Other Revenue</t>
  </si>
  <si>
    <t>FY 2018 Total Net GF Revenue</t>
  </si>
  <si>
    <t>FY 2018 Total Local or Other Revenue</t>
  </si>
  <si>
    <t>CSR Board Fund</t>
  </si>
  <si>
    <t>Deposited in CSR Board Fund, per Iowa Code section 602.3106</t>
  </si>
  <si>
    <t>Board of Law Examiners Fund</t>
  </si>
  <si>
    <t>Deposited in Board of Law Examiners Fund, per Iowa Code section 602.10108</t>
  </si>
  <si>
    <t>Fee changed 11/2/17 from $40 to $50.</t>
  </si>
  <si>
    <t xml:space="preserve"> $150;$250</t>
  </si>
  <si>
    <t>Late registration fee can be $150 or $250 depending on how late the registration is completed; for FY18 31@$150, 145@$250</t>
  </si>
  <si>
    <t>$550;$800</t>
  </si>
  <si>
    <t xml:space="preserve">Fee was changed 11/2/17 from $425 to $550 for those not admitted anywhere else &amp; from $525 to $800 for those already admitted somewhere. </t>
  </si>
  <si>
    <t>Fee changed 11/2/17 from $525 to $900.</t>
  </si>
  <si>
    <t>UBE Admission Fee</t>
  </si>
  <si>
    <t>Candidates for UBE Admission</t>
  </si>
  <si>
    <t>Due with application for UBE Admission</t>
  </si>
  <si>
    <t>Iowa Code section 602.10108; Iowa Court Rule 31.4(1)</t>
  </si>
  <si>
    <t>Fee commenced in FY 2015. Fee changed 11/2/17 from $525 to $900.</t>
  </si>
  <si>
    <t>Fee commenced in FY 2014. Fee changed 11/2/17 from $500 to $800.</t>
  </si>
  <si>
    <t>Iowa Court Rule 47.8(1)</t>
  </si>
  <si>
    <t>$50;$100</t>
  </si>
  <si>
    <t>Iowa Court Rule 47.8(2)</t>
  </si>
  <si>
    <t xml:space="preserve">First time fee is $50 (resident) &amp; $100 (nonresident); the re-take fee is $25 (resident) &amp; $50 (Nonresident). </t>
  </si>
  <si>
    <t>$250;$500</t>
  </si>
  <si>
    <t>Iowa Court Rule 47.6(4)</t>
  </si>
  <si>
    <t>Resident fee is $250; nonresident fee is $500</t>
  </si>
  <si>
    <t>ALTA Oral Proficiency Exam Fee</t>
  </si>
  <si>
    <t>$65;$130</t>
  </si>
  <si>
    <t>Iowa Court Rule 47.8(3)</t>
  </si>
  <si>
    <t>Resident fee is $65; nonresident fee is $130</t>
  </si>
  <si>
    <t>Annual CEU Fee</t>
  </si>
  <si>
    <t>Certified Court Interpreter</t>
  </si>
  <si>
    <t>Iowa Court Rule 47.7(1)</t>
  </si>
  <si>
    <t>Late Filing Fee</t>
  </si>
  <si>
    <t>Due with late CEU report</t>
  </si>
  <si>
    <t>Iowa Court Rule 47.7(4)</t>
  </si>
  <si>
    <t>Notes:</t>
  </si>
  <si>
    <t>*Board of Law Examiners Law Student Registration Fee - Fee changed from $25 to $40 in FY 2014. Fee changed from $40 to $50 in FY18.</t>
  </si>
  <si>
    <t xml:space="preserve">   * Board of Law Examiners Law Student Late Registration Fee - Fee is $75 or $150 depending on how late the fee is. Fee changed to $150 &amp; $250 in FY 2014. </t>
  </si>
  <si>
    <t>*Board of Law Examiners Bar Exam Fee - Fee changed in FY 2014 from $325 to $425 for those who are not admitted to practice in another state and $525 for those who are admitted in another state. Fee changed to $550 &amp; $800 in FY18.</t>
  </si>
  <si>
    <t xml:space="preserve">*Board of Law Examiners Admission on Motion Fee - Fee changed from $325 to $525 in FY 2014. Fee changed from $525 to $900 in FY18. </t>
  </si>
  <si>
    <t xml:space="preserve">   * Office of Professional Regulation Registration Fee for Written Interpreter Exam - The first time the test is taken, the fee is $50.  If part of the exam is passed, the fee is $25 to re-take.</t>
  </si>
  <si>
    <t xml:space="preserve">   * Office of Professional Regulation Registration Fee for Oral Interpreter Exam - The first time the test is taken, the fee is $250 for residents and $500 for non-residents. This was changed in FY 2016</t>
  </si>
  <si>
    <t>Fines collected by the Judicial Branch are not considered fees for this summary.</t>
  </si>
  <si>
    <t>Fees are used for 5.50 FTE positions including 2.30 attorney FTE's and 3.20 investigator/support staff FTE's in FY 2018.  Also includes misc. associated expenses.</t>
  </si>
  <si>
    <t>Creditors, assignees and debt collectors must pay $50 per year for a notification fee.  Creditors and assignees must also pay a volume fee in addition, the formula for which is set out in Section 537.6203.</t>
  </si>
  <si>
    <t>Where is the fee amount listed? C=Code; R=Rule; N=Neither</t>
  </si>
  <si>
    <t>$1500 Effective 7/1/16</t>
  </si>
  <si>
    <t>$20 Effective 8/1/15</t>
  </si>
  <si>
    <t>$23 Effective 8/1/15</t>
  </si>
  <si>
    <t>$10 Effective 8/1/15</t>
  </si>
  <si>
    <t>Urinalysis Re-testing Fee:  When an offender contests a positive "in-house method' UA screen, the specimen is forwarded to the lab.  If the lab result is also positive, the offender is required to reimburse the dept the cost of the lab screening.</t>
  </si>
  <si>
    <t>Actual Cost</t>
  </si>
  <si>
    <t>$50 Intake Plus $25 Per Group</t>
  </si>
  <si>
    <t>Facility Laundry Fees: Fees charged to residential offenders for use of laundry machines and soap to do their laundry.</t>
  </si>
  <si>
    <t>Probation / Parole Clients</t>
  </si>
  <si>
    <t>$19 / $13</t>
  </si>
  <si>
    <t>$175 / $300 For Fed Probation Clients - FY17</t>
  </si>
  <si>
    <t>Psychological Sexual Assessments / Evaluations</t>
  </si>
  <si>
    <t>$300 / $700 For Fed Probation Clients - FY17</t>
  </si>
  <si>
    <t>Sex Offender Treatment Fee</t>
  </si>
  <si>
    <t>$1,500 "Lifetime" = New as of FY2018</t>
  </si>
  <si>
    <t>GPS Equipment Damage Assessment</t>
  </si>
  <si>
    <t>Any Applicable Client</t>
  </si>
  <si>
    <t>Varies Based on Particular Equipment = New as of FY2018</t>
  </si>
  <si>
    <t>SO Aftercare</t>
  </si>
  <si>
    <t>$50 / $100</t>
  </si>
  <si>
    <t>Cost</t>
  </si>
  <si>
    <t>N FY17 collect 1500.00</t>
  </si>
  <si>
    <t>N to include all SOTP Fees</t>
  </si>
  <si>
    <t>No longer use 11/01/2017</t>
  </si>
  <si>
    <t>Daily Rent Fee</t>
  </si>
  <si>
    <t>$18 / $20</t>
  </si>
  <si>
    <t>75,516*</t>
  </si>
  <si>
    <t>647*</t>
  </si>
  <si>
    <t>765*</t>
  </si>
  <si>
    <t>773*</t>
  </si>
  <si>
    <t>697*</t>
  </si>
  <si>
    <t>10,418*</t>
  </si>
  <si>
    <t>11,670*</t>
  </si>
  <si>
    <t>11,582*</t>
  </si>
  <si>
    <t>11,110*</t>
  </si>
  <si>
    <t>256*</t>
  </si>
  <si>
    <t>306*</t>
  </si>
  <si>
    <t>297*</t>
  </si>
  <si>
    <t>160*</t>
  </si>
  <si>
    <t>230*</t>
  </si>
  <si>
    <t>229*</t>
  </si>
  <si>
    <t>276*</t>
  </si>
  <si>
    <t>452*</t>
  </si>
  <si>
    <t>568*</t>
  </si>
  <si>
    <t>512*</t>
  </si>
  <si>
    <t>445*</t>
  </si>
  <si>
    <t>Sex Offender Polygraph / Plethysmograph</t>
  </si>
  <si>
    <t>Non-Supervised Offenders</t>
  </si>
  <si>
    <t>Clients</t>
  </si>
  <si>
    <t>Residential Rent - Treatment</t>
  </si>
  <si>
    <t>Fee for Probation / Parole Supervision</t>
  </si>
  <si>
    <t>Fee for Sex Offenders to Pay for Their Programming</t>
  </si>
  <si>
    <t>Fee for Performing a Substance Abuse Evaluation</t>
  </si>
  <si>
    <t>Fee for Submitting UA Test for Confirmation of + or -</t>
  </si>
  <si>
    <t>Daily Rent Fee for Staying in a Residential Facility</t>
  </si>
  <si>
    <t>Daily Rent Fee Residential with OWI Programming</t>
  </si>
  <si>
    <t>Fee for Bedding While in Residential Facility. Offender Keeps When They Leave. Started 7/1/2009.</t>
  </si>
  <si>
    <t>Fee for Washing Resident Bedding While in Residential Facility. Prior to 7/1/2009.</t>
  </si>
  <si>
    <t>Fee to Cover Bus Passes for Resident Travel</t>
  </si>
  <si>
    <t>$1500 Effective 10/1/2016</t>
  </si>
  <si>
    <t>$50 Application / $550 Evaluation</t>
  </si>
  <si>
    <t>Supversision Fee</t>
  </si>
  <si>
    <t>$300 Enrollment</t>
  </si>
  <si>
    <t>Residential Fee</t>
  </si>
  <si>
    <t>$20 / Day</t>
  </si>
  <si>
    <t>Weekend Dorm Sanction</t>
  </si>
  <si>
    <t>$25 / Day</t>
  </si>
  <si>
    <t>Sex Offender Program</t>
  </si>
  <si>
    <t>Sex Offender Clients</t>
  </si>
  <si>
    <t>$1,250 / Year</t>
  </si>
  <si>
    <t>Iowa Domestic Abuse</t>
  </si>
  <si>
    <t>Male and Female Clients</t>
  </si>
  <si>
    <t>$500 Enrollment</t>
  </si>
  <si>
    <t>Urinalysis Confirmation</t>
  </si>
  <si>
    <t>Positive UA client who denies use &amp; requests confirmation</t>
  </si>
  <si>
    <t>$10 / Test</t>
  </si>
  <si>
    <t>Hair Test Confirmatoin</t>
  </si>
  <si>
    <t>$60 / Test</t>
  </si>
  <si>
    <t>Interstate Compact (0460) - Application Fee</t>
  </si>
  <si>
    <t>Pay For Stay</t>
  </si>
  <si>
    <t>State Employees</t>
  </si>
  <si>
    <t>Building Rent</t>
  </si>
  <si>
    <t>Lee County Health Department</t>
  </si>
  <si>
    <t>Individuals Requesting Information</t>
  </si>
  <si>
    <t>$0.15 Per Copy</t>
  </si>
  <si>
    <t>Visitors &amp; Staff at ASP</t>
  </si>
  <si>
    <t>Weather Station Fee</t>
  </si>
  <si>
    <t xml:space="preserve">50% of Private Sector Pay </t>
  </si>
  <si>
    <t>41685.18*
Partial Year</t>
  </si>
  <si>
    <t>Staff / Inmates</t>
  </si>
  <si>
    <t>Clarinda Academy and Staff</t>
  </si>
  <si>
    <t>310,314 Messages</t>
  </si>
  <si>
    <t>310,314 messages</t>
  </si>
  <si>
    <t>281,360 messages</t>
  </si>
  <si>
    <t>$15 for all now</t>
  </si>
  <si>
    <t>$26 for Employees     $13 for volunteers</t>
  </si>
  <si>
    <t>No longer print for Hazmat</t>
  </si>
  <si>
    <t>Requesting Casino or Business Entity</t>
  </si>
  <si>
    <t>$200 for offense after July 1, 1995             $250 for offense after July 1, 2009</t>
  </si>
  <si>
    <t>$2.50 per bed</t>
  </si>
  <si>
    <t>§100; 661-200.4(7)a</t>
  </si>
  <si>
    <t>$10.00 per bed</t>
  </si>
  <si>
    <t>§100; 661-200.4(7)b</t>
  </si>
  <si>
    <t>$75 per facility</t>
  </si>
  <si>
    <t>§100; 661-200.4(7)c</t>
  </si>
  <si>
    <t>$25 per facility</t>
  </si>
  <si>
    <t>§100; 661-200.4(7)d</t>
  </si>
  <si>
    <t>$125 per reinspection</t>
  </si>
  <si>
    <t>§100; 661-200.4(7)e</t>
  </si>
  <si>
    <t>$150.00 per inspection</t>
  </si>
  <si>
    <t>§100; 661-200.4(7)f</t>
  </si>
  <si>
    <t>1298 (multiple retests offered  free due to scoring issues)</t>
  </si>
  <si>
    <t>1316 (multiple retests offered  free due to scoring issues)</t>
  </si>
  <si>
    <t>Enrollment-based</t>
  </si>
  <si>
    <t>0 (no new loans were awarded)</t>
  </si>
  <si>
    <t>Consumer Fireworks Retail Seller License</t>
  </si>
  <si>
    <t>Consumer Fireworks Retail Seller</t>
  </si>
  <si>
    <t>Varies-see comments for fees</t>
  </si>
  <si>
    <t>008X</t>
  </si>
  <si>
    <t>§100 and 661-265.22</t>
  </si>
  <si>
    <t>Consumer Fireworks Wholesaler Registration</t>
  </si>
  <si>
    <t>Consumer Fireworks Wholesaler</t>
  </si>
  <si>
    <t>§100 and 661-265.31</t>
  </si>
  <si>
    <t>Child Sex Abuse Investigator</t>
  </si>
  <si>
    <t>Information as submitted by the Department/Agency in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</si>
</sst>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 #,##0"/>
    <numFmt numFmtId="166" formatCode="_(* #,##0_);_(* \(#,##0\);_(* &quot;-&quot;??_);_(@_)"/>
    <numFmt numFmtId="167" formatCode="&quot;$&quot;#,##0.00"/>
  </numFmts>
  <fonts count="23" x14ac:knownFonts="1">
    <font>
      <sz val="10"/>
      <name val="Arial"/>
    </font>
    <font>
      <sz val="11"/>
      <color theme="1"/>
      <name val="Calibri"/>
      <family val="2"/>
      <scheme val="minor"/>
    </font>
    <font>
      <sz val="10"/>
      <name val="Arial"/>
      <family val="2"/>
    </font>
    <font>
      <sz val="8"/>
      <name val="Arial"/>
      <family val="2"/>
    </font>
    <font>
      <sz val="10"/>
      <name val="Arial"/>
      <family val="2"/>
    </font>
    <font>
      <b/>
      <sz val="10"/>
      <color indexed="81"/>
      <name val="Tahoma"/>
      <family val="2"/>
    </font>
    <font>
      <sz val="10"/>
      <color indexed="81"/>
      <name val="Tahoma"/>
      <family val="2"/>
    </font>
    <font>
      <b/>
      <sz val="9"/>
      <name val="Arial"/>
      <family val="2"/>
    </font>
    <font>
      <sz val="9"/>
      <color indexed="8"/>
      <name val="Calibri"/>
      <family val="2"/>
    </font>
    <font>
      <sz val="9"/>
      <color indexed="8"/>
      <name val="Arial"/>
      <family val="2"/>
    </font>
    <font>
      <sz val="8"/>
      <color indexed="8"/>
      <name val="Arial"/>
      <family val="2"/>
    </font>
    <font>
      <b/>
      <sz val="8"/>
      <name val="Arial"/>
      <family val="2"/>
    </font>
    <font>
      <sz val="9"/>
      <name val="Arial"/>
      <family val="2"/>
    </font>
    <font>
      <sz val="12"/>
      <color indexed="8"/>
      <name val="Arial"/>
      <family val="2"/>
    </font>
    <font>
      <b/>
      <sz val="9"/>
      <color indexed="8"/>
      <name val="Calibri"/>
      <family val="2"/>
    </font>
    <font>
      <sz val="9"/>
      <color rgb="FFFF0000"/>
      <name val="Arial"/>
      <family val="2"/>
    </font>
    <font>
      <b/>
      <sz val="8"/>
      <color theme="3" tint="-0.499984740745262"/>
      <name val="Arial"/>
      <family val="2"/>
    </font>
    <font>
      <b/>
      <sz val="10"/>
      <name val="Arial"/>
      <family val="2"/>
    </font>
    <font>
      <sz val="8"/>
      <color theme="3" tint="-0.499984740745262"/>
      <name val="Arial"/>
      <family val="2"/>
    </font>
    <font>
      <b/>
      <sz val="9"/>
      <color indexed="8"/>
      <name val="Arial"/>
      <family val="2"/>
    </font>
    <font>
      <b/>
      <sz val="8"/>
      <color indexed="8"/>
      <name val="Arial"/>
      <family val="2"/>
    </font>
    <font>
      <sz val="10"/>
      <name val="Arial"/>
      <family val="2"/>
    </font>
    <font>
      <b/>
      <sz val="8"/>
      <color rgb="FFFF0000"/>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s>
  <cellStyleXfs count="51">
    <xf numFmtId="0" fontId="0" fillId="0" borderId="0"/>
    <xf numFmtId="4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0" fontId="2" fillId="0" borderId="0"/>
    <xf numFmtId="43" fontId="21" fillId="0" borderId="0" applyFont="0" applyFill="0" applyBorder="0" applyAlignment="0" applyProtection="0"/>
  </cellStyleXfs>
  <cellXfs count="521">
    <xf numFmtId="0" fontId="0" fillId="0" borderId="0" xfId="0"/>
    <xf numFmtId="0" fontId="7" fillId="0" borderId="0" xfId="0" applyFont="1" applyAlignment="1">
      <alignment horizontal="center" wrapText="1"/>
    </xf>
    <xf numFmtId="0" fontId="7" fillId="0" borderId="1" xfId="0" applyFont="1" applyBorder="1" applyAlignment="1">
      <alignment horizontal="center" wrapText="1"/>
    </xf>
    <xf numFmtId="164" fontId="7" fillId="0" borderId="1" xfId="0" applyNumberFormat="1" applyFont="1" applyBorder="1" applyAlignment="1">
      <alignment horizontal="center" wrapText="1"/>
    </xf>
    <xf numFmtId="3" fontId="7" fillId="0" borderId="1" xfId="0" applyNumberFormat="1" applyFont="1" applyBorder="1" applyAlignment="1">
      <alignment horizontal="center" wrapText="1"/>
    </xf>
    <xf numFmtId="0" fontId="8" fillId="0" borderId="0" xfId="0" applyFont="1"/>
    <xf numFmtId="0" fontId="8" fillId="0" borderId="2" xfId="0" applyFont="1" applyBorder="1" applyAlignment="1">
      <alignment vertical="top"/>
    </xf>
    <xf numFmtId="0" fontId="8" fillId="0" borderId="2" xfId="0" applyFont="1" applyBorder="1" applyAlignment="1">
      <alignment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horizontal="center" vertical="top"/>
    </xf>
    <xf numFmtId="0" fontId="8" fillId="0" borderId="2" xfId="0" applyFont="1" applyFill="1" applyBorder="1" applyAlignment="1">
      <alignment horizontal="left" vertical="top" wrapText="1"/>
    </xf>
    <xf numFmtId="0" fontId="8" fillId="0" borderId="0" xfId="0" applyFont="1" applyAlignment="1">
      <alignment vertical="top"/>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8" fillId="0" borderId="0" xfId="0" applyFont="1" applyFill="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wrapText="1"/>
    </xf>
    <xf numFmtId="0" fontId="8" fillId="0" borderId="0" xfId="0" applyFont="1" applyAlignment="1">
      <alignment horizontal="center"/>
    </xf>
    <xf numFmtId="0" fontId="8" fillId="0" borderId="0" xfId="0" applyFont="1" applyAlignment="1">
      <alignment wrapText="1"/>
    </xf>
    <xf numFmtId="0" fontId="9" fillId="0" borderId="0" xfId="0" applyFont="1"/>
    <xf numFmtId="0" fontId="9" fillId="0" borderId="0" xfId="0" applyFont="1" applyBorder="1"/>
    <xf numFmtId="0" fontId="9" fillId="0" borderId="0" xfId="0" applyFont="1" applyFill="1" applyBorder="1"/>
    <xf numFmtId="0" fontId="9" fillId="0" borderId="0" xfId="0" applyFont="1" applyAlignment="1">
      <alignment wrapText="1"/>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8" fillId="0" borderId="0" xfId="0" applyFont="1" applyBorder="1"/>
    <xf numFmtId="0" fontId="8" fillId="0" borderId="0" xfId="0" applyFont="1" applyFill="1" applyBorder="1" applyAlignment="1">
      <alignment vertical="top"/>
    </xf>
    <xf numFmtId="0" fontId="8" fillId="0" borderId="0" xfId="0" applyFont="1" applyFill="1" applyBorder="1"/>
    <xf numFmtId="0" fontId="8" fillId="0" borderId="0" xfId="0" applyFont="1" applyBorder="1" applyAlignment="1">
      <alignment horizontal="center" vertical="top"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center"/>
    </xf>
    <xf numFmtId="0" fontId="9" fillId="0" borderId="0" xfId="0" applyFont="1" applyAlignment="1"/>
    <xf numFmtId="165" fontId="9" fillId="0" borderId="2" xfId="1" applyNumberFormat="1" applyFont="1" applyFill="1" applyBorder="1" applyAlignment="1">
      <alignment horizontal="center" vertical="top"/>
    </xf>
    <xf numFmtId="165" fontId="7" fillId="0" borderId="1" xfId="0" applyNumberFormat="1" applyFont="1" applyBorder="1" applyAlignment="1">
      <alignment horizontal="center" wrapText="1"/>
    </xf>
    <xf numFmtId="165" fontId="8" fillId="0" borderId="0" xfId="1" applyNumberFormat="1" applyFont="1" applyFill="1" applyAlignment="1">
      <alignment horizontal="center" vertical="top" wrapText="1"/>
    </xf>
    <xf numFmtId="165" fontId="8" fillId="0" borderId="2" xfId="1" applyNumberFormat="1" applyFont="1" applyFill="1" applyBorder="1" applyAlignment="1">
      <alignment horizontal="center" vertical="top" wrapText="1"/>
    </xf>
    <xf numFmtId="165" fontId="8" fillId="0" borderId="0" xfId="1" applyNumberFormat="1" applyFont="1" applyFill="1" applyBorder="1" applyAlignment="1">
      <alignment horizontal="center" vertical="top" wrapText="1"/>
    </xf>
    <xf numFmtId="165" fontId="8" fillId="0" borderId="0" xfId="0" applyNumberFormat="1" applyFont="1" applyBorder="1" applyAlignment="1">
      <alignment horizontal="center" wrapText="1"/>
    </xf>
    <xf numFmtId="165" fontId="8" fillId="0" borderId="0" xfId="0" applyNumberFormat="1" applyFont="1" applyAlignment="1">
      <alignment horizontal="center" wrapText="1"/>
    </xf>
    <xf numFmtId="165" fontId="8" fillId="0" borderId="0" xfId="0" applyNumberFormat="1" applyFont="1" applyAlignment="1">
      <alignment wrapText="1"/>
    </xf>
    <xf numFmtId="165" fontId="9" fillId="0" borderId="0" xfId="1" applyNumberFormat="1" applyFont="1" applyFill="1" applyBorder="1" applyAlignment="1">
      <alignment horizontal="center" vertical="top"/>
    </xf>
    <xf numFmtId="165" fontId="9" fillId="0" borderId="0" xfId="0" applyNumberFormat="1" applyFont="1" applyBorder="1" applyAlignment="1">
      <alignment horizontal="center"/>
    </xf>
    <xf numFmtId="165" fontId="9" fillId="0" borderId="0" xfId="0" applyNumberFormat="1" applyFont="1" applyAlignment="1">
      <alignment horizontal="center"/>
    </xf>
    <xf numFmtId="165" fontId="9" fillId="0" borderId="0" xfId="0" applyNumberFormat="1" applyFont="1"/>
    <xf numFmtId="164" fontId="9" fillId="0" borderId="0" xfId="0" applyNumberFormat="1" applyFont="1"/>
    <xf numFmtId="0" fontId="9" fillId="0" borderId="0" xfId="0" applyFont="1" applyBorder="1" applyAlignment="1">
      <alignment wrapText="1"/>
    </xf>
    <xf numFmtId="165" fontId="9" fillId="0" borderId="0" xfId="1" applyNumberFormat="1" applyFont="1" applyFill="1" applyBorder="1" applyAlignment="1">
      <alignment horizontal="center"/>
    </xf>
    <xf numFmtId="37" fontId="8" fillId="0" borderId="0" xfId="0" applyNumberFormat="1" applyFont="1" applyFill="1" applyAlignment="1">
      <alignment horizontal="center" vertical="top"/>
    </xf>
    <xf numFmtId="3" fontId="7" fillId="0" borderId="1" xfId="0" applyNumberFormat="1"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Alignment="1">
      <alignment horizontal="center"/>
    </xf>
    <xf numFmtId="0" fontId="8" fillId="0" borderId="0" xfId="0" applyFont="1" applyFill="1"/>
    <xf numFmtId="165" fontId="7" fillId="0" borderId="1" xfId="0" applyNumberFormat="1" applyFont="1" applyFill="1" applyBorder="1" applyAlignment="1">
      <alignment horizontal="center" wrapText="1"/>
    </xf>
    <xf numFmtId="0" fontId="9" fillId="0" borderId="0" xfId="0" applyFont="1" applyFill="1" applyAlignment="1"/>
    <xf numFmtId="165" fontId="9" fillId="0" borderId="0" xfId="0" applyNumberFormat="1" applyFont="1" applyFill="1" applyAlignment="1">
      <alignment vertical="top"/>
    </xf>
    <xf numFmtId="164" fontId="9" fillId="0" borderId="0" xfId="0" applyNumberFormat="1" applyFont="1" applyFill="1" applyBorder="1" applyAlignment="1">
      <alignment horizontal="center"/>
    </xf>
    <xf numFmtId="164" fontId="9" fillId="0" borderId="0" xfId="0" applyNumberFormat="1" applyFont="1" applyFill="1" applyAlignment="1">
      <alignment horizontal="center"/>
    </xf>
    <xf numFmtId="164" fontId="9" fillId="0" borderId="0" xfId="0" applyNumberFormat="1" applyFont="1" applyFill="1"/>
    <xf numFmtId="3" fontId="11" fillId="0" borderId="0" xfId="0" applyNumberFormat="1" applyFont="1" applyFill="1" applyBorder="1" applyAlignment="1">
      <alignment horizontal="center" wrapText="1"/>
    </xf>
    <xf numFmtId="165" fontId="11" fillId="0" borderId="0" xfId="0" applyNumberFormat="1" applyFont="1" applyFill="1" applyBorder="1" applyAlignment="1">
      <alignment horizontal="center" wrapText="1"/>
    </xf>
    <xf numFmtId="0" fontId="9" fillId="0" borderId="0" xfId="0" applyFont="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44" fontId="9" fillId="0" borderId="0" xfId="24" applyFont="1" applyFill="1" applyBorder="1" applyAlignment="1">
      <alignment horizontal="center" vertical="center"/>
    </xf>
    <xf numFmtId="164" fontId="9" fillId="0" borderId="2" xfId="0" applyNumberFormat="1" applyFont="1" applyFill="1" applyBorder="1" applyAlignment="1">
      <alignment horizontal="center" vertical="top" wrapText="1"/>
    </xf>
    <xf numFmtId="164" fontId="8" fillId="0" borderId="2" xfId="0" applyNumberFormat="1" applyFont="1" applyFill="1" applyBorder="1" applyAlignment="1">
      <alignment horizontal="left" vertical="top" wrapText="1"/>
    </xf>
    <xf numFmtId="0" fontId="9" fillId="0" borderId="0" xfId="0" applyFont="1" applyBorder="1" applyAlignment="1">
      <alignment horizontal="left" vertical="top"/>
    </xf>
    <xf numFmtId="0" fontId="8" fillId="0" borderId="0" xfId="0" applyFont="1" applyBorder="1" applyAlignment="1">
      <alignment horizontal="left" vertical="top"/>
    </xf>
    <xf numFmtId="0" fontId="9" fillId="0" borderId="0" xfId="0" applyFont="1" applyFill="1" applyBorder="1" applyAlignment="1">
      <alignment wrapText="1"/>
    </xf>
    <xf numFmtId="0" fontId="8" fillId="0" borderId="0" xfId="0" applyFont="1" applyBorder="1" applyAlignment="1">
      <alignment wrapText="1"/>
    </xf>
    <xf numFmtId="0" fontId="9" fillId="0" borderId="0" xfId="0" applyFont="1" applyAlignment="1">
      <alignment vertical="top"/>
    </xf>
    <xf numFmtId="0" fontId="9" fillId="0" borderId="0" xfId="0" applyFont="1" applyAlignment="1">
      <alignment horizontal="center" vertical="top" wrapText="1"/>
    </xf>
    <xf numFmtId="0" fontId="9" fillId="0" borderId="0" xfId="0" applyFont="1" applyAlignment="1">
      <alignment horizontal="left" wrapText="1"/>
    </xf>
    <xf numFmtId="0" fontId="9" fillId="0" borderId="0" xfId="0" applyFont="1" applyAlignment="1">
      <alignment vertical="top" wrapText="1"/>
    </xf>
    <xf numFmtId="0" fontId="7" fillId="0" borderId="0" xfId="0" applyFont="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left" wrapText="1"/>
    </xf>
    <xf numFmtId="164" fontId="7" fillId="0" borderId="1" xfId="0" applyNumberFormat="1" applyFont="1" applyBorder="1" applyAlignment="1">
      <alignment horizontal="center" wrapText="1"/>
    </xf>
    <xf numFmtId="3" fontId="7" fillId="0" borderId="1" xfId="0" applyNumberFormat="1" applyFont="1" applyBorder="1" applyAlignment="1">
      <alignment horizontal="center" wrapText="1"/>
    </xf>
    <xf numFmtId="0" fontId="9" fillId="0" borderId="2" xfId="0" applyFont="1" applyBorder="1" applyAlignment="1">
      <alignment vertical="top" wrapText="1"/>
    </xf>
    <xf numFmtId="0" fontId="9" fillId="0" borderId="2" xfId="0" applyFont="1" applyBorder="1" applyAlignment="1">
      <alignment vertical="top"/>
    </xf>
    <xf numFmtId="0" fontId="9" fillId="0" borderId="2" xfId="0" applyFont="1" applyFill="1" applyBorder="1" applyAlignment="1">
      <alignment horizontal="center" vertical="top" wrapText="1"/>
    </xf>
    <xf numFmtId="0" fontId="9" fillId="0" borderId="2" xfId="0" applyFont="1" applyFill="1" applyBorder="1" applyAlignment="1">
      <alignment horizontal="left" vertical="top" wrapText="1"/>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Border="1" applyAlignment="1">
      <alignment horizontal="center" vertical="top"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xf>
    <xf numFmtId="164" fontId="9" fillId="0" borderId="0" xfId="1" applyNumberFormat="1" applyFont="1" applyFill="1" applyBorder="1" applyAlignment="1">
      <alignment horizontal="center" vertical="top"/>
    </xf>
    <xf numFmtId="164" fontId="9" fillId="0" borderId="0" xfId="0" applyNumberFormat="1" applyFont="1" applyBorder="1" applyAlignment="1">
      <alignment horizontal="center"/>
    </xf>
    <xf numFmtId="164" fontId="9" fillId="0" borderId="0" xfId="0" applyNumberFormat="1" applyFont="1" applyAlignment="1">
      <alignment horizontal="center"/>
    </xf>
    <xf numFmtId="165" fontId="9" fillId="0" borderId="0" xfId="1" applyNumberFormat="1" applyFont="1" applyFill="1" applyAlignment="1">
      <alignment horizontal="right" vertical="top"/>
    </xf>
    <xf numFmtId="165" fontId="9" fillId="0" borderId="2" xfId="1" applyNumberFormat="1" applyFont="1" applyFill="1" applyBorder="1" applyAlignment="1">
      <alignment horizontal="right" vertical="top"/>
    </xf>
    <xf numFmtId="0" fontId="9" fillId="0" borderId="2" xfId="0" applyFont="1" applyBorder="1" applyAlignment="1"/>
    <xf numFmtId="0" fontId="9" fillId="0" borderId="2" xfId="0" applyFont="1" applyFill="1" applyBorder="1" applyAlignment="1">
      <alignment horizontal="center"/>
    </xf>
    <xf numFmtId="0" fontId="9" fillId="0" borderId="2" xfId="0" applyFont="1" applyFill="1" applyBorder="1" applyAlignment="1">
      <alignment horizontal="center" wrapText="1"/>
    </xf>
    <xf numFmtId="6" fontId="9" fillId="0" borderId="0" xfId="0" applyNumberFormat="1" applyFont="1" applyFill="1" applyAlignment="1">
      <alignment horizontal="center" vertical="top" wrapText="1"/>
    </xf>
    <xf numFmtId="6" fontId="9" fillId="0" borderId="2" xfId="0" applyNumberFormat="1" applyFont="1" applyFill="1" applyBorder="1" applyAlignment="1">
      <alignment horizontal="center" vertical="top" wrapText="1"/>
    </xf>
    <xf numFmtId="165" fontId="9" fillId="0" borderId="2" xfId="1" applyNumberFormat="1" applyFont="1" applyFill="1" applyBorder="1" applyAlignment="1">
      <alignment horizontal="right" vertical="top" wrapText="1"/>
    </xf>
    <xf numFmtId="3" fontId="7" fillId="0" borderId="1" xfId="0" applyNumberFormat="1" applyFont="1" applyFill="1" applyBorder="1" applyAlignment="1">
      <alignment horizont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Alignment="1">
      <alignment horizontal="center"/>
    </xf>
    <xf numFmtId="164" fontId="7" fillId="0" borderId="1" xfId="0" applyNumberFormat="1" applyFont="1" applyFill="1" applyBorder="1" applyAlignment="1">
      <alignment horizontal="center" wrapText="1"/>
    </xf>
    <xf numFmtId="165" fontId="9" fillId="0" borderId="2" xfId="1" applyNumberFormat="1" applyFont="1" applyFill="1" applyBorder="1" applyAlignment="1">
      <alignment horizontal="right" vertical="center"/>
    </xf>
    <xf numFmtId="0" fontId="9" fillId="0" borderId="0" xfId="0" applyFont="1" applyFill="1" applyBorder="1" applyAlignment="1" applyProtection="1">
      <alignment horizontal="center" vertical="top"/>
      <protection locked="0"/>
    </xf>
    <xf numFmtId="0" fontId="0" fillId="0" borderId="0" xfId="0"/>
    <xf numFmtId="0" fontId="9" fillId="0" borderId="0" xfId="0" applyFont="1" applyFill="1" applyAlignment="1">
      <alignment horizontal="center" vertical="top" wrapText="1"/>
    </xf>
    <xf numFmtId="0" fontId="9" fillId="0" borderId="0" xfId="0" applyFont="1" applyFill="1" applyAlignment="1">
      <alignment horizontal="center" vertical="top"/>
    </xf>
    <xf numFmtId="0" fontId="9" fillId="0" borderId="0" xfId="0" applyFont="1" applyFill="1" applyAlignment="1">
      <alignment horizontal="left" vertical="top" wrapText="1"/>
    </xf>
    <xf numFmtId="0" fontId="9" fillId="0" borderId="2" xfId="0" applyFont="1" applyFill="1" applyBorder="1" applyAlignment="1">
      <alignment horizontal="center" vertical="top"/>
    </xf>
    <xf numFmtId="0" fontId="9" fillId="0" borderId="2" xfId="0" applyFont="1" applyFill="1" applyBorder="1" applyAlignment="1">
      <alignment vertical="top"/>
    </xf>
    <xf numFmtId="0" fontId="9" fillId="0" borderId="0" xfId="0" applyFont="1" applyFill="1"/>
    <xf numFmtId="0" fontId="9" fillId="0" borderId="0" xfId="0" applyFont="1" applyFill="1" applyAlignment="1">
      <alignment vertical="top"/>
    </xf>
    <xf numFmtId="0" fontId="9" fillId="0" borderId="2" xfId="0" applyFont="1" applyFill="1" applyBorder="1" applyAlignment="1">
      <alignment vertical="top" wrapText="1"/>
    </xf>
    <xf numFmtId="0" fontId="9" fillId="0" borderId="0" xfId="0" applyFont="1" applyFill="1" applyAlignment="1">
      <alignment vertical="top" wrapText="1"/>
    </xf>
    <xf numFmtId="165" fontId="9" fillId="0" borderId="0" xfId="0" applyNumberFormat="1" applyFont="1" applyFill="1" applyAlignment="1">
      <alignment horizontal="center" vertical="top"/>
    </xf>
    <xf numFmtId="0" fontId="9" fillId="0" borderId="0" xfId="0" applyFont="1" applyBorder="1" applyAlignment="1">
      <alignment vertical="center"/>
    </xf>
    <xf numFmtId="0" fontId="12" fillId="0" borderId="0" xfId="0" applyFont="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44" fontId="9" fillId="0" borderId="0" xfId="24" applyFont="1" applyFill="1" applyBorder="1" applyAlignment="1">
      <alignment horizontal="center" vertical="center"/>
    </xf>
    <xf numFmtId="0" fontId="9" fillId="0" borderId="0" xfId="0" applyFont="1" applyFill="1" applyAlignment="1">
      <alignment wrapText="1"/>
    </xf>
    <xf numFmtId="0" fontId="9" fillId="0" borderId="0" xfId="0" applyFont="1" applyBorder="1" applyAlignment="1">
      <alignment vertical="center"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xf>
    <xf numFmtId="0" fontId="9" fillId="0" borderId="3" xfId="0" applyFont="1" applyFill="1" applyBorder="1" applyAlignment="1">
      <alignment vertical="top" wrapText="1"/>
    </xf>
    <xf numFmtId="0" fontId="9" fillId="0" borderId="3" xfId="0" applyFont="1" applyFill="1" applyBorder="1" applyAlignment="1">
      <alignment horizontal="center" vertical="top" wrapText="1"/>
    </xf>
    <xf numFmtId="0" fontId="9" fillId="0" borderId="3" xfId="0" applyFont="1" applyFill="1" applyBorder="1" applyAlignment="1">
      <alignment horizontal="center" vertical="top"/>
    </xf>
    <xf numFmtId="165" fontId="9" fillId="0" borderId="3" xfId="1" applyNumberFormat="1" applyFont="1" applyFill="1" applyBorder="1" applyAlignment="1">
      <alignment horizontal="center" vertical="top"/>
    </xf>
    <xf numFmtId="49" fontId="9" fillId="0" borderId="3" xfId="0" applyNumberFormat="1" applyFont="1" applyFill="1" applyBorder="1" applyAlignment="1">
      <alignment horizontal="center" vertical="top" wrapText="1"/>
    </xf>
    <xf numFmtId="165" fontId="9" fillId="0" borderId="3" xfId="0" applyNumberFormat="1" applyFont="1" applyFill="1" applyBorder="1" applyAlignment="1">
      <alignment horizontal="center" vertical="top"/>
    </xf>
    <xf numFmtId="0" fontId="0" fillId="0" borderId="0" xfId="0" applyFill="1"/>
    <xf numFmtId="0" fontId="9" fillId="0" borderId="3" xfId="47" applyFont="1" applyFill="1" applyBorder="1" applyAlignment="1">
      <alignment vertical="top" wrapText="1"/>
    </xf>
    <xf numFmtId="0" fontId="9" fillId="0" borderId="3" xfId="47" applyFont="1" applyFill="1" applyBorder="1" applyAlignment="1">
      <alignment horizontal="center" vertical="top" wrapText="1"/>
    </xf>
    <xf numFmtId="49" fontId="9" fillId="0" borderId="3" xfId="47" applyNumberFormat="1" applyFont="1" applyFill="1" applyBorder="1" applyAlignment="1">
      <alignment horizontal="center" vertical="top" wrapText="1"/>
    </xf>
    <xf numFmtId="165" fontId="9" fillId="0" borderId="3" xfId="48" applyNumberFormat="1" applyFont="1" applyFill="1" applyBorder="1" applyAlignment="1">
      <alignment horizontal="center" vertical="top" wrapText="1"/>
    </xf>
    <xf numFmtId="165" fontId="12" fillId="0" borderId="3" xfId="48" applyNumberFormat="1" applyFont="1" applyFill="1" applyBorder="1" applyAlignment="1">
      <alignment horizontal="center" vertical="top" wrapText="1"/>
    </xf>
    <xf numFmtId="0" fontId="9" fillId="0" borderId="3" xfId="47" applyNumberFormat="1" applyFont="1" applyFill="1" applyBorder="1" applyAlignment="1">
      <alignment horizontal="center" vertical="top" wrapText="1"/>
    </xf>
    <xf numFmtId="0" fontId="9" fillId="0" borderId="3" xfId="0" applyFont="1" applyFill="1" applyBorder="1"/>
    <xf numFmtId="0" fontId="7" fillId="0" borderId="3" xfId="0" applyFont="1" applyFill="1" applyBorder="1" applyAlignment="1">
      <alignment horizontal="center" wrapText="1"/>
    </xf>
    <xf numFmtId="3" fontId="7" fillId="0" borderId="3" xfId="0" applyNumberFormat="1" applyFont="1" applyFill="1" applyBorder="1" applyAlignment="1">
      <alignment horizontal="center" wrapText="1"/>
    </xf>
    <xf numFmtId="165" fontId="7" fillId="0" borderId="3" xfId="0" applyNumberFormat="1" applyFont="1" applyFill="1" applyBorder="1" applyAlignment="1">
      <alignment horizontal="center" wrapText="1"/>
    </xf>
    <xf numFmtId="0" fontId="9" fillId="0" borderId="3" xfId="0" applyFont="1" applyFill="1" applyBorder="1" applyAlignment="1"/>
    <xf numFmtId="165" fontId="9" fillId="0" borderId="3" xfId="24" applyNumberFormat="1" applyFont="1" applyFill="1" applyBorder="1" applyAlignment="1">
      <alignment horizontal="center" vertical="top"/>
    </xf>
    <xf numFmtId="3" fontId="9" fillId="0" borderId="3" xfId="0" applyNumberFormat="1" applyFont="1" applyFill="1" applyBorder="1" applyAlignment="1">
      <alignment horizontal="center" vertical="top"/>
    </xf>
    <xf numFmtId="14" fontId="9" fillId="0" borderId="3" xfId="0" applyNumberFormat="1" applyFont="1" applyFill="1" applyBorder="1" applyAlignment="1">
      <alignment horizontal="center" vertical="top" wrapText="1"/>
    </xf>
    <xf numFmtId="0" fontId="12" fillId="0" borderId="0" xfId="0" applyFont="1" applyFill="1"/>
    <xf numFmtId="0" fontId="7" fillId="0" borderId="0" xfId="0" applyFont="1" applyBorder="1" applyAlignment="1">
      <alignment horizontal="center" wrapText="1"/>
    </xf>
    <xf numFmtId="164" fontId="7" fillId="0" borderId="0" xfId="0" applyNumberFormat="1" applyFont="1" applyBorder="1" applyAlignment="1">
      <alignment horizontal="center" wrapText="1"/>
    </xf>
    <xf numFmtId="3" fontId="7" fillId="0" borderId="0" xfId="0" applyNumberFormat="1" applyFont="1" applyBorder="1" applyAlignment="1">
      <alignment horizontal="center" wrapText="1"/>
    </xf>
    <xf numFmtId="3" fontId="7" fillId="0" borderId="0" xfId="0" applyNumberFormat="1" applyFont="1" applyFill="1" applyBorder="1" applyAlignment="1">
      <alignment horizontal="center" wrapText="1"/>
    </xf>
    <xf numFmtId="164" fontId="7" fillId="0" borderId="0" xfId="0" applyNumberFormat="1" applyFont="1" applyFill="1" applyBorder="1" applyAlignment="1">
      <alignment horizontal="center" wrapText="1"/>
    </xf>
    <xf numFmtId="0" fontId="7" fillId="0" borderId="0" xfId="0" applyFont="1" applyFill="1" applyAlignment="1">
      <alignment horizontal="center" wrapText="1"/>
    </xf>
    <xf numFmtId="0" fontId="9" fillId="0" borderId="4" xfId="0" applyFont="1" applyBorder="1" applyAlignment="1">
      <alignment vertical="top" wrapText="1"/>
    </xf>
    <xf numFmtId="0" fontId="9" fillId="0" borderId="4" xfId="0" applyFont="1" applyBorder="1" applyAlignment="1">
      <alignment vertical="top"/>
    </xf>
    <xf numFmtId="0" fontId="9" fillId="0" borderId="4" xfId="0" applyFont="1" applyFill="1" applyBorder="1" applyAlignment="1">
      <alignment horizontal="center" vertical="top" wrapText="1"/>
    </xf>
    <xf numFmtId="0" fontId="9" fillId="0" borderId="4" xfId="0" applyFont="1" applyFill="1" applyBorder="1" applyAlignment="1">
      <alignment horizontal="center" vertical="top"/>
    </xf>
    <xf numFmtId="0" fontId="9" fillId="0" borderId="4" xfId="0" applyFont="1" applyFill="1" applyBorder="1" applyAlignment="1">
      <alignment horizontal="left" vertical="top" wrapText="1"/>
    </xf>
    <xf numFmtId="165" fontId="9" fillId="0" borderId="4" xfId="1" applyNumberFormat="1" applyFont="1" applyFill="1" applyBorder="1" applyAlignment="1">
      <alignment horizontal="right" vertical="top"/>
    </xf>
    <xf numFmtId="0" fontId="9" fillId="0" borderId="0" xfId="0" applyFont="1" applyFill="1" applyBorder="1" applyAlignment="1">
      <alignment horizontal="left" vertical="top"/>
    </xf>
    <xf numFmtId="165" fontId="9" fillId="0" borderId="1" xfId="1" applyNumberFormat="1" applyFont="1" applyFill="1" applyBorder="1" applyAlignment="1">
      <alignment horizontal="center" vertical="top"/>
    </xf>
    <xf numFmtId="0" fontId="9" fillId="0" borderId="1" xfId="0" applyFont="1" applyBorder="1" applyAlignment="1">
      <alignment wrapText="1"/>
    </xf>
    <xf numFmtId="0" fontId="9" fillId="0" borderId="1" xfId="0" applyFont="1" applyBorder="1"/>
    <xf numFmtId="165" fontId="14" fillId="0" borderId="2" xfId="1" applyNumberFormat="1" applyFont="1" applyFill="1" applyBorder="1" applyAlignment="1">
      <alignment horizontal="center" vertical="top" wrapText="1"/>
    </xf>
    <xf numFmtId="3" fontId="9" fillId="0" borderId="0" xfId="0" applyNumberFormat="1" applyFont="1" applyFill="1" applyBorder="1" applyAlignment="1">
      <alignment horizontal="center"/>
    </xf>
    <xf numFmtId="0" fontId="7" fillId="0" borderId="1" xfId="0" applyFont="1" applyFill="1" applyBorder="1" applyAlignment="1">
      <alignment horizontal="center" wrapText="1"/>
    </xf>
    <xf numFmtId="3" fontId="7" fillId="0" borderId="1" xfId="0" applyNumberFormat="1" applyFont="1" applyFill="1" applyBorder="1" applyAlignment="1" applyProtection="1">
      <alignment horizontal="center" wrapText="1"/>
      <protection locked="0"/>
    </xf>
    <xf numFmtId="0" fontId="9" fillId="0" borderId="2" xfId="0" applyFont="1" applyFill="1" applyBorder="1" applyAlignment="1" applyProtection="1">
      <alignment horizontal="center" vertical="top" wrapText="1"/>
    </xf>
    <xf numFmtId="0" fontId="9" fillId="0" borderId="2" xfId="0" applyFont="1" applyFill="1" applyBorder="1" applyAlignment="1" applyProtection="1">
      <alignment horizontal="center" vertical="top"/>
      <protection locked="0"/>
    </xf>
    <xf numFmtId="0" fontId="9" fillId="0" borderId="2"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protection locked="0"/>
    </xf>
    <xf numFmtId="0" fontId="9" fillId="0" borderId="0" xfId="0" applyFont="1" applyFill="1" applyAlignment="1" applyProtection="1">
      <alignment horizontal="center"/>
      <protection locked="0"/>
    </xf>
    <xf numFmtId="1" fontId="0" fillId="0" borderId="2" xfId="0" applyNumberFormat="1" applyFill="1" applyBorder="1" applyAlignment="1" applyProtection="1">
      <alignment horizontal="center" vertical="top"/>
      <protection locked="0"/>
    </xf>
    <xf numFmtId="0" fontId="15" fillId="0" borderId="2" xfId="0" applyFont="1" applyFill="1" applyBorder="1" applyAlignment="1">
      <alignment horizontal="center" vertical="top"/>
    </xf>
    <xf numFmtId="164" fontId="9" fillId="0" borderId="2" xfId="0" applyNumberFormat="1" applyFont="1" applyFill="1" applyBorder="1" applyAlignment="1">
      <alignment horizontal="center"/>
    </xf>
    <xf numFmtId="0" fontId="11" fillId="0" borderId="0" xfId="0" applyFont="1" applyFill="1" applyAlignment="1">
      <alignment horizontal="center" wrapText="1"/>
    </xf>
    <xf numFmtId="0" fontId="17" fillId="0" borderId="1" xfId="0" applyFont="1" applyBorder="1" applyAlignment="1">
      <alignment wrapText="1"/>
    </xf>
    <xf numFmtId="0" fontId="0" fillId="0" borderId="0" xfId="0" applyFill="1" applyBorder="1"/>
    <xf numFmtId="165" fontId="9" fillId="0" borderId="0" xfId="0" applyNumberFormat="1" applyFont="1" applyFill="1"/>
    <xf numFmtId="165" fontId="9" fillId="0" borderId="0" xfId="0" applyNumberFormat="1" applyFont="1" applyFill="1" applyAlignment="1">
      <alignment horizontal="center"/>
    </xf>
    <xf numFmtId="165" fontId="9" fillId="0" borderId="0" xfId="0" applyNumberFormat="1" applyFont="1" applyFill="1" applyBorder="1" applyAlignment="1">
      <alignment horizontal="center"/>
    </xf>
    <xf numFmtId="0" fontId="0" fillId="0" borderId="0" xfId="0" applyBorder="1" applyAlignment="1"/>
    <xf numFmtId="165" fontId="9" fillId="0" borderId="0" xfId="1" applyNumberFormat="1" applyFont="1" applyFill="1" applyAlignment="1">
      <alignment horizontal="center" vertical="top"/>
    </xf>
    <xf numFmtId="164" fontId="9" fillId="0" borderId="0" xfId="0" applyNumberFormat="1" applyFont="1" applyFill="1" applyAlignment="1">
      <alignment horizontal="center" vertical="top" wrapText="1"/>
    </xf>
    <xf numFmtId="0" fontId="9" fillId="0" borderId="0" xfId="0" applyFont="1" applyBorder="1" applyAlignment="1"/>
    <xf numFmtId="164" fontId="9" fillId="0" borderId="1" xfId="0" applyNumberFormat="1" applyFont="1" applyFill="1" applyBorder="1" applyAlignment="1">
      <alignment horizontal="center" vertical="top" wrapText="1"/>
    </xf>
    <xf numFmtId="0" fontId="9" fillId="0" borderId="1" xfId="0" applyFont="1" applyBorder="1" applyAlignment="1">
      <alignment vertical="top"/>
    </xf>
    <xf numFmtId="0" fontId="0" fillId="0" borderId="2" xfId="0" applyBorder="1" applyAlignment="1"/>
    <xf numFmtId="0" fontId="2" fillId="0" borderId="3" xfId="0" applyFont="1" applyFill="1" applyBorder="1" applyAlignment="1">
      <alignment horizontal="center"/>
    </xf>
    <xf numFmtId="0" fontId="0" fillId="0" borderId="6" xfId="0" applyFill="1" applyBorder="1"/>
    <xf numFmtId="0" fontId="0" fillId="0" borderId="3" xfId="0" applyFill="1" applyBorder="1"/>
    <xf numFmtId="0" fontId="12" fillId="0" borderId="3" xfId="0" applyFont="1" applyFill="1" applyBorder="1"/>
    <xf numFmtId="0" fontId="0" fillId="0" borderId="2" xfId="0" applyFill="1" applyBorder="1"/>
    <xf numFmtId="0" fontId="9" fillId="0" borderId="0" xfId="0" applyFont="1" applyFill="1" applyBorder="1" applyAlignment="1">
      <alignment vertical="center"/>
    </xf>
    <xf numFmtId="165" fontId="9" fillId="0" borderId="3" xfId="1" applyNumberFormat="1" applyFont="1" applyFill="1" applyBorder="1" applyAlignment="1">
      <alignment horizontal="center" vertical="top" wrapText="1"/>
    </xf>
    <xf numFmtId="3" fontId="9" fillId="0" borderId="3" xfId="0" applyNumberFormat="1" applyFont="1" applyFill="1" applyBorder="1" applyAlignment="1">
      <alignment horizontal="center" vertical="top" wrapText="1"/>
    </xf>
    <xf numFmtId="0" fontId="0" fillId="0" borderId="0" xfId="0" applyFill="1" applyAlignment="1">
      <alignment horizontal="center"/>
    </xf>
    <xf numFmtId="44" fontId="9" fillId="0" borderId="0" xfId="0" applyNumberFormat="1" applyFont="1" applyFill="1" applyAlignment="1">
      <alignment horizontal="center" vertical="top"/>
    </xf>
    <xf numFmtId="0" fontId="7" fillId="0" borderId="6" xfId="0" applyFont="1" applyFill="1" applyBorder="1" applyAlignment="1">
      <alignment horizontal="center" wrapText="1"/>
    </xf>
    <xf numFmtId="0" fontId="9" fillId="0" borderId="6" xfId="0" applyFont="1" applyFill="1" applyBorder="1" applyAlignment="1">
      <alignment vertical="top" wrapText="1"/>
    </xf>
    <xf numFmtId="0" fontId="9" fillId="0" borderId="6" xfId="47" applyFont="1" applyFill="1" applyBorder="1" applyAlignment="1">
      <alignment vertical="top" wrapText="1"/>
    </xf>
    <xf numFmtId="0" fontId="9" fillId="0" borderId="6" xfId="0" applyFont="1" applyFill="1" applyBorder="1" applyAlignment="1">
      <alignment vertical="top"/>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9" fillId="0" borderId="5" xfId="0" applyFont="1" applyFill="1" applyBorder="1" applyAlignment="1">
      <alignment horizontal="center" vertical="top" wrapText="1"/>
    </xf>
    <xf numFmtId="0" fontId="9" fillId="0" borderId="5" xfId="47"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5" xfId="47" applyFont="1" applyFill="1" applyBorder="1" applyAlignment="1">
      <alignment horizontal="left" vertical="top" wrapText="1"/>
    </xf>
    <xf numFmtId="0" fontId="9" fillId="0" borderId="6" xfId="0" applyFont="1" applyFill="1" applyBorder="1" applyAlignment="1">
      <alignment horizontal="center" vertical="top" wrapText="1"/>
    </xf>
    <xf numFmtId="0" fontId="9" fillId="0" borderId="6" xfId="47" applyFont="1" applyFill="1" applyBorder="1" applyAlignment="1">
      <alignment horizontal="center" vertical="top" wrapText="1"/>
    </xf>
    <xf numFmtId="0" fontId="9" fillId="0" borderId="0" xfId="0" applyFont="1" applyFill="1" applyBorder="1" applyAlignment="1">
      <alignment vertical="top" wrapText="1"/>
    </xf>
    <xf numFmtId="164" fontId="7" fillId="0" borderId="5" xfId="0" applyNumberFormat="1" applyFont="1" applyFill="1" applyBorder="1" applyAlignment="1">
      <alignment horizontal="center" wrapText="1"/>
    </xf>
    <xf numFmtId="164" fontId="9" fillId="0" borderId="5" xfId="0" applyNumberFormat="1" applyFont="1" applyFill="1" applyBorder="1" applyAlignment="1">
      <alignment horizontal="center" vertical="top" wrapText="1"/>
    </xf>
    <xf numFmtId="6" fontId="9" fillId="0" borderId="5" xfId="0" applyNumberFormat="1" applyFont="1" applyFill="1" applyBorder="1" applyAlignment="1">
      <alignment horizontal="center" vertical="top" wrapText="1"/>
    </xf>
    <xf numFmtId="164" fontId="9" fillId="0" borderId="5" xfId="47" applyNumberFormat="1" applyFont="1" applyFill="1" applyBorder="1" applyAlignment="1">
      <alignment horizontal="center" vertical="top" wrapText="1"/>
    </xf>
    <xf numFmtId="8" fontId="9" fillId="0" borderId="5" xfId="0" applyNumberFormat="1" applyFont="1" applyFill="1" applyBorder="1" applyAlignment="1">
      <alignment horizontal="center" vertical="top" wrapText="1"/>
    </xf>
    <xf numFmtId="0" fontId="9" fillId="0" borderId="6" xfId="0" applyFont="1" applyFill="1" applyBorder="1" applyAlignment="1">
      <alignment horizontal="center" vertical="top"/>
    </xf>
    <xf numFmtId="3" fontId="7" fillId="0" borderId="5" xfId="0" applyNumberFormat="1" applyFont="1" applyFill="1" applyBorder="1" applyAlignment="1">
      <alignment horizontal="center" wrapText="1"/>
    </xf>
    <xf numFmtId="3" fontId="9" fillId="0" borderId="5" xfId="0" applyNumberFormat="1" applyFont="1" applyFill="1" applyBorder="1" applyAlignment="1">
      <alignment horizontal="center" vertical="top"/>
    </xf>
    <xf numFmtId="0" fontId="9" fillId="0" borderId="5" xfId="0" applyFont="1" applyFill="1" applyBorder="1" applyAlignment="1">
      <alignment horizontal="center" vertical="top"/>
    </xf>
    <xf numFmtId="0" fontId="9" fillId="0" borderId="5" xfId="0" applyFont="1" applyFill="1" applyBorder="1" applyAlignment="1"/>
    <xf numFmtId="0" fontId="9" fillId="0" borderId="5" xfId="0" applyFont="1" applyFill="1" applyBorder="1"/>
    <xf numFmtId="3" fontId="9" fillId="0" borderId="2" xfId="0" applyNumberFormat="1" applyFont="1" applyFill="1" applyBorder="1" applyAlignment="1">
      <alignment horizontal="center" vertical="top"/>
    </xf>
    <xf numFmtId="3" fontId="7" fillId="0" borderId="2" xfId="0" applyNumberFormat="1" applyFont="1" applyFill="1" applyBorder="1" applyAlignment="1">
      <alignment horizontal="center" wrapText="1"/>
    </xf>
    <xf numFmtId="0" fontId="9" fillId="0" borderId="2" xfId="47" applyFont="1" applyFill="1" applyBorder="1" applyAlignment="1">
      <alignment horizontal="center" vertical="top" wrapText="1"/>
    </xf>
    <xf numFmtId="3" fontId="9" fillId="0" borderId="2" xfId="0" applyNumberFormat="1" applyFont="1" applyFill="1" applyBorder="1" applyAlignment="1">
      <alignment horizontal="center" vertical="top" wrapText="1"/>
    </xf>
    <xf numFmtId="6" fontId="9" fillId="0" borderId="1" xfId="0" applyNumberFormat="1" applyFont="1" applyFill="1" applyBorder="1" applyAlignment="1">
      <alignment horizontal="center" vertical="top" wrapText="1"/>
    </xf>
    <xf numFmtId="164" fontId="9" fillId="0" borderId="1" xfId="1" applyNumberFormat="1" applyFont="1" applyFill="1" applyBorder="1" applyAlignment="1">
      <alignment horizontal="center" vertical="top"/>
    </xf>
    <xf numFmtId="0" fontId="9" fillId="0" borderId="1" xfId="0" applyFont="1" applyFill="1" applyBorder="1" applyAlignment="1" applyProtection="1">
      <alignment horizontal="center" vertical="top"/>
      <protection locked="0"/>
    </xf>
    <xf numFmtId="6" fontId="9" fillId="0" borderId="1" xfId="0" applyNumberFormat="1" applyFont="1" applyFill="1" applyBorder="1" applyAlignment="1">
      <alignment horizontal="center" vertical="top"/>
    </xf>
    <xf numFmtId="0" fontId="9" fillId="0" borderId="2" xfId="0" applyFont="1" applyBorder="1" applyAlignment="1">
      <alignment horizontal="left" vertical="top" wrapText="1"/>
    </xf>
    <xf numFmtId="0" fontId="9" fillId="0" borderId="0" xfId="0" applyFont="1" applyBorder="1" applyAlignment="1">
      <alignment horizontal="center" vertical="top"/>
    </xf>
    <xf numFmtId="0" fontId="9" fillId="0" borderId="0" xfId="0" applyFont="1" applyAlignment="1">
      <alignment horizontal="center" vertical="top"/>
    </xf>
    <xf numFmtId="0" fontId="7" fillId="0" borderId="3" xfId="0" applyFont="1" applyFill="1" applyBorder="1" applyAlignment="1">
      <alignment horizontal="center" vertical="top" wrapText="1"/>
    </xf>
    <xf numFmtId="0" fontId="9" fillId="0" borderId="2" xfId="0" applyFont="1" applyBorder="1" applyAlignment="1">
      <alignment wrapText="1"/>
    </xf>
    <xf numFmtId="3" fontId="8" fillId="0" borderId="2" xfId="1" applyNumberFormat="1" applyFont="1" applyFill="1" applyBorder="1" applyAlignment="1">
      <alignment horizontal="center" vertical="top" wrapText="1"/>
    </xf>
    <xf numFmtId="0" fontId="9" fillId="0" borderId="2" xfId="0" applyFont="1" applyBorder="1"/>
    <xf numFmtId="0" fontId="19" fillId="0" borderId="2" xfId="0" applyFont="1" applyBorder="1" applyAlignment="1">
      <alignment wrapText="1"/>
    </xf>
    <xf numFmtId="0" fontId="19" fillId="0" borderId="2" xfId="0" applyFont="1" applyFill="1" applyBorder="1" applyAlignment="1">
      <alignment horizontal="center" vertical="top"/>
    </xf>
    <xf numFmtId="0" fontId="19" fillId="0" borderId="2" xfId="0" applyFont="1" applyFill="1" applyBorder="1" applyAlignment="1">
      <alignment horizontal="left" vertical="top" wrapText="1"/>
    </xf>
    <xf numFmtId="0" fontId="19" fillId="0" borderId="2" xfId="0" applyFont="1" applyFill="1" applyBorder="1" applyAlignment="1">
      <alignment horizontal="center" vertical="top" wrapText="1"/>
    </xf>
    <xf numFmtId="3" fontId="19" fillId="0" borderId="2" xfId="0" applyNumberFormat="1" applyFont="1" applyFill="1" applyBorder="1" applyAlignment="1">
      <alignment horizontal="center"/>
    </xf>
    <xf numFmtId="0" fontId="19" fillId="0" borderId="2" xfId="0" applyFont="1" applyBorder="1" applyAlignment="1">
      <alignment vertical="top" wrapText="1"/>
    </xf>
    <xf numFmtId="0" fontId="19" fillId="0" borderId="1" xfId="0" applyFont="1" applyBorder="1" applyAlignment="1">
      <alignment vertical="top" wrapText="1"/>
    </xf>
    <xf numFmtId="0" fontId="19" fillId="0" borderId="2" xfId="0" applyFont="1" applyBorder="1" applyAlignment="1"/>
    <xf numFmtId="0" fontId="19" fillId="0" borderId="2" xfId="0" applyFont="1" applyFill="1" applyBorder="1" applyAlignment="1">
      <alignment horizontal="center"/>
    </xf>
    <xf numFmtId="0" fontId="19" fillId="0" borderId="2" xfId="0" applyFont="1" applyFill="1" applyBorder="1" applyAlignment="1">
      <alignment horizontal="left" wrapText="1"/>
    </xf>
    <xf numFmtId="0" fontId="19" fillId="0" borderId="2" xfId="0" applyFont="1" applyFill="1" applyBorder="1" applyAlignment="1">
      <alignment horizontal="center" wrapText="1"/>
    </xf>
    <xf numFmtId="165" fontId="19" fillId="0" borderId="2" xfId="1" applyNumberFormat="1" applyFont="1" applyFill="1" applyBorder="1" applyAlignment="1">
      <alignment horizontal="right"/>
    </xf>
    <xf numFmtId="0" fontId="17" fillId="0" borderId="2" xfId="0" applyFont="1" applyBorder="1"/>
    <xf numFmtId="0" fontId="17" fillId="0" borderId="0" xfId="0" applyFont="1" applyBorder="1" applyAlignment="1">
      <alignment wrapText="1"/>
    </xf>
    <xf numFmtId="165" fontId="9" fillId="0" borderId="0" xfId="1" applyNumberFormat="1" applyFont="1" applyFill="1" applyBorder="1" applyAlignment="1">
      <alignment horizontal="right" vertical="top"/>
    </xf>
    <xf numFmtId="0" fontId="19" fillId="0" borderId="0" xfId="0" applyFont="1" applyBorder="1" applyAlignment="1"/>
    <xf numFmtId="0" fontId="19" fillId="0" borderId="0" xfId="0" applyFont="1"/>
    <xf numFmtId="0" fontId="19" fillId="0" borderId="0" xfId="0" applyFont="1" applyAlignment="1">
      <alignment wrapText="1"/>
    </xf>
    <xf numFmtId="165" fontId="14" fillId="0" borderId="2" xfId="1" applyNumberFormat="1" applyFont="1" applyFill="1" applyBorder="1" applyAlignment="1">
      <alignment horizontal="center" wrapText="1"/>
    </xf>
    <xf numFmtId="165" fontId="14" fillId="0" borderId="1" xfId="1" applyNumberFormat="1" applyFont="1" applyFill="1" applyBorder="1" applyAlignment="1">
      <alignment horizontal="center" wrapText="1"/>
    </xf>
    <xf numFmtId="0" fontId="14" fillId="0" borderId="0" xfId="0" applyFont="1"/>
    <xf numFmtId="0" fontId="14" fillId="0" borderId="2" xfId="0" applyFont="1" applyBorder="1" applyAlignment="1">
      <alignment vertical="top" wrapText="1"/>
    </xf>
    <xf numFmtId="0" fontId="14" fillId="0" borderId="0" xfId="0" applyFont="1" applyAlignment="1">
      <alignment wrapText="1"/>
    </xf>
    <xf numFmtId="165" fontId="14" fillId="0" borderId="2" xfId="1" applyNumberFormat="1" applyFont="1" applyFill="1" applyBorder="1" applyAlignment="1">
      <alignment horizontal="center" vertical="center" wrapText="1"/>
    </xf>
    <xf numFmtId="3" fontId="11" fillId="0" borderId="1" xfId="0" applyNumberFormat="1" applyFont="1" applyFill="1" applyBorder="1" applyAlignment="1">
      <alignment horizontal="center" wrapText="1"/>
    </xf>
    <xf numFmtId="0" fontId="9" fillId="0" borderId="0" xfId="0" applyFont="1" applyFill="1" applyBorder="1" applyAlignment="1"/>
    <xf numFmtId="0" fontId="13" fillId="0" borderId="0" xfId="0" applyFont="1" applyFill="1" applyBorder="1"/>
    <xf numFmtId="0" fontId="17" fillId="0" borderId="7" xfId="0" applyFont="1" applyFill="1" applyBorder="1" applyAlignment="1">
      <alignment horizontal="center" wrapText="1"/>
    </xf>
    <xf numFmtId="165" fontId="7" fillId="0" borderId="7" xfId="0" applyNumberFormat="1" applyFont="1" applyFill="1" applyBorder="1" applyAlignment="1">
      <alignment horizontal="center" wrapText="1"/>
    </xf>
    <xf numFmtId="165" fontId="9" fillId="0" borderId="5" xfId="1" applyNumberFormat="1" applyFont="1" applyFill="1" applyBorder="1" applyAlignment="1">
      <alignment horizontal="center" vertical="top"/>
    </xf>
    <xf numFmtId="165" fontId="9" fillId="0" borderId="6" xfId="1" applyNumberFormat="1" applyFont="1" applyFill="1" applyBorder="1" applyAlignment="1">
      <alignment horizontal="center" vertical="top"/>
    </xf>
    <xf numFmtId="165" fontId="7" fillId="0" borderId="5" xfId="0" applyNumberFormat="1" applyFont="1" applyFill="1" applyBorder="1" applyAlignment="1">
      <alignment horizontal="center" wrapText="1"/>
    </xf>
    <xf numFmtId="0" fontId="19" fillId="0" borderId="1" xfId="0" applyFont="1" applyFill="1" applyBorder="1" applyAlignment="1">
      <alignment vertical="top" wrapText="1"/>
    </xf>
    <xf numFmtId="0" fontId="19" fillId="0" borderId="2" xfId="0" applyFont="1" applyFill="1" applyBorder="1" applyAlignment="1">
      <alignment vertical="top" wrapText="1"/>
    </xf>
    <xf numFmtId="0" fontId="19" fillId="0" borderId="5" xfId="0" applyFont="1" applyFill="1" applyBorder="1" applyAlignment="1">
      <alignment vertical="top" wrapText="1"/>
    </xf>
    <xf numFmtId="0" fontId="19" fillId="0" borderId="2" xfId="47" applyFont="1" applyFill="1" applyBorder="1" applyAlignment="1">
      <alignment vertical="top" wrapText="1"/>
    </xf>
    <xf numFmtId="0" fontId="19" fillId="0" borderId="2" xfId="0" applyFont="1" applyFill="1" applyBorder="1" applyAlignment="1">
      <alignment vertical="top"/>
    </xf>
    <xf numFmtId="0" fontId="19" fillId="0" borderId="0" xfId="0" applyFont="1" applyFill="1" applyAlignment="1">
      <alignment vertical="top"/>
    </xf>
    <xf numFmtId="0" fontId="19" fillId="0" borderId="0" xfId="0" applyFont="1" applyFill="1"/>
    <xf numFmtId="0" fontId="9" fillId="0" borderId="1" xfId="0" applyFont="1" applyFill="1" applyBorder="1" applyAlignment="1">
      <alignment horizontal="center" vertical="center"/>
    </xf>
    <xf numFmtId="165" fontId="9" fillId="0" borderId="1" xfId="1" applyNumberFormat="1" applyFont="1" applyFill="1" applyBorder="1" applyAlignment="1">
      <alignment horizontal="right" vertical="center"/>
    </xf>
    <xf numFmtId="0" fontId="9" fillId="0" borderId="1" xfId="0" applyFont="1" applyFill="1" applyBorder="1" applyAlignment="1" applyProtection="1">
      <alignment horizontal="center" vertical="top" wrapText="1"/>
    </xf>
    <xf numFmtId="165" fontId="9" fillId="0" borderId="1" xfId="1" applyNumberFormat="1" applyFont="1" applyFill="1" applyBorder="1" applyAlignment="1">
      <alignment horizontal="right" vertical="top"/>
    </xf>
    <xf numFmtId="0" fontId="9" fillId="0" borderId="4" xfId="0" applyFont="1" applyBorder="1"/>
    <xf numFmtId="0" fontId="9" fillId="0" borderId="2" xfId="0" applyFont="1" applyBorder="1" applyAlignment="1">
      <alignment vertical="center"/>
    </xf>
    <xf numFmtId="0" fontId="19" fillId="0" borderId="2" xfId="0" applyFont="1" applyBorder="1" applyAlignment="1">
      <alignment wrapText="1"/>
    </xf>
    <xf numFmtId="0" fontId="17" fillId="0" borderId="2" xfId="0" applyFont="1" applyBorder="1" applyAlignment="1"/>
    <xf numFmtId="0" fontId="9" fillId="0" borderId="0" xfId="0" applyFont="1" applyBorder="1" applyAlignment="1">
      <alignment horizontal="left" vertical="top" wrapText="1"/>
    </xf>
    <xf numFmtId="0" fontId="0" fillId="0" borderId="2" xfId="0" applyBorder="1" applyAlignment="1">
      <alignment vertical="top"/>
    </xf>
    <xf numFmtId="0" fontId="9" fillId="0" borderId="2" xfId="1" applyNumberFormat="1" applyFont="1" applyFill="1" applyBorder="1" applyAlignment="1">
      <alignment horizontal="right" vertical="top"/>
    </xf>
    <xf numFmtId="165" fontId="7" fillId="0" borderId="0" xfId="0" applyNumberFormat="1" applyFont="1" applyFill="1" applyBorder="1" applyAlignment="1">
      <alignment horizontal="center" wrapText="1"/>
    </xf>
    <xf numFmtId="166" fontId="9" fillId="0" borderId="2" xfId="50" applyNumberFormat="1" applyFont="1" applyFill="1" applyBorder="1" applyAlignment="1">
      <alignment horizontal="center" vertical="top"/>
    </xf>
    <xf numFmtId="1" fontId="9" fillId="0" borderId="2" xfId="1" applyNumberFormat="1" applyFont="1" applyFill="1" applyBorder="1" applyAlignment="1">
      <alignment horizontal="center" vertical="top"/>
    </xf>
    <xf numFmtId="0" fontId="9" fillId="0" borderId="1" xfId="0" applyFont="1" applyBorder="1" applyAlignment="1">
      <alignment vertical="top" wrapText="1"/>
    </xf>
    <xf numFmtId="3" fontId="9" fillId="0" borderId="2" xfId="0" applyNumberFormat="1" applyFont="1" applyFill="1" applyBorder="1" applyAlignment="1">
      <alignment horizontal="center"/>
    </xf>
    <xf numFmtId="165" fontId="9" fillId="0" borderId="2" xfId="1" applyNumberFormat="1" applyFont="1" applyFill="1" applyBorder="1" applyAlignment="1">
      <alignment horizontal="center"/>
    </xf>
    <xf numFmtId="1" fontId="9" fillId="0" borderId="2" xfId="1" applyNumberFormat="1" applyFont="1" applyFill="1" applyBorder="1" applyAlignment="1">
      <alignment horizontal="center"/>
    </xf>
    <xf numFmtId="0" fontId="19" fillId="0" borderId="0" xfId="0" applyFont="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vertical="top" wrapText="1"/>
    </xf>
    <xf numFmtId="0" fontId="19" fillId="0" borderId="0" xfId="0" applyFont="1" applyBorder="1" applyAlignment="1">
      <alignment vertical="top"/>
    </xf>
    <xf numFmtId="0" fontId="19" fillId="0" borderId="0" xfId="0" applyFont="1" applyFill="1" applyBorder="1" applyAlignment="1">
      <alignment horizontal="center" vertical="top" wrapText="1"/>
    </xf>
    <xf numFmtId="0" fontId="19" fillId="0" borderId="0" xfId="0" applyFont="1" applyFill="1" applyBorder="1" applyAlignment="1">
      <alignment horizontal="center" vertical="top"/>
    </xf>
    <xf numFmtId="0" fontId="19" fillId="0" borderId="0" xfId="0" applyFont="1" applyFill="1" applyBorder="1" applyAlignment="1">
      <alignment horizontal="left" vertical="top" wrapText="1"/>
    </xf>
    <xf numFmtId="0" fontId="19" fillId="0" borderId="0" xfId="0" applyFont="1" applyBorder="1" applyAlignment="1">
      <alignment wrapText="1"/>
    </xf>
    <xf numFmtId="0" fontId="19" fillId="0" borderId="0" xfId="0" applyFont="1" applyFill="1" applyBorder="1" applyAlignment="1">
      <alignment vertical="top"/>
    </xf>
    <xf numFmtId="0" fontId="19" fillId="0" borderId="0" xfId="0" applyFont="1" applyFill="1" applyBorder="1" applyAlignment="1">
      <alignment wrapText="1"/>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19" fillId="0" borderId="0" xfId="0" applyFont="1" applyFill="1" applyBorder="1" applyAlignment="1">
      <alignment horizontal="left" vertical="top"/>
    </xf>
    <xf numFmtId="0" fontId="19" fillId="0" borderId="0" xfId="0" applyFont="1" applyBorder="1"/>
    <xf numFmtId="165" fontId="19" fillId="0" borderId="0" xfId="1" applyNumberFormat="1" applyFont="1" applyFill="1" applyBorder="1" applyAlignment="1">
      <alignment horizontal="center" vertical="top"/>
    </xf>
    <xf numFmtId="0" fontId="19" fillId="0" borderId="0" xfId="0" applyFont="1" applyFill="1" applyBorder="1"/>
    <xf numFmtId="0" fontId="9" fillId="0" borderId="4" xfId="0" applyFont="1" applyBorder="1" applyAlignment="1">
      <alignment wrapText="1"/>
    </xf>
    <xf numFmtId="0" fontId="0" fillId="0" borderId="2" xfId="0" applyBorder="1" applyAlignment="1">
      <alignment horizontal="right" vertical="top"/>
    </xf>
    <xf numFmtId="0" fontId="0" fillId="0" borderId="0" xfId="0" applyAlignment="1">
      <alignment horizontal="right" vertical="top"/>
    </xf>
    <xf numFmtId="0" fontId="14" fillId="0" borderId="2" xfId="0" applyFont="1" applyFill="1" applyBorder="1" applyAlignment="1">
      <alignment horizontal="center" vertical="top"/>
    </xf>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wrapText="1"/>
    </xf>
    <xf numFmtId="37" fontId="14" fillId="0" borderId="2" xfId="0" applyNumberFormat="1" applyFont="1" applyFill="1" applyBorder="1" applyAlignment="1">
      <alignment horizontal="center" vertical="top"/>
    </xf>
    <xf numFmtId="0" fontId="14" fillId="0" borderId="2" xfId="0" applyFont="1" applyBorder="1"/>
    <xf numFmtId="166" fontId="11" fillId="0" borderId="0" xfId="50" applyNumberFormat="1" applyFont="1" applyFill="1" applyBorder="1" applyAlignment="1">
      <alignment horizontal="center" wrapText="1"/>
    </xf>
    <xf numFmtId="43" fontId="11" fillId="0" borderId="0" xfId="50" applyFont="1" applyFill="1" applyBorder="1" applyAlignment="1">
      <alignment horizontal="center" wrapText="1"/>
    </xf>
    <xf numFmtId="166" fontId="11" fillId="0" borderId="1" xfId="50" applyNumberFormat="1" applyFont="1" applyFill="1" applyBorder="1" applyAlignment="1">
      <alignment horizontal="center" wrapText="1"/>
    </xf>
    <xf numFmtId="43" fontId="11" fillId="0" borderId="1" xfId="50" applyFont="1" applyFill="1" applyBorder="1" applyAlignment="1">
      <alignment horizontal="center" wrapText="1"/>
    </xf>
    <xf numFmtId="0" fontId="10" fillId="0" borderId="2" xfId="0" applyFont="1" applyFill="1" applyBorder="1" applyAlignment="1">
      <alignment wrapText="1"/>
    </xf>
    <xf numFmtId="0" fontId="10" fillId="0" borderId="0" xfId="0" applyFont="1" applyFill="1" applyAlignment="1"/>
    <xf numFmtId="43" fontId="20" fillId="0" borderId="2" xfId="50" applyFont="1" applyFill="1" applyBorder="1" applyAlignment="1">
      <alignment horizontal="center" wrapText="1"/>
    </xf>
    <xf numFmtId="166" fontId="20" fillId="0" borderId="2" xfId="50" applyNumberFormat="1" applyFont="1" applyFill="1" applyBorder="1" applyAlignment="1">
      <alignment horizontal="center" wrapText="1"/>
    </xf>
    <xf numFmtId="3" fontId="20" fillId="0" borderId="2" xfId="0" applyNumberFormat="1" applyFont="1" applyFill="1" applyBorder="1" applyAlignment="1">
      <alignment horizontal="center" wrapText="1"/>
    </xf>
    <xf numFmtId="166" fontId="10" fillId="0" borderId="0" xfId="50" applyNumberFormat="1" applyFont="1" applyFill="1" applyAlignment="1">
      <alignment horizontal="center" wrapText="1"/>
    </xf>
    <xf numFmtId="43" fontId="10" fillId="0" borderId="0" xfId="50" applyFont="1" applyFill="1" applyAlignment="1">
      <alignment horizontal="center" wrapText="1"/>
    </xf>
    <xf numFmtId="0" fontId="10" fillId="0" borderId="0" xfId="0" applyFont="1" applyFill="1" applyAlignment="1">
      <alignment horizontal="center" wrapText="1"/>
    </xf>
    <xf numFmtId="166" fontId="10" fillId="0" borderId="0" xfId="50" applyNumberFormat="1" applyFont="1" applyFill="1" applyAlignment="1">
      <alignment wrapText="1"/>
    </xf>
    <xf numFmtId="43" fontId="10" fillId="0" borderId="0" xfId="50" applyFont="1" applyFill="1" applyAlignment="1">
      <alignment wrapText="1"/>
    </xf>
    <xf numFmtId="0" fontId="10" fillId="0" borderId="0" xfId="0" applyFont="1" applyFill="1" applyAlignment="1">
      <alignment wrapText="1"/>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0" fillId="0" borderId="0" xfId="0" applyFont="1" applyFill="1" applyBorder="1" applyAlignment="1">
      <alignment horizontal="left" wrapText="1"/>
    </xf>
    <xf numFmtId="43" fontId="10" fillId="0" borderId="0" xfId="50" applyFont="1" applyFill="1" applyBorder="1" applyAlignment="1">
      <alignment horizontal="center"/>
    </xf>
    <xf numFmtId="166" fontId="10" fillId="0" borderId="0" xfId="50" applyNumberFormat="1" applyFont="1" applyFill="1" applyBorder="1" applyAlignment="1">
      <alignment horizontal="center"/>
    </xf>
    <xf numFmtId="166" fontId="10" fillId="0" borderId="0" xfId="50" applyNumberFormat="1" applyFont="1" applyFill="1" applyAlignment="1">
      <alignment horizontal="center"/>
    </xf>
    <xf numFmtId="43" fontId="10" fillId="0" borderId="0" xfId="50" applyFont="1" applyFill="1" applyAlignment="1">
      <alignment horizontal="center"/>
    </xf>
    <xf numFmtId="0" fontId="10" fillId="0" borderId="0" xfId="0" applyFont="1" applyFill="1" applyAlignment="1">
      <alignment horizontal="center"/>
    </xf>
    <xf numFmtId="166" fontId="10" fillId="0" borderId="0" xfId="50" applyNumberFormat="1" applyFont="1" applyFill="1" applyAlignment="1"/>
    <xf numFmtId="43" fontId="10" fillId="0" borderId="0" xfId="50" applyFont="1" applyFill="1" applyAlignment="1"/>
    <xf numFmtId="0" fontId="11" fillId="0" borderId="0" xfId="0" applyFont="1" applyFill="1" applyBorder="1" applyAlignment="1">
      <alignment horizontal="center" wrapText="1"/>
    </xf>
    <xf numFmtId="164" fontId="11" fillId="0" borderId="0" xfId="0" applyNumberFormat="1" applyFont="1" applyFill="1" applyBorder="1" applyAlignment="1">
      <alignment horizontal="center" wrapText="1"/>
    </xf>
    <xf numFmtId="0" fontId="11" fillId="0" borderId="1" xfId="0" applyFont="1" applyFill="1" applyBorder="1" applyAlignment="1">
      <alignment horizontal="center" wrapText="1"/>
    </xf>
    <xf numFmtId="0" fontId="11" fillId="0" borderId="0" xfId="0" applyFont="1" applyFill="1" applyBorder="1" applyAlignment="1">
      <alignment wrapText="1"/>
    </xf>
    <xf numFmtId="0" fontId="11" fillId="0" borderId="1" xfId="0" applyFont="1" applyFill="1" applyBorder="1" applyAlignment="1">
      <alignment wrapText="1"/>
    </xf>
    <xf numFmtId="0" fontId="10" fillId="0" borderId="2" xfId="0" applyFont="1" applyFill="1" applyBorder="1" applyAlignment="1">
      <alignment horizontal="center" wrapText="1"/>
    </xf>
    <xf numFmtId="0" fontId="10" fillId="0" borderId="2" xfId="0" applyFont="1" applyFill="1" applyBorder="1" applyAlignment="1">
      <alignment horizontal="left" wrapText="1"/>
    </xf>
    <xf numFmtId="164" fontId="10" fillId="0" borderId="2" xfId="0" applyNumberFormat="1" applyFont="1" applyFill="1" applyBorder="1" applyAlignment="1">
      <alignment horizontal="center" wrapText="1"/>
    </xf>
    <xf numFmtId="14" fontId="10" fillId="0" borderId="2" xfId="0" applyNumberFormat="1" applyFont="1" applyFill="1" applyBorder="1" applyAlignment="1">
      <alignment wrapText="1"/>
    </xf>
    <xf numFmtId="43" fontId="10" fillId="0" borderId="2" xfId="50" applyFont="1" applyFill="1" applyBorder="1" applyAlignment="1">
      <alignment horizontal="center" wrapText="1"/>
    </xf>
    <xf numFmtId="166" fontId="10" fillId="0" borderId="2" xfId="50" applyNumberFormat="1" applyFont="1" applyFill="1" applyBorder="1" applyAlignment="1">
      <alignment horizontal="center" wrapText="1"/>
    </xf>
    <xf numFmtId="165" fontId="10" fillId="0" borderId="2" xfId="0" applyNumberFormat="1" applyFont="1" applyFill="1" applyBorder="1" applyAlignment="1">
      <alignment horizontal="center" wrapText="1"/>
    </xf>
    <xf numFmtId="166" fontId="10" fillId="0" borderId="1" xfId="50" applyNumberFormat="1" applyFont="1" applyFill="1" applyBorder="1" applyAlignment="1">
      <alignment horizontal="center" wrapText="1"/>
    </xf>
    <xf numFmtId="3" fontId="10" fillId="0" borderId="2" xfId="0" applyNumberFormat="1" applyFont="1" applyFill="1" applyBorder="1" applyAlignment="1">
      <alignment horizontal="center" wrapText="1"/>
    </xf>
    <xf numFmtId="0" fontId="3" fillId="0" borderId="2" xfId="0" applyFont="1" applyFill="1" applyBorder="1" applyAlignment="1"/>
    <xf numFmtId="43" fontId="10" fillId="0" borderId="0" xfId="50" applyFont="1" applyFill="1" applyBorder="1" applyAlignment="1">
      <alignment horizontal="center" wrapText="1"/>
    </xf>
    <xf numFmtId="166" fontId="10" fillId="0" borderId="0" xfId="50" applyNumberFormat="1" applyFont="1" applyFill="1" applyBorder="1" applyAlignment="1">
      <alignment horizontal="center" wrapText="1"/>
    </xf>
    <xf numFmtId="0" fontId="3" fillId="0" borderId="0" xfId="0" applyFont="1" applyFill="1" applyAlignment="1"/>
    <xf numFmtId="43" fontId="10" fillId="0" borderId="2" xfId="50" applyFont="1" applyFill="1" applyBorder="1" applyAlignment="1">
      <alignment horizontal="right" wrapText="1"/>
    </xf>
    <xf numFmtId="0" fontId="10" fillId="0" borderId="1" xfId="0" applyFont="1" applyFill="1" applyBorder="1" applyAlignment="1">
      <alignment horizontal="center" wrapText="1"/>
    </xf>
    <xf numFmtId="43" fontId="10" fillId="0" borderId="1" xfId="50" applyFont="1" applyFill="1" applyBorder="1" applyAlignment="1">
      <alignment horizontal="center" wrapText="1"/>
    </xf>
    <xf numFmtId="0" fontId="3" fillId="0" borderId="1" xfId="0" applyFont="1" applyFill="1" applyBorder="1" applyAlignment="1"/>
    <xf numFmtId="0" fontId="3" fillId="0" borderId="2" xfId="0" applyFont="1" applyFill="1" applyBorder="1" applyAlignment="1">
      <alignment horizontal="left" wrapText="1"/>
    </xf>
    <xf numFmtId="3" fontId="10" fillId="0" borderId="0" xfId="0" applyNumberFormat="1" applyFont="1" applyFill="1" applyBorder="1" applyAlignment="1">
      <alignment horizontal="center" wrapText="1"/>
    </xf>
    <xf numFmtId="0" fontId="3" fillId="0" borderId="0" xfId="0" applyFont="1" applyFill="1" applyBorder="1" applyAlignment="1"/>
    <xf numFmtId="43" fontId="10" fillId="0" borderId="0" xfId="50" applyFont="1" applyFill="1" applyBorder="1" applyAlignment="1">
      <alignment horizontal="right" wrapText="1"/>
    </xf>
    <xf numFmtId="166" fontId="10" fillId="0" borderId="2" xfId="50" applyNumberFormat="1" applyFont="1" applyFill="1" applyBorder="1" applyAlignment="1">
      <alignment horizontal="right" wrapText="1"/>
    </xf>
    <xf numFmtId="166" fontId="10" fillId="0" borderId="0" xfId="50" applyNumberFormat="1" applyFont="1" applyFill="1" applyBorder="1" applyAlignment="1">
      <alignment horizontal="right" wrapText="1"/>
    </xf>
    <xf numFmtId="167" fontId="10" fillId="0" borderId="2" xfId="0" applyNumberFormat="1" applyFont="1" applyFill="1" applyBorder="1" applyAlignment="1">
      <alignment horizontal="center" wrapText="1"/>
    </xf>
    <xf numFmtId="1" fontId="10" fillId="0" borderId="0" xfId="0" applyNumberFormat="1" applyFont="1" applyFill="1" applyBorder="1" applyAlignment="1">
      <alignment horizontal="center" wrapText="1"/>
    </xf>
    <xf numFmtId="43" fontId="3" fillId="0" borderId="2" xfId="50" applyFont="1" applyFill="1" applyBorder="1" applyAlignment="1">
      <alignment horizontal="center" wrapText="1"/>
    </xf>
    <xf numFmtId="166" fontId="3" fillId="0" borderId="2" xfId="50" applyNumberFormat="1" applyFont="1" applyFill="1" applyBorder="1" applyAlignment="1">
      <alignment horizontal="center" wrapText="1"/>
    </xf>
    <xf numFmtId="165" fontId="3" fillId="0" borderId="2" xfId="49" applyNumberFormat="1" applyFont="1" applyFill="1" applyBorder="1" applyAlignment="1">
      <alignment horizontal="center" wrapText="1"/>
    </xf>
    <xf numFmtId="0" fontId="10" fillId="0" borderId="0" xfId="0" applyFont="1" applyFill="1" applyAlignment="1">
      <alignment horizontal="left" wrapText="1"/>
    </xf>
    <xf numFmtId="0" fontId="10" fillId="0" borderId="2" xfId="0" applyFont="1" applyFill="1" applyBorder="1" applyAlignment="1">
      <alignment horizontal="right" wrapText="1"/>
    </xf>
    <xf numFmtId="43" fontId="10" fillId="0" borderId="4" xfId="50" applyFont="1" applyFill="1" applyBorder="1" applyAlignment="1">
      <alignment horizontal="center" wrapText="1"/>
    </xf>
    <xf numFmtId="165" fontId="10" fillId="0" borderId="4" xfId="0" applyNumberFormat="1" applyFont="1" applyFill="1" applyBorder="1" applyAlignment="1">
      <alignment horizontal="center" wrapText="1"/>
    </xf>
    <xf numFmtId="37" fontId="10" fillId="0" borderId="2" xfId="0" applyNumberFormat="1" applyFont="1" applyFill="1" applyBorder="1" applyAlignment="1">
      <alignment horizontal="center" wrapText="1"/>
    </xf>
    <xf numFmtId="37" fontId="10" fillId="0" borderId="0" xfId="0" applyNumberFormat="1" applyFont="1" applyFill="1" applyBorder="1" applyAlignment="1">
      <alignment horizontal="center" wrapText="1"/>
    </xf>
    <xf numFmtId="37" fontId="10" fillId="0" borderId="0" xfId="0" applyNumberFormat="1" applyFont="1" applyFill="1" applyBorder="1" applyAlignment="1">
      <alignment horizontal="right" wrapText="1"/>
    </xf>
    <xf numFmtId="165" fontId="10" fillId="0" borderId="1" xfId="0" applyNumberFormat="1" applyFont="1" applyFill="1" applyBorder="1" applyAlignment="1">
      <alignment horizontal="center" wrapText="1"/>
    </xf>
    <xf numFmtId="166" fontId="10" fillId="0" borderId="4" xfId="50" applyNumberFormat="1" applyFont="1" applyFill="1" applyBorder="1" applyAlignment="1">
      <alignment horizontal="center" wrapText="1"/>
    </xf>
    <xf numFmtId="0" fontId="10" fillId="0" borderId="2" xfId="49" applyFont="1" applyFill="1" applyBorder="1" applyAlignment="1">
      <alignment horizontal="center" wrapText="1"/>
    </xf>
    <xf numFmtId="165" fontId="10" fillId="0" borderId="2" xfId="49" applyNumberFormat="1" applyFont="1" applyFill="1" applyBorder="1" applyAlignment="1">
      <alignment horizontal="center" wrapText="1"/>
    </xf>
    <xf numFmtId="43" fontId="16" fillId="0" borderId="2" xfId="50" applyFont="1" applyFill="1" applyBorder="1" applyAlignment="1">
      <alignment horizontal="center" wrapText="1"/>
    </xf>
    <xf numFmtId="43" fontId="18" fillId="0" borderId="2" xfId="50" applyFont="1" applyFill="1" applyBorder="1" applyAlignment="1">
      <alignment horizontal="center" wrapText="1"/>
    </xf>
    <xf numFmtId="0" fontId="10" fillId="0" borderId="4" xfId="0" applyFont="1" applyFill="1" applyBorder="1" applyAlignment="1">
      <alignment wrapText="1"/>
    </xf>
    <xf numFmtId="0" fontId="10" fillId="0" borderId="4" xfId="0" applyFont="1" applyFill="1" applyBorder="1" applyAlignment="1">
      <alignment horizontal="center" wrapText="1"/>
    </xf>
    <xf numFmtId="0" fontId="10" fillId="0" borderId="4" xfId="0" applyFont="1" applyFill="1" applyBorder="1" applyAlignment="1">
      <alignment horizontal="left" wrapText="1"/>
    </xf>
    <xf numFmtId="164" fontId="10" fillId="0" borderId="4" xfId="0" applyNumberFormat="1" applyFont="1" applyFill="1" applyBorder="1" applyAlignment="1">
      <alignment horizontal="center" wrapText="1"/>
    </xf>
    <xf numFmtId="0" fontId="20" fillId="0" borderId="2" xfId="0" applyFont="1" applyFill="1" applyBorder="1" applyAlignment="1">
      <alignment wrapText="1"/>
    </xf>
    <xf numFmtId="0" fontId="20" fillId="0" borderId="2" xfId="0" applyFont="1" applyFill="1" applyBorder="1" applyAlignment="1">
      <alignment horizontal="left" wrapText="1"/>
    </xf>
    <xf numFmtId="0" fontId="20" fillId="0" borderId="2" xfId="0" applyFont="1" applyFill="1" applyBorder="1" applyAlignment="1">
      <alignment horizontal="center" wrapText="1"/>
    </xf>
    <xf numFmtId="0" fontId="11" fillId="0" borderId="2" xfId="0" applyFont="1" applyFill="1" applyBorder="1" applyAlignment="1"/>
    <xf numFmtId="0" fontId="10" fillId="0" borderId="0" xfId="0" applyFont="1" applyFill="1" applyBorder="1" applyAlignment="1">
      <alignment wrapText="1"/>
    </xf>
    <xf numFmtId="43" fontId="10" fillId="0" borderId="0" xfId="50" applyFont="1" applyFill="1" applyBorder="1" applyAlignment="1">
      <alignment horizontal="left" wrapText="1"/>
    </xf>
    <xf numFmtId="166" fontId="10" fillId="0" borderId="0" xfId="50" applyNumberFormat="1" applyFont="1" applyFill="1" applyBorder="1" applyAlignment="1">
      <alignment horizontal="left" wrapText="1"/>
    </xf>
    <xf numFmtId="0" fontId="3" fillId="0" borderId="0" xfId="0" applyFont="1" applyFill="1" applyAlignment="1">
      <alignment horizontal="left"/>
    </xf>
    <xf numFmtId="0" fontId="10" fillId="0" borderId="0" xfId="0" applyFont="1" applyFill="1" applyBorder="1" applyAlignment="1"/>
    <xf numFmtId="0" fontId="20" fillId="0" borderId="0" xfId="0" applyFont="1" applyFill="1" applyAlignment="1"/>
    <xf numFmtId="0" fontId="20" fillId="0" borderId="0" xfId="0" applyFont="1" applyFill="1" applyAlignment="1">
      <alignment wrapText="1"/>
    </xf>
    <xf numFmtId="0" fontId="20" fillId="0" borderId="0" xfId="0" applyFont="1" applyFill="1" applyAlignment="1">
      <alignment horizontal="center" wrapText="1"/>
    </xf>
    <xf numFmtId="0" fontId="20" fillId="0" borderId="0" xfId="0" applyFont="1" applyFill="1" applyAlignment="1">
      <alignment horizontal="left" wrapText="1"/>
    </xf>
    <xf numFmtId="43" fontId="20" fillId="0" borderId="0" xfId="50" applyFont="1" applyFill="1" applyAlignment="1">
      <alignment horizontal="center" wrapText="1"/>
    </xf>
    <xf numFmtId="166" fontId="20" fillId="0" borderId="0" xfId="50" applyNumberFormat="1" applyFont="1" applyFill="1" applyAlignment="1">
      <alignment horizontal="center" wrapText="1"/>
    </xf>
    <xf numFmtId="43" fontId="20" fillId="0" borderId="0" xfId="50" applyFont="1" applyFill="1" applyAlignment="1">
      <alignment wrapText="1"/>
    </xf>
    <xf numFmtId="166" fontId="20" fillId="0" borderId="0" xfId="50" applyNumberFormat="1" applyFont="1" applyFill="1" applyAlignment="1">
      <alignment wrapText="1"/>
    </xf>
    <xf numFmtId="0" fontId="22" fillId="0" borderId="2" xfId="0" applyFont="1" applyFill="1" applyBorder="1" applyAlignment="1">
      <alignment wrapText="1"/>
    </xf>
    <xf numFmtId="0" fontId="20" fillId="0" borderId="4" xfId="0" applyFont="1" applyFill="1" applyBorder="1" applyAlignment="1">
      <alignment wrapText="1"/>
    </xf>
    <xf numFmtId="0" fontId="20" fillId="0" borderId="0" xfId="0" applyFont="1" applyFill="1" applyBorder="1" applyAlignment="1"/>
    <xf numFmtId="166" fontId="7" fillId="0" borderId="2" xfId="50" applyNumberFormat="1" applyFont="1" applyFill="1" applyBorder="1" applyAlignment="1">
      <alignment horizontal="center" wrapText="1"/>
    </xf>
    <xf numFmtId="166" fontId="7" fillId="0" borderId="5" xfId="50" applyNumberFormat="1" applyFont="1" applyFill="1" applyBorder="1" applyAlignment="1">
      <alignment horizontal="center" wrapText="1"/>
    </xf>
    <xf numFmtId="166" fontId="9" fillId="0" borderId="0" xfId="50" applyNumberFormat="1" applyFont="1" applyFill="1" applyBorder="1" applyAlignment="1">
      <alignment horizontal="center"/>
    </xf>
    <xf numFmtId="166" fontId="9" fillId="0" borderId="0" xfId="50" applyNumberFormat="1" applyFont="1" applyFill="1" applyAlignment="1">
      <alignment horizontal="center" vertical="top"/>
    </xf>
    <xf numFmtId="166" fontId="9" fillId="0" borderId="0" xfId="50" applyNumberFormat="1" applyFont="1" applyFill="1" applyAlignment="1">
      <alignment vertical="top"/>
    </xf>
    <xf numFmtId="165" fontId="19" fillId="0" borderId="2" xfId="0" applyNumberFormat="1" applyFont="1" applyFill="1" applyBorder="1" applyAlignment="1">
      <alignment horizontal="center"/>
    </xf>
    <xf numFmtId="37" fontId="19" fillId="0" borderId="2" xfId="1" applyNumberFormat="1" applyFont="1" applyFill="1" applyBorder="1" applyAlignment="1">
      <alignment horizontal="center"/>
    </xf>
    <xf numFmtId="165" fontId="19" fillId="0" borderId="6" xfId="0" applyNumberFormat="1" applyFont="1" applyFill="1" applyBorder="1" applyAlignment="1">
      <alignment horizontal="center"/>
    </xf>
    <xf numFmtId="0" fontId="17" fillId="0" borderId="6" xfId="0" applyFont="1" applyFill="1" applyBorder="1"/>
    <xf numFmtId="0" fontId="9" fillId="0" borderId="8" xfId="0" applyFont="1" applyFill="1" applyBorder="1" applyAlignment="1">
      <alignment horizontal="center" vertical="top"/>
    </xf>
    <xf numFmtId="165" fontId="19" fillId="0" borderId="0" xfId="0" applyNumberFormat="1" applyFont="1" applyFill="1" applyBorder="1" applyAlignment="1">
      <alignment horizontal="center"/>
    </xf>
    <xf numFmtId="166" fontId="19" fillId="0" borderId="3" xfId="50" applyNumberFormat="1" applyFont="1" applyFill="1" applyBorder="1" applyAlignment="1">
      <alignment horizontal="center"/>
    </xf>
    <xf numFmtId="165" fontId="19" fillId="0" borderId="3" xfId="0" applyNumberFormat="1" applyFont="1" applyFill="1" applyBorder="1" applyAlignment="1">
      <alignment horizontal="center"/>
    </xf>
    <xf numFmtId="0" fontId="19" fillId="0" borderId="6" xfId="0" applyFont="1" applyFill="1" applyBorder="1" applyAlignment="1">
      <alignment horizontal="center" vertical="top" wrapText="1"/>
    </xf>
    <xf numFmtId="0" fontId="19" fillId="0" borderId="3" xfId="0" applyFont="1" applyFill="1" applyBorder="1" applyAlignment="1">
      <alignment vertical="top" wrapText="1"/>
    </xf>
    <xf numFmtId="0" fontId="9" fillId="0" borderId="9" xfId="0" applyFont="1" applyFill="1" applyBorder="1" applyAlignment="1">
      <alignment horizontal="center" vertical="top" wrapText="1"/>
    </xf>
    <xf numFmtId="0" fontId="19" fillId="0" borderId="4" xfId="0" applyFont="1" applyFill="1" applyBorder="1" applyAlignment="1">
      <alignment vertical="top"/>
    </xf>
    <xf numFmtId="0" fontId="9" fillId="0" borderId="8" xfId="0" applyFont="1" applyFill="1" applyBorder="1" applyAlignment="1">
      <alignment vertical="top"/>
    </xf>
    <xf numFmtId="0" fontId="9" fillId="0" borderId="9" xfId="0" applyFont="1" applyFill="1" applyBorder="1" applyAlignment="1">
      <alignment horizontal="left" vertical="top" wrapText="1"/>
    </xf>
    <xf numFmtId="0" fontId="9" fillId="0" borderId="8" xfId="0" applyFont="1" applyFill="1" applyBorder="1" applyAlignment="1">
      <alignment vertical="top" wrapText="1"/>
    </xf>
    <xf numFmtId="6" fontId="9" fillId="0" borderId="9"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0" xfId="0" applyFont="1" applyFill="1" applyBorder="1" applyAlignment="1">
      <alignment vertical="top" wrapText="1"/>
    </xf>
    <xf numFmtId="3" fontId="9" fillId="0" borderId="10" xfId="0" applyNumberFormat="1" applyFont="1" applyFill="1" applyBorder="1" applyAlignment="1">
      <alignment horizontal="center" vertical="top"/>
    </xf>
    <xf numFmtId="0" fontId="9" fillId="0" borderId="10" xfId="0" applyFont="1" applyFill="1" applyBorder="1" applyAlignment="1">
      <alignment horizontal="center" vertical="top"/>
    </xf>
    <xf numFmtId="165" fontId="9" fillId="0" borderId="10" xfId="0" applyNumberFormat="1" applyFont="1" applyFill="1" applyBorder="1" applyAlignment="1">
      <alignment horizontal="center" vertical="top"/>
    </xf>
    <xf numFmtId="0" fontId="12" fillId="0" borderId="10" xfId="0" applyFont="1" applyFill="1" applyBorder="1"/>
    <xf numFmtId="0" fontId="9" fillId="0" borderId="10" xfId="0" applyFont="1" applyFill="1" applyBorder="1"/>
    <xf numFmtId="0" fontId="9" fillId="0" borderId="9" xfId="0" applyFont="1" applyFill="1" applyBorder="1"/>
    <xf numFmtId="3" fontId="9" fillId="0" borderId="4" xfId="0" applyNumberFormat="1" applyFont="1" applyFill="1" applyBorder="1" applyAlignment="1">
      <alignment horizontal="center" vertical="top"/>
    </xf>
    <xf numFmtId="3" fontId="9" fillId="0" borderId="9" xfId="0" applyNumberFormat="1" applyFont="1" applyFill="1" applyBorder="1" applyAlignment="1">
      <alignment horizontal="center" vertical="top"/>
    </xf>
    <xf numFmtId="165" fontId="9" fillId="0" borderId="9" xfId="1" applyNumberFormat="1" applyFont="1" applyFill="1" applyBorder="1" applyAlignment="1">
      <alignment horizontal="center" vertical="top"/>
    </xf>
    <xf numFmtId="3" fontId="19" fillId="0" borderId="0" xfId="0" applyNumberFormat="1" applyFont="1" applyFill="1" applyBorder="1" applyAlignment="1">
      <alignment horizontal="center"/>
    </xf>
    <xf numFmtId="0" fontId="19" fillId="0" borderId="6" xfId="0" applyFont="1" applyFill="1" applyBorder="1" applyAlignment="1">
      <alignment horizontal="center" vertical="top"/>
    </xf>
    <xf numFmtId="0" fontId="19" fillId="0" borderId="6" xfId="0" applyFont="1" applyFill="1" applyBorder="1" applyAlignment="1">
      <alignment vertical="top"/>
    </xf>
    <xf numFmtId="0" fontId="19" fillId="0" borderId="6" xfId="0" applyFont="1" applyFill="1" applyBorder="1" applyAlignment="1">
      <alignment vertical="top"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164" fontId="9" fillId="0" borderId="0" xfId="0" applyNumberFormat="1" applyFont="1" applyFill="1" applyBorder="1" applyAlignment="1">
      <alignment vertical="center"/>
    </xf>
    <xf numFmtId="0" fontId="9" fillId="0" borderId="1" xfId="0" applyFont="1" applyBorder="1" applyAlignment="1">
      <alignment horizontal="center" vertical="center"/>
    </xf>
    <xf numFmtId="0" fontId="0" fillId="0" borderId="2" xfId="0" applyBorder="1" applyAlignment="1">
      <alignment horizontal="center" vertical="top"/>
    </xf>
    <xf numFmtId="0" fontId="0" fillId="0" borderId="4" xfId="0" applyBorder="1" applyAlignment="1">
      <alignment horizontal="center" vertical="top"/>
    </xf>
    <xf numFmtId="0" fontId="0" fillId="0" borderId="0" xfId="0" applyAlignment="1">
      <alignment horizontal="center" vertical="top"/>
    </xf>
    <xf numFmtId="0" fontId="0" fillId="0" borderId="2" xfId="0" applyFill="1" applyBorder="1" applyAlignment="1">
      <alignment horizontal="center" vertical="top"/>
    </xf>
    <xf numFmtId="0" fontId="0" fillId="0" borderId="0" xfId="0"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1" xfId="0" applyFont="1" applyFill="1" applyBorder="1" applyAlignment="1">
      <alignment horizontal="center" vertical="top"/>
    </xf>
    <xf numFmtId="164" fontId="9" fillId="0" borderId="2" xfId="0" applyNumberFormat="1" applyFont="1" applyFill="1" applyBorder="1" applyAlignment="1">
      <alignment vertical="top"/>
    </xf>
    <xf numFmtId="164" fontId="9" fillId="0" borderId="4" xfId="0" applyNumberFormat="1" applyFont="1" applyFill="1" applyBorder="1" applyAlignment="1">
      <alignment vertical="top"/>
    </xf>
    <xf numFmtId="164" fontId="9" fillId="0" borderId="0" xfId="0" applyNumberFormat="1" applyFont="1" applyFill="1" applyAlignment="1">
      <alignment vertical="top"/>
    </xf>
    <xf numFmtId="164" fontId="9" fillId="0" borderId="0" xfId="0" applyNumberFormat="1" applyFont="1" applyFill="1" applyBorder="1" applyAlignment="1">
      <alignment vertical="top"/>
    </xf>
    <xf numFmtId="164" fontId="9" fillId="0" borderId="1" xfId="0" applyNumberFormat="1" applyFont="1" applyFill="1" applyBorder="1" applyAlignment="1">
      <alignment vertical="top"/>
    </xf>
    <xf numFmtId="164" fontId="9" fillId="0" borderId="2" xfId="0" applyNumberFormat="1" applyFont="1" applyFill="1" applyBorder="1" applyAlignment="1">
      <alignment horizontal="right" vertical="top"/>
    </xf>
    <xf numFmtId="164" fontId="9" fillId="0" borderId="4" xfId="0" applyNumberFormat="1" applyFont="1" applyFill="1" applyBorder="1" applyAlignment="1">
      <alignment horizontal="right" vertical="top"/>
    </xf>
    <xf numFmtId="164" fontId="9" fillId="0" borderId="0" xfId="0" applyNumberFormat="1" applyFont="1" applyFill="1" applyAlignment="1">
      <alignment horizontal="right" vertical="top"/>
    </xf>
    <xf numFmtId="164" fontId="9" fillId="0" borderId="0" xfId="0" applyNumberFormat="1" applyFont="1" applyFill="1" applyBorder="1" applyAlignment="1">
      <alignment horizontal="right" vertical="top"/>
    </xf>
    <xf numFmtId="164" fontId="9" fillId="0" borderId="1" xfId="0" applyNumberFormat="1" applyFont="1" applyFill="1" applyBorder="1" applyAlignment="1">
      <alignment horizontal="right" vertical="top"/>
    </xf>
    <xf numFmtId="0" fontId="19" fillId="0" borderId="0" xfId="0" applyFont="1" applyBorder="1" applyAlignment="1">
      <alignment horizontal="center"/>
    </xf>
    <xf numFmtId="164" fontId="19" fillId="0" borderId="0" xfId="0" applyNumberFormat="1" applyFont="1" applyFill="1" applyBorder="1" applyAlignment="1">
      <alignment horizontal="center"/>
    </xf>
    <xf numFmtId="0" fontId="0" fillId="0" borderId="4" xfId="0" applyFill="1" applyBorder="1" applyAlignment="1">
      <alignment horizontal="center" vertical="top"/>
    </xf>
    <xf numFmtId="0" fontId="0" fillId="0" borderId="1" xfId="0" applyFill="1" applyBorder="1" applyAlignment="1">
      <alignment horizontal="center" vertical="top"/>
    </xf>
    <xf numFmtId="44" fontId="10" fillId="0" borderId="0" xfId="1" applyFont="1" applyFill="1" applyBorder="1" applyAlignment="1">
      <alignment horizontal="left" wrapText="1"/>
    </xf>
    <xf numFmtId="1" fontId="9" fillId="0" borderId="0" xfId="1" applyNumberFormat="1" applyFont="1" applyFill="1" applyBorder="1" applyAlignment="1">
      <alignment horizontal="center"/>
    </xf>
    <xf numFmtId="164" fontId="19" fillId="0" borderId="0" xfId="1" applyNumberFormat="1" applyFont="1" applyFill="1" applyBorder="1" applyAlignment="1">
      <alignment horizontal="center" vertical="top"/>
    </xf>
    <xf numFmtId="0" fontId="19" fillId="0" borderId="0" xfId="0" applyFont="1" applyFill="1" applyBorder="1" applyAlignment="1">
      <alignment horizontal="center"/>
    </xf>
    <xf numFmtId="0" fontId="19" fillId="0" borderId="11" xfId="0" applyFont="1" applyBorder="1"/>
    <xf numFmtId="0" fontId="19" fillId="0" borderId="11" xfId="0" applyFont="1" applyFill="1" applyBorder="1" applyAlignment="1">
      <alignment horizontal="center" vertical="top"/>
    </xf>
    <xf numFmtId="0" fontId="19" fillId="0" borderId="11" xfId="0" applyFont="1" applyFill="1" applyBorder="1" applyAlignment="1">
      <alignment horizontal="left" vertical="top" wrapText="1"/>
    </xf>
    <xf numFmtId="0" fontId="19" fillId="0" borderId="11" xfId="0" applyFont="1" applyFill="1" applyBorder="1" applyAlignment="1">
      <alignment horizontal="center" vertical="top" wrapText="1"/>
    </xf>
    <xf numFmtId="0" fontId="19" fillId="0" borderId="11" xfId="0" applyFont="1" applyFill="1" applyBorder="1" applyAlignment="1">
      <alignment wrapText="1"/>
    </xf>
    <xf numFmtId="164" fontId="19" fillId="0" borderId="11" xfId="1" applyNumberFormat="1" applyFont="1" applyFill="1" applyBorder="1" applyAlignment="1">
      <alignment horizontal="center" vertical="top"/>
    </xf>
    <xf numFmtId="0" fontId="19" fillId="0" borderId="11" xfId="0" applyFont="1" applyFill="1" applyBorder="1" applyAlignment="1">
      <alignment horizontal="center"/>
    </xf>
    <xf numFmtId="164" fontId="19" fillId="0" borderId="11" xfId="0" applyNumberFormat="1" applyFont="1" applyFill="1" applyBorder="1" applyAlignment="1">
      <alignment horizontal="center"/>
    </xf>
    <xf numFmtId="0" fontId="19" fillId="0" borderId="11" xfId="0" applyFont="1" applyBorder="1" applyAlignment="1">
      <alignment horizontal="center"/>
    </xf>
    <xf numFmtId="0" fontId="0" fillId="0" borderId="11" xfId="0" applyFont="1" applyFill="1" applyBorder="1" applyAlignment="1">
      <alignment horizontal="center" vertical="top"/>
    </xf>
    <xf numFmtId="0" fontId="19" fillId="0" borderId="2" xfId="0" applyFont="1" applyBorder="1" applyAlignment="1">
      <alignment wrapText="1"/>
    </xf>
    <xf numFmtId="0" fontId="17" fillId="0" borderId="2" xfId="0" applyFont="1" applyBorder="1" applyAlignment="1"/>
    <xf numFmtId="0" fontId="9" fillId="0" borderId="0" xfId="0" applyFont="1" applyBorder="1" applyAlignment="1">
      <alignment horizontal="left" vertical="top" wrapText="1"/>
    </xf>
    <xf numFmtId="0" fontId="8" fillId="0" borderId="0" xfId="0" applyFont="1" applyBorder="1" applyAlignment="1">
      <alignment horizontal="left" vertical="top" wrapText="1"/>
    </xf>
    <xf numFmtId="0" fontId="20" fillId="0" borderId="2" xfId="0" applyFont="1" applyFill="1" applyBorder="1" applyAlignment="1">
      <alignment wrapText="1"/>
    </xf>
    <xf numFmtId="0" fontId="11" fillId="0" borderId="2" xfId="0" applyFont="1" applyFill="1" applyBorder="1" applyAlignment="1">
      <alignment wrapText="1"/>
    </xf>
    <xf numFmtId="0" fontId="10" fillId="0" borderId="0" xfId="0" applyFont="1" applyFill="1" applyBorder="1" applyAlignment="1">
      <alignment horizontal="left" wrapText="1"/>
    </xf>
    <xf numFmtId="44" fontId="10" fillId="0" borderId="0" xfId="1" applyFont="1" applyFill="1" applyBorder="1" applyAlignment="1">
      <alignment horizontal="left" wrapText="1"/>
    </xf>
    <xf numFmtId="0" fontId="19" fillId="0" borderId="2" xfId="0" applyFont="1" applyFill="1" applyBorder="1" applyAlignment="1">
      <alignment wrapText="1"/>
    </xf>
    <xf numFmtId="0" fontId="17" fillId="0" borderId="2" xfId="0" applyFont="1" applyFill="1" applyBorder="1" applyAlignment="1"/>
    <xf numFmtId="0" fontId="19" fillId="0" borderId="0" xfId="0" applyFont="1" applyBorder="1" applyAlignment="1">
      <alignment horizontal="left" vertical="top" wrapText="1"/>
    </xf>
  </cellXfs>
  <cellStyles count="51">
    <cellStyle name="Comma" xfId="50" builtinId="3"/>
    <cellStyle name="Currency" xfId="1" builtinId="4"/>
    <cellStyle name="Currency 2" xfId="24" xr:uid="{00000000-0005-0000-0000-000001000000}"/>
    <cellStyle name="Currency 3" xfId="48" xr:uid="{00000000-0005-0000-0000-000002000000}"/>
    <cellStyle name="Normal" xfId="0" builtinId="0"/>
    <cellStyle name="Normal 16" xfId="2" xr:uid="{00000000-0005-0000-0000-000004000000}"/>
    <cellStyle name="Normal 16 2" xfId="25" xr:uid="{00000000-0005-0000-0000-000005000000}"/>
    <cellStyle name="Normal 17" xfId="3" xr:uid="{00000000-0005-0000-0000-000006000000}"/>
    <cellStyle name="Normal 17 2" xfId="26" xr:uid="{00000000-0005-0000-0000-000007000000}"/>
    <cellStyle name="Normal 18" xfId="4" xr:uid="{00000000-0005-0000-0000-000008000000}"/>
    <cellStyle name="Normal 18 2" xfId="27" xr:uid="{00000000-0005-0000-0000-000009000000}"/>
    <cellStyle name="Normal 2" xfId="5" xr:uid="{00000000-0005-0000-0000-00000A000000}"/>
    <cellStyle name="Normal 2 2" xfId="28" xr:uid="{00000000-0005-0000-0000-00000B000000}"/>
    <cellStyle name="Normal 20" xfId="6" xr:uid="{00000000-0005-0000-0000-00000C000000}"/>
    <cellStyle name="Normal 20 2" xfId="29" xr:uid="{00000000-0005-0000-0000-00000D000000}"/>
    <cellStyle name="Normal 21" xfId="7" xr:uid="{00000000-0005-0000-0000-00000E000000}"/>
    <cellStyle name="Normal 21 2" xfId="30" xr:uid="{00000000-0005-0000-0000-00000F000000}"/>
    <cellStyle name="Normal 23" xfId="8" xr:uid="{00000000-0005-0000-0000-000010000000}"/>
    <cellStyle name="Normal 23 2" xfId="31" xr:uid="{00000000-0005-0000-0000-000011000000}"/>
    <cellStyle name="Normal 24" xfId="9" xr:uid="{00000000-0005-0000-0000-000012000000}"/>
    <cellStyle name="Normal 24 2" xfId="32" xr:uid="{00000000-0005-0000-0000-000013000000}"/>
    <cellStyle name="Normal 25" xfId="10" xr:uid="{00000000-0005-0000-0000-000014000000}"/>
    <cellStyle name="Normal 25 2" xfId="33" xr:uid="{00000000-0005-0000-0000-000015000000}"/>
    <cellStyle name="Normal 26" xfId="11" xr:uid="{00000000-0005-0000-0000-000016000000}"/>
    <cellStyle name="Normal 26 2" xfId="34" xr:uid="{00000000-0005-0000-0000-000017000000}"/>
    <cellStyle name="Normal 27" xfId="12" xr:uid="{00000000-0005-0000-0000-000018000000}"/>
    <cellStyle name="Normal 27 2" xfId="35" xr:uid="{00000000-0005-0000-0000-000019000000}"/>
    <cellStyle name="Normal 28" xfId="13" xr:uid="{00000000-0005-0000-0000-00001A000000}"/>
    <cellStyle name="Normal 28 2" xfId="36" xr:uid="{00000000-0005-0000-0000-00001B000000}"/>
    <cellStyle name="Normal 29" xfId="14" xr:uid="{00000000-0005-0000-0000-00001C000000}"/>
    <cellStyle name="Normal 29 2" xfId="37" xr:uid="{00000000-0005-0000-0000-00001D000000}"/>
    <cellStyle name="Normal 3" xfId="15" xr:uid="{00000000-0005-0000-0000-00001E000000}"/>
    <cellStyle name="Normal 3 2" xfId="38" xr:uid="{00000000-0005-0000-0000-00001F000000}"/>
    <cellStyle name="Normal 30" xfId="16" xr:uid="{00000000-0005-0000-0000-000020000000}"/>
    <cellStyle name="Normal 30 2" xfId="39" xr:uid="{00000000-0005-0000-0000-000021000000}"/>
    <cellStyle name="Normal 31" xfId="17" xr:uid="{00000000-0005-0000-0000-000022000000}"/>
    <cellStyle name="Normal 31 2" xfId="40" xr:uid="{00000000-0005-0000-0000-000023000000}"/>
    <cellStyle name="Normal 32" xfId="18" xr:uid="{00000000-0005-0000-0000-000024000000}"/>
    <cellStyle name="Normal 32 2" xfId="41" xr:uid="{00000000-0005-0000-0000-000025000000}"/>
    <cellStyle name="Normal 33" xfId="19" xr:uid="{00000000-0005-0000-0000-000026000000}"/>
    <cellStyle name="Normal 33 2" xfId="42" xr:uid="{00000000-0005-0000-0000-000027000000}"/>
    <cellStyle name="Normal 34" xfId="20" xr:uid="{00000000-0005-0000-0000-000028000000}"/>
    <cellStyle name="Normal 34 2" xfId="43" xr:uid="{00000000-0005-0000-0000-000029000000}"/>
    <cellStyle name="Normal 35" xfId="21" xr:uid="{00000000-0005-0000-0000-00002A000000}"/>
    <cellStyle name="Normal 35 2" xfId="44" xr:uid="{00000000-0005-0000-0000-00002B000000}"/>
    <cellStyle name="Normal 36" xfId="22" xr:uid="{00000000-0005-0000-0000-00002C000000}"/>
    <cellStyle name="Normal 36 2" xfId="45" xr:uid="{00000000-0005-0000-0000-00002D000000}"/>
    <cellStyle name="Normal 4" xfId="47" xr:uid="{00000000-0005-0000-0000-00002E000000}"/>
    <cellStyle name="Normal 4 2" xfId="49" xr:uid="{00000000-0005-0000-0000-00002F000000}"/>
    <cellStyle name="Normal 7" xfId="23" xr:uid="{00000000-0005-0000-0000-000030000000}"/>
    <cellStyle name="Normal 7 2" xfId="46"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20@%20160.00" TargetMode="External"/><Relationship Id="rId2" Type="http://schemas.openxmlformats.org/officeDocument/2006/relationships/hyperlink" Target="mailto:7@%20500.00%20%20%20%20%20%20%20%20%20%20%20%20%20%204%20@%20850.00%20%20%20%20%20%20%20%207%20@%20250.00" TargetMode="External"/><Relationship Id="rId1" Type="http://schemas.openxmlformats.org/officeDocument/2006/relationships/hyperlink" Target="mailto:158@5,000.00%20%20%20%20%20%20%20%201%20@%20275.00"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62"/>
  <sheetViews>
    <sheetView showGridLines="0" showRuler="0" view="pageBreakPreview" zoomScale="60" zoomScaleNormal="70" workbookViewId="0">
      <selection activeCell="B1" sqref="B1:B1048576"/>
    </sheetView>
  </sheetViews>
  <sheetFormatPr defaultColWidth="9.140625" defaultRowHeight="12.75" x14ac:dyDescent="0.2"/>
  <cols>
    <col min="1" max="1" width="29.5703125" style="77" customWidth="1"/>
    <col min="2" max="2" width="17.140625" style="78" customWidth="1"/>
    <col min="3" max="3" width="1.140625" style="77" customWidth="1"/>
    <col min="4" max="4" width="18.28515625" style="79" customWidth="1"/>
    <col min="5" max="5" width="1" style="80" customWidth="1"/>
    <col min="6" max="6" width="22" style="79" customWidth="1"/>
    <col min="7" max="7" width="1" style="80" customWidth="1"/>
    <col min="8" max="8" width="12.7109375" style="24" customWidth="1"/>
    <col min="9" max="9" width="1.28515625" style="21" customWidth="1"/>
    <col min="10" max="10" width="11.42578125" style="24" customWidth="1"/>
    <col min="11" max="11" width="1" style="21" customWidth="1"/>
    <col min="12" max="12" width="16" style="21" customWidth="1"/>
    <col min="13" max="13" width="0.5703125" style="21" customWidth="1"/>
    <col min="14" max="14" width="9.42578125" style="21" bestFit="1" customWidth="1"/>
    <col min="15" max="15" width="10.85546875" style="21" customWidth="1"/>
    <col min="16" max="16" width="10.42578125" style="21" hidden="1" customWidth="1"/>
    <col min="17" max="17" width="0.85546875" style="21" hidden="1" customWidth="1"/>
    <col min="18" max="18" width="14" style="50" hidden="1" customWidth="1"/>
    <col min="19" max="19" width="0.85546875" style="21" hidden="1" customWidth="1"/>
    <col min="20" max="20" width="10.42578125" style="127" hidden="1" customWidth="1"/>
    <col min="21" max="21" width="0.85546875" style="21" hidden="1" customWidth="1"/>
    <col min="22" max="22" width="14" style="63" hidden="1" customWidth="1"/>
    <col min="23" max="23" width="0.85546875" style="21" customWidth="1"/>
    <col min="24" max="24" width="10.42578125" style="127" hidden="1" customWidth="1"/>
    <col min="25" max="25" width="0.85546875" style="127" hidden="1" customWidth="1"/>
    <col min="26" max="26" width="14" style="63" hidden="1" customWidth="1"/>
    <col min="27" max="27" width="0.85546875" style="127" hidden="1" customWidth="1"/>
    <col min="28" max="28" width="10.42578125" style="127" hidden="1" customWidth="1"/>
    <col min="29" max="29" width="0.85546875" style="127" hidden="1" customWidth="1"/>
    <col min="30" max="30" width="14" style="63" hidden="1" customWidth="1"/>
    <col min="31" max="31" width="10.42578125" style="127" hidden="1" customWidth="1"/>
    <col min="32" max="32" width="0.85546875" style="127" hidden="1" customWidth="1"/>
    <col min="33" max="33" width="14" style="63" hidden="1" customWidth="1"/>
    <col min="34" max="34" width="10.42578125" style="127" hidden="1" customWidth="1"/>
    <col min="35" max="35" width="0.85546875" style="127" hidden="1" customWidth="1"/>
    <col min="36" max="36" width="13.28515625" style="63" hidden="1" customWidth="1"/>
    <col min="37" max="37" width="10.42578125" style="127" hidden="1" customWidth="1"/>
    <col min="38" max="38" width="0.85546875" style="127" hidden="1" customWidth="1"/>
    <col min="39" max="39" width="12.7109375" style="63" hidden="1" customWidth="1"/>
    <col min="40" max="40" width="2.140625" style="63" customWidth="1"/>
    <col min="41" max="42" width="12.7109375" style="63" customWidth="1"/>
    <col min="43" max="43" width="1.85546875" style="63" customWidth="1"/>
    <col min="44" max="45" width="12.7109375" style="63" customWidth="1"/>
    <col min="46" max="46" width="2.140625" style="63" customWidth="1"/>
    <col min="47" max="47" width="18.85546875" style="121" customWidth="1"/>
    <col min="48" max="48" width="23" style="21" customWidth="1"/>
    <col min="49" max="49" width="48.7109375" style="21" customWidth="1"/>
    <col min="50" max="61" width="9.140625" style="22"/>
    <col min="62" max="275" width="9.140625" style="21"/>
    <col min="276" max="276" width="2.140625" style="21" customWidth="1"/>
    <col min="277" max="277" width="14" style="21" customWidth="1"/>
    <col min="278" max="278" width="0.7109375" style="21" customWidth="1"/>
    <col min="279" max="279" width="17.140625" style="21" customWidth="1"/>
    <col min="280" max="280" width="1.140625" style="21" customWidth="1"/>
    <col min="281" max="281" width="18.28515625" style="21" customWidth="1"/>
    <col min="282" max="282" width="1" style="21" customWidth="1"/>
    <col min="283" max="283" width="27.5703125" style="21" customWidth="1"/>
    <col min="284" max="284" width="1" style="21" customWidth="1"/>
    <col min="285" max="285" width="12.7109375" style="21" customWidth="1"/>
    <col min="286" max="286" width="1.28515625" style="21" customWidth="1"/>
    <col min="287" max="287" width="11.42578125" style="21" customWidth="1"/>
    <col min="288" max="288" width="1" style="21" customWidth="1"/>
    <col min="289" max="289" width="10.42578125" style="21" customWidth="1"/>
    <col min="290" max="290" width="0.85546875" style="21" customWidth="1"/>
    <col min="291" max="291" width="14" style="21" customWidth="1"/>
    <col min="292" max="292" width="0.85546875" style="21" customWidth="1"/>
    <col min="293" max="293" width="10.42578125" style="21" customWidth="1"/>
    <col min="294" max="294" width="0.85546875" style="21" customWidth="1"/>
    <col min="295" max="295" width="14" style="21" customWidth="1"/>
    <col min="296" max="296" width="0.85546875" style="21" customWidth="1"/>
    <col min="297" max="297" width="16" style="21" customWidth="1"/>
    <col min="298" max="298" width="0.5703125" style="21" customWidth="1"/>
    <col min="299" max="299" width="9.42578125" style="21" bestFit="1" customWidth="1"/>
    <col min="300" max="300" width="1.140625" style="21" customWidth="1"/>
    <col min="301" max="531" width="9.140625" style="21"/>
    <col min="532" max="532" width="2.140625" style="21" customWidth="1"/>
    <col min="533" max="533" width="14" style="21" customWidth="1"/>
    <col min="534" max="534" width="0.7109375" style="21" customWidth="1"/>
    <col min="535" max="535" width="17.140625" style="21" customWidth="1"/>
    <col min="536" max="536" width="1.140625" style="21" customWidth="1"/>
    <col min="537" max="537" width="18.28515625" style="21" customWidth="1"/>
    <col min="538" max="538" width="1" style="21" customWidth="1"/>
    <col min="539" max="539" width="27.5703125" style="21" customWidth="1"/>
    <col min="540" max="540" width="1" style="21" customWidth="1"/>
    <col min="541" max="541" width="12.7109375" style="21" customWidth="1"/>
    <col min="542" max="542" width="1.28515625" style="21" customWidth="1"/>
    <col min="543" max="543" width="11.42578125" style="21" customWidth="1"/>
    <col min="544" max="544" width="1" style="21" customWidth="1"/>
    <col min="545" max="545" width="10.42578125" style="21" customWidth="1"/>
    <col min="546" max="546" width="0.85546875" style="21" customWidth="1"/>
    <col min="547" max="547" width="14" style="21" customWidth="1"/>
    <col min="548" max="548" width="0.85546875" style="21" customWidth="1"/>
    <col min="549" max="549" width="10.42578125" style="21" customWidth="1"/>
    <col min="550" max="550" width="0.85546875" style="21" customWidth="1"/>
    <col min="551" max="551" width="14" style="21" customWidth="1"/>
    <col min="552" max="552" width="0.85546875" style="21" customWidth="1"/>
    <col min="553" max="553" width="16" style="21" customWidth="1"/>
    <col min="554" max="554" width="0.5703125" style="21" customWidth="1"/>
    <col min="555" max="555" width="9.42578125" style="21" bestFit="1" customWidth="1"/>
    <col min="556" max="556" width="1.140625" style="21" customWidth="1"/>
    <col min="557" max="787" width="9.140625" style="21"/>
    <col min="788" max="788" width="2.140625" style="21" customWidth="1"/>
    <col min="789" max="789" width="14" style="21" customWidth="1"/>
    <col min="790" max="790" width="0.7109375" style="21" customWidth="1"/>
    <col min="791" max="791" width="17.140625" style="21" customWidth="1"/>
    <col min="792" max="792" width="1.140625" style="21" customWidth="1"/>
    <col min="793" max="793" width="18.28515625" style="21" customWidth="1"/>
    <col min="794" max="794" width="1" style="21" customWidth="1"/>
    <col min="795" max="795" width="27.5703125" style="21" customWidth="1"/>
    <col min="796" max="796" width="1" style="21" customWidth="1"/>
    <col min="797" max="797" width="12.7109375" style="21" customWidth="1"/>
    <col min="798" max="798" width="1.28515625" style="21" customWidth="1"/>
    <col min="799" max="799" width="11.42578125" style="21" customWidth="1"/>
    <col min="800" max="800" width="1" style="21" customWidth="1"/>
    <col min="801" max="801" width="10.42578125" style="21" customWidth="1"/>
    <col min="802" max="802" width="0.85546875" style="21" customWidth="1"/>
    <col min="803" max="803" width="14" style="21" customWidth="1"/>
    <col min="804" max="804" width="0.85546875" style="21" customWidth="1"/>
    <col min="805" max="805" width="10.42578125" style="21" customWidth="1"/>
    <col min="806" max="806" width="0.85546875" style="21" customWidth="1"/>
    <col min="807" max="807" width="14" style="21" customWidth="1"/>
    <col min="808" max="808" width="0.85546875" style="21" customWidth="1"/>
    <col min="809" max="809" width="16" style="21" customWidth="1"/>
    <col min="810" max="810" width="0.5703125" style="21" customWidth="1"/>
    <col min="811" max="811" width="9.42578125" style="21" bestFit="1" customWidth="1"/>
    <col min="812" max="812" width="1.140625" style="21" customWidth="1"/>
    <col min="813" max="1043" width="9.140625" style="21"/>
    <col min="1044" max="1044" width="2.140625" style="21" customWidth="1"/>
    <col min="1045" max="1045" width="14" style="21" customWidth="1"/>
    <col min="1046" max="1046" width="0.7109375" style="21" customWidth="1"/>
    <col min="1047" max="1047" width="17.140625" style="21" customWidth="1"/>
    <col min="1048" max="1048" width="1.140625" style="21" customWidth="1"/>
    <col min="1049" max="1049" width="18.28515625" style="21" customWidth="1"/>
    <col min="1050" max="1050" width="1" style="21" customWidth="1"/>
    <col min="1051" max="1051" width="27.5703125" style="21" customWidth="1"/>
    <col min="1052" max="1052" width="1" style="21" customWidth="1"/>
    <col min="1053" max="1053" width="12.7109375" style="21" customWidth="1"/>
    <col min="1054" max="1054" width="1.28515625" style="21" customWidth="1"/>
    <col min="1055" max="1055" width="11.42578125" style="21" customWidth="1"/>
    <col min="1056" max="1056" width="1" style="21" customWidth="1"/>
    <col min="1057" max="1057" width="10.42578125" style="21" customWidth="1"/>
    <col min="1058" max="1058" width="0.85546875" style="21" customWidth="1"/>
    <col min="1059" max="1059" width="14" style="21" customWidth="1"/>
    <col min="1060" max="1060" width="0.85546875" style="21" customWidth="1"/>
    <col min="1061" max="1061" width="10.42578125" style="21" customWidth="1"/>
    <col min="1062" max="1062" width="0.85546875" style="21" customWidth="1"/>
    <col min="1063" max="1063" width="14" style="21" customWidth="1"/>
    <col min="1064" max="1064" width="0.85546875" style="21" customWidth="1"/>
    <col min="1065" max="1065" width="16" style="21" customWidth="1"/>
    <col min="1066" max="1066" width="0.5703125" style="21" customWidth="1"/>
    <col min="1067" max="1067" width="9.42578125" style="21" bestFit="1" customWidth="1"/>
    <col min="1068" max="1068" width="1.140625" style="21" customWidth="1"/>
    <col min="1069" max="1299" width="9.140625" style="21"/>
    <col min="1300" max="1300" width="2.140625" style="21" customWidth="1"/>
    <col min="1301" max="1301" width="14" style="21" customWidth="1"/>
    <col min="1302" max="1302" width="0.7109375" style="21" customWidth="1"/>
    <col min="1303" max="1303" width="17.140625" style="21" customWidth="1"/>
    <col min="1304" max="1304" width="1.140625" style="21" customWidth="1"/>
    <col min="1305" max="1305" width="18.28515625" style="21" customWidth="1"/>
    <col min="1306" max="1306" width="1" style="21" customWidth="1"/>
    <col min="1307" max="1307" width="27.5703125" style="21" customWidth="1"/>
    <col min="1308" max="1308" width="1" style="21" customWidth="1"/>
    <col min="1309" max="1309" width="12.7109375" style="21" customWidth="1"/>
    <col min="1310" max="1310" width="1.28515625" style="21" customWidth="1"/>
    <col min="1311" max="1311" width="11.42578125" style="21" customWidth="1"/>
    <col min="1312" max="1312" width="1" style="21" customWidth="1"/>
    <col min="1313" max="1313" width="10.42578125" style="21" customWidth="1"/>
    <col min="1314" max="1314" width="0.85546875" style="21" customWidth="1"/>
    <col min="1315" max="1315" width="14" style="21" customWidth="1"/>
    <col min="1316" max="1316" width="0.85546875" style="21" customWidth="1"/>
    <col min="1317" max="1317" width="10.42578125" style="21" customWidth="1"/>
    <col min="1318" max="1318" width="0.85546875" style="21" customWidth="1"/>
    <col min="1319" max="1319" width="14" style="21" customWidth="1"/>
    <col min="1320" max="1320" width="0.85546875" style="21" customWidth="1"/>
    <col min="1321" max="1321" width="16" style="21" customWidth="1"/>
    <col min="1322" max="1322" width="0.5703125" style="21" customWidth="1"/>
    <col min="1323" max="1323" width="9.42578125" style="21" bestFit="1" customWidth="1"/>
    <col min="1324" max="1324" width="1.140625" style="21" customWidth="1"/>
    <col min="1325" max="1555" width="9.140625" style="21"/>
    <col min="1556" max="1556" width="2.140625" style="21" customWidth="1"/>
    <col min="1557" max="1557" width="14" style="21" customWidth="1"/>
    <col min="1558" max="1558" width="0.7109375" style="21" customWidth="1"/>
    <col min="1559" max="1559" width="17.140625" style="21" customWidth="1"/>
    <col min="1560" max="1560" width="1.140625" style="21" customWidth="1"/>
    <col min="1561" max="1561" width="18.28515625" style="21" customWidth="1"/>
    <col min="1562" max="1562" width="1" style="21" customWidth="1"/>
    <col min="1563" max="1563" width="27.5703125" style="21" customWidth="1"/>
    <col min="1564" max="1564" width="1" style="21" customWidth="1"/>
    <col min="1565" max="1565" width="12.7109375" style="21" customWidth="1"/>
    <col min="1566" max="1566" width="1.28515625" style="21" customWidth="1"/>
    <col min="1567" max="1567" width="11.42578125" style="21" customWidth="1"/>
    <col min="1568" max="1568" width="1" style="21" customWidth="1"/>
    <col min="1569" max="1569" width="10.42578125" style="21" customWidth="1"/>
    <col min="1570" max="1570" width="0.85546875" style="21" customWidth="1"/>
    <col min="1571" max="1571" width="14" style="21" customWidth="1"/>
    <col min="1572" max="1572" width="0.85546875" style="21" customWidth="1"/>
    <col min="1573" max="1573" width="10.42578125" style="21" customWidth="1"/>
    <col min="1574" max="1574" width="0.85546875" style="21" customWidth="1"/>
    <col min="1575" max="1575" width="14" style="21" customWidth="1"/>
    <col min="1576" max="1576" width="0.85546875" style="21" customWidth="1"/>
    <col min="1577" max="1577" width="16" style="21" customWidth="1"/>
    <col min="1578" max="1578" width="0.5703125" style="21" customWidth="1"/>
    <col min="1579" max="1579" width="9.42578125" style="21" bestFit="1" customWidth="1"/>
    <col min="1580" max="1580" width="1.140625" style="21" customWidth="1"/>
    <col min="1581" max="1811" width="9.140625" style="21"/>
    <col min="1812" max="1812" width="2.140625" style="21" customWidth="1"/>
    <col min="1813" max="1813" width="14" style="21" customWidth="1"/>
    <col min="1814" max="1814" width="0.7109375" style="21" customWidth="1"/>
    <col min="1815" max="1815" width="17.140625" style="21" customWidth="1"/>
    <col min="1816" max="1816" width="1.140625" style="21" customWidth="1"/>
    <col min="1817" max="1817" width="18.28515625" style="21" customWidth="1"/>
    <col min="1818" max="1818" width="1" style="21" customWidth="1"/>
    <col min="1819" max="1819" width="27.5703125" style="21" customWidth="1"/>
    <col min="1820" max="1820" width="1" style="21" customWidth="1"/>
    <col min="1821" max="1821" width="12.7109375" style="21" customWidth="1"/>
    <col min="1822" max="1822" width="1.28515625" style="21" customWidth="1"/>
    <col min="1823" max="1823" width="11.42578125" style="21" customWidth="1"/>
    <col min="1824" max="1824" width="1" style="21" customWidth="1"/>
    <col min="1825" max="1825" width="10.42578125" style="21" customWidth="1"/>
    <col min="1826" max="1826" width="0.85546875" style="21" customWidth="1"/>
    <col min="1827" max="1827" width="14" style="21" customWidth="1"/>
    <col min="1828" max="1828" width="0.85546875" style="21" customWidth="1"/>
    <col min="1829" max="1829" width="10.42578125" style="21" customWidth="1"/>
    <col min="1830" max="1830" width="0.85546875" style="21" customWidth="1"/>
    <col min="1831" max="1831" width="14" style="21" customWidth="1"/>
    <col min="1832" max="1832" width="0.85546875" style="21" customWidth="1"/>
    <col min="1833" max="1833" width="16" style="21" customWidth="1"/>
    <col min="1834" max="1834" width="0.5703125" style="21" customWidth="1"/>
    <col min="1835" max="1835" width="9.42578125" style="21" bestFit="1" customWidth="1"/>
    <col min="1836" max="1836" width="1.140625" style="21" customWidth="1"/>
    <col min="1837" max="2067" width="9.140625" style="21"/>
    <col min="2068" max="2068" width="2.140625" style="21" customWidth="1"/>
    <col min="2069" max="2069" width="14" style="21" customWidth="1"/>
    <col min="2070" max="2070" width="0.7109375" style="21" customWidth="1"/>
    <col min="2071" max="2071" width="17.140625" style="21" customWidth="1"/>
    <col min="2072" max="2072" width="1.140625" style="21" customWidth="1"/>
    <col min="2073" max="2073" width="18.28515625" style="21" customWidth="1"/>
    <col min="2074" max="2074" width="1" style="21" customWidth="1"/>
    <col min="2075" max="2075" width="27.5703125" style="21" customWidth="1"/>
    <col min="2076" max="2076" width="1" style="21" customWidth="1"/>
    <col min="2077" max="2077" width="12.7109375" style="21" customWidth="1"/>
    <col min="2078" max="2078" width="1.28515625" style="21" customWidth="1"/>
    <col min="2079" max="2079" width="11.42578125" style="21" customWidth="1"/>
    <col min="2080" max="2080" width="1" style="21" customWidth="1"/>
    <col min="2081" max="2081" width="10.42578125" style="21" customWidth="1"/>
    <col min="2082" max="2082" width="0.85546875" style="21" customWidth="1"/>
    <col min="2083" max="2083" width="14" style="21" customWidth="1"/>
    <col min="2084" max="2084" width="0.85546875" style="21" customWidth="1"/>
    <col min="2085" max="2085" width="10.42578125" style="21" customWidth="1"/>
    <col min="2086" max="2086" width="0.85546875" style="21" customWidth="1"/>
    <col min="2087" max="2087" width="14" style="21" customWidth="1"/>
    <col min="2088" max="2088" width="0.85546875" style="21" customWidth="1"/>
    <col min="2089" max="2089" width="16" style="21" customWidth="1"/>
    <col min="2090" max="2090" width="0.5703125" style="21" customWidth="1"/>
    <col min="2091" max="2091" width="9.42578125" style="21" bestFit="1" customWidth="1"/>
    <col min="2092" max="2092" width="1.140625" style="21" customWidth="1"/>
    <col min="2093" max="2323" width="9.140625" style="21"/>
    <col min="2324" max="2324" width="2.140625" style="21" customWidth="1"/>
    <col min="2325" max="2325" width="14" style="21" customWidth="1"/>
    <col min="2326" max="2326" width="0.7109375" style="21" customWidth="1"/>
    <col min="2327" max="2327" width="17.140625" style="21" customWidth="1"/>
    <col min="2328" max="2328" width="1.140625" style="21" customWidth="1"/>
    <col min="2329" max="2329" width="18.28515625" style="21" customWidth="1"/>
    <col min="2330" max="2330" width="1" style="21" customWidth="1"/>
    <col min="2331" max="2331" width="27.5703125" style="21" customWidth="1"/>
    <col min="2332" max="2332" width="1" style="21" customWidth="1"/>
    <col min="2333" max="2333" width="12.7109375" style="21" customWidth="1"/>
    <col min="2334" max="2334" width="1.28515625" style="21" customWidth="1"/>
    <col min="2335" max="2335" width="11.42578125" style="21" customWidth="1"/>
    <col min="2336" max="2336" width="1" style="21" customWidth="1"/>
    <col min="2337" max="2337" width="10.42578125" style="21" customWidth="1"/>
    <col min="2338" max="2338" width="0.85546875" style="21" customWidth="1"/>
    <col min="2339" max="2339" width="14" style="21" customWidth="1"/>
    <col min="2340" max="2340" width="0.85546875" style="21" customWidth="1"/>
    <col min="2341" max="2341" width="10.42578125" style="21" customWidth="1"/>
    <col min="2342" max="2342" width="0.85546875" style="21" customWidth="1"/>
    <col min="2343" max="2343" width="14" style="21" customWidth="1"/>
    <col min="2344" max="2344" width="0.85546875" style="21" customWidth="1"/>
    <col min="2345" max="2345" width="16" style="21" customWidth="1"/>
    <col min="2346" max="2346" width="0.5703125" style="21" customWidth="1"/>
    <col min="2347" max="2347" width="9.42578125" style="21" bestFit="1" customWidth="1"/>
    <col min="2348" max="2348" width="1.140625" style="21" customWidth="1"/>
    <col min="2349" max="2579" width="9.140625" style="21"/>
    <col min="2580" max="2580" width="2.140625" style="21" customWidth="1"/>
    <col min="2581" max="2581" width="14" style="21" customWidth="1"/>
    <col min="2582" max="2582" width="0.7109375" style="21" customWidth="1"/>
    <col min="2583" max="2583" width="17.140625" style="21" customWidth="1"/>
    <col min="2584" max="2584" width="1.140625" style="21" customWidth="1"/>
    <col min="2585" max="2585" width="18.28515625" style="21" customWidth="1"/>
    <col min="2586" max="2586" width="1" style="21" customWidth="1"/>
    <col min="2587" max="2587" width="27.5703125" style="21" customWidth="1"/>
    <col min="2588" max="2588" width="1" style="21" customWidth="1"/>
    <col min="2589" max="2589" width="12.7109375" style="21" customWidth="1"/>
    <col min="2590" max="2590" width="1.28515625" style="21" customWidth="1"/>
    <col min="2591" max="2591" width="11.42578125" style="21" customWidth="1"/>
    <col min="2592" max="2592" width="1" style="21" customWidth="1"/>
    <col min="2593" max="2593" width="10.42578125" style="21" customWidth="1"/>
    <col min="2594" max="2594" width="0.85546875" style="21" customWidth="1"/>
    <col min="2595" max="2595" width="14" style="21" customWidth="1"/>
    <col min="2596" max="2596" width="0.85546875" style="21" customWidth="1"/>
    <col min="2597" max="2597" width="10.42578125" style="21" customWidth="1"/>
    <col min="2598" max="2598" width="0.85546875" style="21" customWidth="1"/>
    <col min="2599" max="2599" width="14" style="21" customWidth="1"/>
    <col min="2600" max="2600" width="0.85546875" style="21" customWidth="1"/>
    <col min="2601" max="2601" width="16" style="21" customWidth="1"/>
    <col min="2602" max="2602" width="0.5703125" style="21" customWidth="1"/>
    <col min="2603" max="2603" width="9.42578125" style="21" bestFit="1" customWidth="1"/>
    <col min="2604" max="2604" width="1.140625" style="21" customWidth="1"/>
    <col min="2605" max="2835" width="9.140625" style="21"/>
    <col min="2836" max="2836" width="2.140625" style="21" customWidth="1"/>
    <col min="2837" max="2837" width="14" style="21" customWidth="1"/>
    <col min="2838" max="2838" width="0.7109375" style="21" customWidth="1"/>
    <col min="2839" max="2839" width="17.140625" style="21" customWidth="1"/>
    <col min="2840" max="2840" width="1.140625" style="21" customWidth="1"/>
    <col min="2841" max="2841" width="18.28515625" style="21" customWidth="1"/>
    <col min="2842" max="2842" width="1" style="21" customWidth="1"/>
    <col min="2843" max="2843" width="27.5703125" style="21" customWidth="1"/>
    <col min="2844" max="2844" width="1" style="21" customWidth="1"/>
    <col min="2845" max="2845" width="12.7109375" style="21" customWidth="1"/>
    <col min="2846" max="2846" width="1.28515625" style="21" customWidth="1"/>
    <col min="2847" max="2847" width="11.42578125" style="21" customWidth="1"/>
    <col min="2848" max="2848" width="1" style="21" customWidth="1"/>
    <col min="2849" max="2849" width="10.42578125" style="21" customWidth="1"/>
    <col min="2850" max="2850" width="0.85546875" style="21" customWidth="1"/>
    <col min="2851" max="2851" width="14" style="21" customWidth="1"/>
    <col min="2852" max="2852" width="0.85546875" style="21" customWidth="1"/>
    <col min="2853" max="2853" width="10.42578125" style="21" customWidth="1"/>
    <col min="2854" max="2854" width="0.85546875" style="21" customWidth="1"/>
    <col min="2855" max="2855" width="14" style="21" customWidth="1"/>
    <col min="2856" max="2856" width="0.85546875" style="21" customWidth="1"/>
    <col min="2857" max="2857" width="16" style="21" customWidth="1"/>
    <col min="2858" max="2858" width="0.5703125" style="21" customWidth="1"/>
    <col min="2859" max="2859" width="9.42578125" style="21" bestFit="1" customWidth="1"/>
    <col min="2860" max="2860" width="1.140625" style="21" customWidth="1"/>
    <col min="2861" max="3091" width="9.140625" style="21"/>
    <col min="3092" max="3092" width="2.140625" style="21" customWidth="1"/>
    <col min="3093" max="3093" width="14" style="21" customWidth="1"/>
    <col min="3094" max="3094" width="0.7109375" style="21" customWidth="1"/>
    <col min="3095" max="3095" width="17.140625" style="21" customWidth="1"/>
    <col min="3096" max="3096" width="1.140625" style="21" customWidth="1"/>
    <col min="3097" max="3097" width="18.28515625" style="21" customWidth="1"/>
    <col min="3098" max="3098" width="1" style="21" customWidth="1"/>
    <col min="3099" max="3099" width="27.5703125" style="21" customWidth="1"/>
    <col min="3100" max="3100" width="1" style="21" customWidth="1"/>
    <col min="3101" max="3101" width="12.7109375" style="21" customWidth="1"/>
    <col min="3102" max="3102" width="1.28515625" style="21" customWidth="1"/>
    <col min="3103" max="3103" width="11.42578125" style="21" customWidth="1"/>
    <col min="3104" max="3104" width="1" style="21" customWidth="1"/>
    <col min="3105" max="3105" width="10.42578125" style="21" customWidth="1"/>
    <col min="3106" max="3106" width="0.85546875" style="21" customWidth="1"/>
    <col min="3107" max="3107" width="14" style="21" customWidth="1"/>
    <col min="3108" max="3108" width="0.85546875" style="21" customWidth="1"/>
    <col min="3109" max="3109" width="10.42578125" style="21" customWidth="1"/>
    <col min="3110" max="3110" width="0.85546875" style="21" customWidth="1"/>
    <col min="3111" max="3111" width="14" style="21" customWidth="1"/>
    <col min="3112" max="3112" width="0.85546875" style="21" customWidth="1"/>
    <col min="3113" max="3113" width="16" style="21" customWidth="1"/>
    <col min="3114" max="3114" width="0.5703125" style="21" customWidth="1"/>
    <col min="3115" max="3115" width="9.42578125" style="21" bestFit="1" customWidth="1"/>
    <col min="3116" max="3116" width="1.140625" style="21" customWidth="1"/>
    <col min="3117" max="3347" width="9.140625" style="21"/>
    <col min="3348" max="3348" width="2.140625" style="21" customWidth="1"/>
    <col min="3349" max="3349" width="14" style="21" customWidth="1"/>
    <col min="3350" max="3350" width="0.7109375" style="21" customWidth="1"/>
    <col min="3351" max="3351" width="17.140625" style="21" customWidth="1"/>
    <col min="3352" max="3352" width="1.140625" style="21" customWidth="1"/>
    <col min="3353" max="3353" width="18.28515625" style="21" customWidth="1"/>
    <col min="3354" max="3354" width="1" style="21" customWidth="1"/>
    <col min="3355" max="3355" width="27.5703125" style="21" customWidth="1"/>
    <col min="3356" max="3356" width="1" style="21" customWidth="1"/>
    <col min="3357" max="3357" width="12.7109375" style="21" customWidth="1"/>
    <col min="3358" max="3358" width="1.28515625" style="21" customWidth="1"/>
    <col min="3359" max="3359" width="11.42578125" style="21" customWidth="1"/>
    <col min="3360" max="3360" width="1" style="21" customWidth="1"/>
    <col min="3361" max="3361" width="10.42578125" style="21" customWidth="1"/>
    <col min="3362" max="3362" width="0.85546875" style="21" customWidth="1"/>
    <col min="3363" max="3363" width="14" style="21" customWidth="1"/>
    <col min="3364" max="3364" width="0.85546875" style="21" customWidth="1"/>
    <col min="3365" max="3365" width="10.42578125" style="21" customWidth="1"/>
    <col min="3366" max="3366" width="0.85546875" style="21" customWidth="1"/>
    <col min="3367" max="3367" width="14" style="21" customWidth="1"/>
    <col min="3368" max="3368" width="0.85546875" style="21" customWidth="1"/>
    <col min="3369" max="3369" width="16" style="21" customWidth="1"/>
    <col min="3370" max="3370" width="0.5703125" style="21" customWidth="1"/>
    <col min="3371" max="3371" width="9.42578125" style="21" bestFit="1" customWidth="1"/>
    <col min="3372" max="3372" width="1.140625" style="21" customWidth="1"/>
    <col min="3373" max="3603" width="9.140625" style="21"/>
    <col min="3604" max="3604" width="2.140625" style="21" customWidth="1"/>
    <col min="3605" max="3605" width="14" style="21" customWidth="1"/>
    <col min="3606" max="3606" width="0.7109375" style="21" customWidth="1"/>
    <col min="3607" max="3607" width="17.140625" style="21" customWidth="1"/>
    <col min="3608" max="3608" width="1.140625" style="21" customWidth="1"/>
    <col min="3609" max="3609" width="18.28515625" style="21" customWidth="1"/>
    <col min="3610" max="3610" width="1" style="21" customWidth="1"/>
    <col min="3611" max="3611" width="27.5703125" style="21" customWidth="1"/>
    <col min="3612" max="3612" width="1" style="21" customWidth="1"/>
    <col min="3613" max="3613" width="12.7109375" style="21" customWidth="1"/>
    <col min="3614" max="3614" width="1.28515625" style="21" customWidth="1"/>
    <col min="3615" max="3615" width="11.42578125" style="21" customWidth="1"/>
    <col min="3616" max="3616" width="1" style="21" customWidth="1"/>
    <col min="3617" max="3617" width="10.42578125" style="21" customWidth="1"/>
    <col min="3618" max="3618" width="0.85546875" style="21" customWidth="1"/>
    <col min="3619" max="3619" width="14" style="21" customWidth="1"/>
    <col min="3620" max="3620" width="0.85546875" style="21" customWidth="1"/>
    <col min="3621" max="3621" width="10.42578125" style="21" customWidth="1"/>
    <col min="3622" max="3622" width="0.85546875" style="21" customWidth="1"/>
    <col min="3623" max="3623" width="14" style="21" customWidth="1"/>
    <col min="3624" max="3624" width="0.85546875" style="21" customWidth="1"/>
    <col min="3625" max="3625" width="16" style="21" customWidth="1"/>
    <col min="3626" max="3626" width="0.5703125" style="21" customWidth="1"/>
    <col min="3627" max="3627" width="9.42578125" style="21" bestFit="1" customWidth="1"/>
    <col min="3628" max="3628" width="1.140625" style="21" customWidth="1"/>
    <col min="3629" max="3859" width="9.140625" style="21"/>
    <col min="3860" max="3860" width="2.140625" style="21" customWidth="1"/>
    <col min="3861" max="3861" width="14" style="21" customWidth="1"/>
    <col min="3862" max="3862" width="0.7109375" style="21" customWidth="1"/>
    <col min="3863" max="3863" width="17.140625" style="21" customWidth="1"/>
    <col min="3864" max="3864" width="1.140625" style="21" customWidth="1"/>
    <col min="3865" max="3865" width="18.28515625" style="21" customWidth="1"/>
    <col min="3866" max="3866" width="1" style="21" customWidth="1"/>
    <col min="3867" max="3867" width="27.5703125" style="21" customWidth="1"/>
    <col min="3868" max="3868" width="1" style="21" customWidth="1"/>
    <col min="3869" max="3869" width="12.7109375" style="21" customWidth="1"/>
    <col min="3870" max="3870" width="1.28515625" style="21" customWidth="1"/>
    <col min="3871" max="3871" width="11.42578125" style="21" customWidth="1"/>
    <col min="3872" max="3872" width="1" style="21" customWidth="1"/>
    <col min="3873" max="3873" width="10.42578125" style="21" customWidth="1"/>
    <col min="3874" max="3874" width="0.85546875" style="21" customWidth="1"/>
    <col min="3875" max="3875" width="14" style="21" customWidth="1"/>
    <col min="3876" max="3876" width="0.85546875" style="21" customWidth="1"/>
    <col min="3877" max="3877" width="10.42578125" style="21" customWidth="1"/>
    <col min="3878" max="3878" width="0.85546875" style="21" customWidth="1"/>
    <col min="3879" max="3879" width="14" style="21" customWidth="1"/>
    <col min="3880" max="3880" width="0.85546875" style="21" customWidth="1"/>
    <col min="3881" max="3881" width="16" style="21" customWidth="1"/>
    <col min="3882" max="3882" width="0.5703125" style="21" customWidth="1"/>
    <col min="3883" max="3883" width="9.42578125" style="21" bestFit="1" customWidth="1"/>
    <col min="3884" max="3884" width="1.140625" style="21" customWidth="1"/>
    <col min="3885" max="4115" width="9.140625" style="21"/>
    <col min="4116" max="4116" width="2.140625" style="21" customWidth="1"/>
    <col min="4117" max="4117" width="14" style="21" customWidth="1"/>
    <col min="4118" max="4118" width="0.7109375" style="21" customWidth="1"/>
    <col min="4119" max="4119" width="17.140625" style="21" customWidth="1"/>
    <col min="4120" max="4120" width="1.140625" style="21" customWidth="1"/>
    <col min="4121" max="4121" width="18.28515625" style="21" customWidth="1"/>
    <col min="4122" max="4122" width="1" style="21" customWidth="1"/>
    <col min="4123" max="4123" width="27.5703125" style="21" customWidth="1"/>
    <col min="4124" max="4124" width="1" style="21" customWidth="1"/>
    <col min="4125" max="4125" width="12.7109375" style="21" customWidth="1"/>
    <col min="4126" max="4126" width="1.28515625" style="21" customWidth="1"/>
    <col min="4127" max="4127" width="11.42578125" style="21" customWidth="1"/>
    <col min="4128" max="4128" width="1" style="21" customWidth="1"/>
    <col min="4129" max="4129" width="10.42578125" style="21" customWidth="1"/>
    <col min="4130" max="4130" width="0.85546875" style="21" customWidth="1"/>
    <col min="4131" max="4131" width="14" style="21" customWidth="1"/>
    <col min="4132" max="4132" width="0.85546875" style="21" customWidth="1"/>
    <col min="4133" max="4133" width="10.42578125" style="21" customWidth="1"/>
    <col min="4134" max="4134" width="0.85546875" style="21" customWidth="1"/>
    <col min="4135" max="4135" width="14" style="21" customWidth="1"/>
    <col min="4136" max="4136" width="0.85546875" style="21" customWidth="1"/>
    <col min="4137" max="4137" width="16" style="21" customWidth="1"/>
    <col min="4138" max="4138" width="0.5703125" style="21" customWidth="1"/>
    <col min="4139" max="4139" width="9.42578125" style="21" bestFit="1" customWidth="1"/>
    <col min="4140" max="4140" width="1.140625" style="21" customWidth="1"/>
    <col min="4141" max="4371" width="9.140625" style="21"/>
    <col min="4372" max="4372" width="2.140625" style="21" customWidth="1"/>
    <col min="4373" max="4373" width="14" style="21" customWidth="1"/>
    <col min="4374" max="4374" width="0.7109375" style="21" customWidth="1"/>
    <col min="4375" max="4375" width="17.140625" style="21" customWidth="1"/>
    <col min="4376" max="4376" width="1.140625" style="21" customWidth="1"/>
    <col min="4377" max="4377" width="18.28515625" style="21" customWidth="1"/>
    <col min="4378" max="4378" width="1" style="21" customWidth="1"/>
    <col min="4379" max="4379" width="27.5703125" style="21" customWidth="1"/>
    <col min="4380" max="4380" width="1" style="21" customWidth="1"/>
    <col min="4381" max="4381" width="12.7109375" style="21" customWidth="1"/>
    <col min="4382" max="4382" width="1.28515625" style="21" customWidth="1"/>
    <col min="4383" max="4383" width="11.42578125" style="21" customWidth="1"/>
    <col min="4384" max="4384" width="1" style="21" customWidth="1"/>
    <col min="4385" max="4385" width="10.42578125" style="21" customWidth="1"/>
    <col min="4386" max="4386" width="0.85546875" style="21" customWidth="1"/>
    <col min="4387" max="4387" width="14" style="21" customWidth="1"/>
    <col min="4388" max="4388" width="0.85546875" style="21" customWidth="1"/>
    <col min="4389" max="4389" width="10.42578125" style="21" customWidth="1"/>
    <col min="4390" max="4390" width="0.85546875" style="21" customWidth="1"/>
    <col min="4391" max="4391" width="14" style="21" customWidth="1"/>
    <col min="4392" max="4392" width="0.85546875" style="21" customWidth="1"/>
    <col min="4393" max="4393" width="16" style="21" customWidth="1"/>
    <col min="4394" max="4394" width="0.5703125" style="21" customWidth="1"/>
    <col min="4395" max="4395" width="9.42578125" style="21" bestFit="1" customWidth="1"/>
    <col min="4396" max="4396" width="1.140625" style="21" customWidth="1"/>
    <col min="4397" max="4627" width="9.140625" style="21"/>
    <col min="4628" max="4628" width="2.140625" style="21" customWidth="1"/>
    <col min="4629" max="4629" width="14" style="21" customWidth="1"/>
    <col min="4630" max="4630" width="0.7109375" style="21" customWidth="1"/>
    <col min="4631" max="4631" width="17.140625" style="21" customWidth="1"/>
    <col min="4632" max="4632" width="1.140625" style="21" customWidth="1"/>
    <col min="4633" max="4633" width="18.28515625" style="21" customWidth="1"/>
    <col min="4634" max="4634" width="1" style="21" customWidth="1"/>
    <col min="4635" max="4635" width="27.5703125" style="21" customWidth="1"/>
    <col min="4636" max="4636" width="1" style="21" customWidth="1"/>
    <col min="4637" max="4637" width="12.7109375" style="21" customWidth="1"/>
    <col min="4638" max="4638" width="1.28515625" style="21" customWidth="1"/>
    <col min="4639" max="4639" width="11.42578125" style="21" customWidth="1"/>
    <col min="4640" max="4640" width="1" style="21" customWidth="1"/>
    <col min="4641" max="4641" width="10.42578125" style="21" customWidth="1"/>
    <col min="4642" max="4642" width="0.85546875" style="21" customWidth="1"/>
    <col min="4643" max="4643" width="14" style="21" customWidth="1"/>
    <col min="4644" max="4644" width="0.85546875" style="21" customWidth="1"/>
    <col min="4645" max="4645" width="10.42578125" style="21" customWidth="1"/>
    <col min="4646" max="4646" width="0.85546875" style="21" customWidth="1"/>
    <col min="4647" max="4647" width="14" style="21" customWidth="1"/>
    <col min="4648" max="4648" width="0.85546875" style="21" customWidth="1"/>
    <col min="4649" max="4649" width="16" style="21" customWidth="1"/>
    <col min="4650" max="4650" width="0.5703125" style="21" customWidth="1"/>
    <col min="4651" max="4651" width="9.42578125" style="21" bestFit="1" customWidth="1"/>
    <col min="4652" max="4652" width="1.140625" style="21" customWidth="1"/>
    <col min="4653" max="4883" width="9.140625" style="21"/>
    <col min="4884" max="4884" width="2.140625" style="21" customWidth="1"/>
    <col min="4885" max="4885" width="14" style="21" customWidth="1"/>
    <col min="4886" max="4886" width="0.7109375" style="21" customWidth="1"/>
    <col min="4887" max="4887" width="17.140625" style="21" customWidth="1"/>
    <col min="4888" max="4888" width="1.140625" style="21" customWidth="1"/>
    <col min="4889" max="4889" width="18.28515625" style="21" customWidth="1"/>
    <col min="4890" max="4890" width="1" style="21" customWidth="1"/>
    <col min="4891" max="4891" width="27.5703125" style="21" customWidth="1"/>
    <col min="4892" max="4892" width="1" style="21" customWidth="1"/>
    <col min="4893" max="4893" width="12.7109375" style="21" customWidth="1"/>
    <col min="4894" max="4894" width="1.28515625" style="21" customWidth="1"/>
    <col min="4895" max="4895" width="11.42578125" style="21" customWidth="1"/>
    <col min="4896" max="4896" width="1" style="21" customWidth="1"/>
    <col min="4897" max="4897" width="10.42578125" style="21" customWidth="1"/>
    <col min="4898" max="4898" width="0.85546875" style="21" customWidth="1"/>
    <col min="4899" max="4899" width="14" style="21" customWidth="1"/>
    <col min="4900" max="4900" width="0.85546875" style="21" customWidth="1"/>
    <col min="4901" max="4901" width="10.42578125" style="21" customWidth="1"/>
    <col min="4902" max="4902" width="0.85546875" style="21" customWidth="1"/>
    <col min="4903" max="4903" width="14" style="21" customWidth="1"/>
    <col min="4904" max="4904" width="0.85546875" style="21" customWidth="1"/>
    <col min="4905" max="4905" width="16" style="21" customWidth="1"/>
    <col min="4906" max="4906" width="0.5703125" style="21" customWidth="1"/>
    <col min="4907" max="4907" width="9.42578125" style="21" bestFit="1" customWidth="1"/>
    <col min="4908" max="4908" width="1.140625" style="21" customWidth="1"/>
    <col min="4909" max="5139" width="9.140625" style="21"/>
    <col min="5140" max="5140" width="2.140625" style="21" customWidth="1"/>
    <col min="5141" max="5141" width="14" style="21" customWidth="1"/>
    <col min="5142" max="5142" width="0.7109375" style="21" customWidth="1"/>
    <col min="5143" max="5143" width="17.140625" style="21" customWidth="1"/>
    <col min="5144" max="5144" width="1.140625" style="21" customWidth="1"/>
    <col min="5145" max="5145" width="18.28515625" style="21" customWidth="1"/>
    <col min="5146" max="5146" width="1" style="21" customWidth="1"/>
    <col min="5147" max="5147" width="27.5703125" style="21" customWidth="1"/>
    <col min="5148" max="5148" width="1" style="21" customWidth="1"/>
    <col min="5149" max="5149" width="12.7109375" style="21" customWidth="1"/>
    <col min="5150" max="5150" width="1.28515625" style="21" customWidth="1"/>
    <col min="5151" max="5151" width="11.42578125" style="21" customWidth="1"/>
    <col min="5152" max="5152" width="1" style="21" customWidth="1"/>
    <col min="5153" max="5153" width="10.42578125" style="21" customWidth="1"/>
    <col min="5154" max="5154" width="0.85546875" style="21" customWidth="1"/>
    <col min="5155" max="5155" width="14" style="21" customWidth="1"/>
    <col min="5156" max="5156" width="0.85546875" style="21" customWidth="1"/>
    <col min="5157" max="5157" width="10.42578125" style="21" customWidth="1"/>
    <col min="5158" max="5158" width="0.85546875" style="21" customWidth="1"/>
    <col min="5159" max="5159" width="14" style="21" customWidth="1"/>
    <col min="5160" max="5160" width="0.85546875" style="21" customWidth="1"/>
    <col min="5161" max="5161" width="16" style="21" customWidth="1"/>
    <col min="5162" max="5162" width="0.5703125" style="21" customWidth="1"/>
    <col min="5163" max="5163" width="9.42578125" style="21" bestFit="1" customWidth="1"/>
    <col min="5164" max="5164" width="1.140625" style="21" customWidth="1"/>
    <col min="5165" max="5395" width="9.140625" style="21"/>
    <col min="5396" max="5396" width="2.140625" style="21" customWidth="1"/>
    <col min="5397" max="5397" width="14" style="21" customWidth="1"/>
    <col min="5398" max="5398" width="0.7109375" style="21" customWidth="1"/>
    <col min="5399" max="5399" width="17.140625" style="21" customWidth="1"/>
    <col min="5400" max="5400" width="1.140625" style="21" customWidth="1"/>
    <col min="5401" max="5401" width="18.28515625" style="21" customWidth="1"/>
    <col min="5402" max="5402" width="1" style="21" customWidth="1"/>
    <col min="5403" max="5403" width="27.5703125" style="21" customWidth="1"/>
    <col min="5404" max="5404" width="1" style="21" customWidth="1"/>
    <col min="5405" max="5405" width="12.7109375" style="21" customWidth="1"/>
    <col min="5406" max="5406" width="1.28515625" style="21" customWidth="1"/>
    <col min="5407" max="5407" width="11.42578125" style="21" customWidth="1"/>
    <col min="5408" max="5408" width="1" style="21" customWidth="1"/>
    <col min="5409" max="5409" width="10.42578125" style="21" customWidth="1"/>
    <col min="5410" max="5410" width="0.85546875" style="21" customWidth="1"/>
    <col min="5411" max="5411" width="14" style="21" customWidth="1"/>
    <col min="5412" max="5412" width="0.85546875" style="21" customWidth="1"/>
    <col min="5413" max="5413" width="10.42578125" style="21" customWidth="1"/>
    <col min="5414" max="5414" width="0.85546875" style="21" customWidth="1"/>
    <col min="5415" max="5415" width="14" style="21" customWidth="1"/>
    <col min="5416" max="5416" width="0.85546875" style="21" customWidth="1"/>
    <col min="5417" max="5417" width="16" style="21" customWidth="1"/>
    <col min="5418" max="5418" width="0.5703125" style="21" customWidth="1"/>
    <col min="5419" max="5419" width="9.42578125" style="21" bestFit="1" customWidth="1"/>
    <col min="5420" max="5420" width="1.140625" style="21" customWidth="1"/>
    <col min="5421" max="5651" width="9.140625" style="21"/>
    <col min="5652" max="5652" width="2.140625" style="21" customWidth="1"/>
    <col min="5653" max="5653" width="14" style="21" customWidth="1"/>
    <col min="5654" max="5654" width="0.7109375" style="21" customWidth="1"/>
    <col min="5655" max="5655" width="17.140625" style="21" customWidth="1"/>
    <col min="5656" max="5656" width="1.140625" style="21" customWidth="1"/>
    <col min="5657" max="5657" width="18.28515625" style="21" customWidth="1"/>
    <col min="5658" max="5658" width="1" style="21" customWidth="1"/>
    <col min="5659" max="5659" width="27.5703125" style="21" customWidth="1"/>
    <col min="5660" max="5660" width="1" style="21" customWidth="1"/>
    <col min="5661" max="5661" width="12.7109375" style="21" customWidth="1"/>
    <col min="5662" max="5662" width="1.28515625" style="21" customWidth="1"/>
    <col min="5663" max="5663" width="11.42578125" style="21" customWidth="1"/>
    <col min="5664" max="5664" width="1" style="21" customWidth="1"/>
    <col min="5665" max="5665" width="10.42578125" style="21" customWidth="1"/>
    <col min="5666" max="5666" width="0.85546875" style="21" customWidth="1"/>
    <col min="5667" max="5667" width="14" style="21" customWidth="1"/>
    <col min="5668" max="5668" width="0.85546875" style="21" customWidth="1"/>
    <col min="5669" max="5669" width="10.42578125" style="21" customWidth="1"/>
    <col min="5670" max="5670" width="0.85546875" style="21" customWidth="1"/>
    <col min="5671" max="5671" width="14" style="21" customWidth="1"/>
    <col min="5672" max="5672" width="0.85546875" style="21" customWidth="1"/>
    <col min="5673" max="5673" width="16" style="21" customWidth="1"/>
    <col min="5674" max="5674" width="0.5703125" style="21" customWidth="1"/>
    <col min="5675" max="5675" width="9.42578125" style="21" bestFit="1" customWidth="1"/>
    <col min="5676" max="5676" width="1.140625" style="21" customWidth="1"/>
    <col min="5677" max="5907" width="9.140625" style="21"/>
    <col min="5908" max="5908" width="2.140625" style="21" customWidth="1"/>
    <col min="5909" max="5909" width="14" style="21" customWidth="1"/>
    <col min="5910" max="5910" width="0.7109375" style="21" customWidth="1"/>
    <col min="5911" max="5911" width="17.140625" style="21" customWidth="1"/>
    <col min="5912" max="5912" width="1.140625" style="21" customWidth="1"/>
    <col min="5913" max="5913" width="18.28515625" style="21" customWidth="1"/>
    <col min="5914" max="5914" width="1" style="21" customWidth="1"/>
    <col min="5915" max="5915" width="27.5703125" style="21" customWidth="1"/>
    <col min="5916" max="5916" width="1" style="21" customWidth="1"/>
    <col min="5917" max="5917" width="12.7109375" style="21" customWidth="1"/>
    <col min="5918" max="5918" width="1.28515625" style="21" customWidth="1"/>
    <col min="5919" max="5919" width="11.42578125" style="21" customWidth="1"/>
    <col min="5920" max="5920" width="1" style="21" customWidth="1"/>
    <col min="5921" max="5921" width="10.42578125" style="21" customWidth="1"/>
    <col min="5922" max="5922" width="0.85546875" style="21" customWidth="1"/>
    <col min="5923" max="5923" width="14" style="21" customWidth="1"/>
    <col min="5924" max="5924" width="0.85546875" style="21" customWidth="1"/>
    <col min="5925" max="5925" width="10.42578125" style="21" customWidth="1"/>
    <col min="5926" max="5926" width="0.85546875" style="21" customWidth="1"/>
    <col min="5927" max="5927" width="14" style="21" customWidth="1"/>
    <col min="5928" max="5928" width="0.85546875" style="21" customWidth="1"/>
    <col min="5929" max="5929" width="16" style="21" customWidth="1"/>
    <col min="5930" max="5930" width="0.5703125" style="21" customWidth="1"/>
    <col min="5931" max="5931" width="9.42578125" style="21" bestFit="1" customWidth="1"/>
    <col min="5932" max="5932" width="1.140625" style="21" customWidth="1"/>
    <col min="5933" max="6163" width="9.140625" style="21"/>
    <col min="6164" max="6164" width="2.140625" style="21" customWidth="1"/>
    <col min="6165" max="6165" width="14" style="21" customWidth="1"/>
    <col min="6166" max="6166" width="0.7109375" style="21" customWidth="1"/>
    <col min="6167" max="6167" width="17.140625" style="21" customWidth="1"/>
    <col min="6168" max="6168" width="1.140625" style="21" customWidth="1"/>
    <col min="6169" max="6169" width="18.28515625" style="21" customWidth="1"/>
    <col min="6170" max="6170" width="1" style="21" customWidth="1"/>
    <col min="6171" max="6171" width="27.5703125" style="21" customWidth="1"/>
    <col min="6172" max="6172" width="1" style="21" customWidth="1"/>
    <col min="6173" max="6173" width="12.7109375" style="21" customWidth="1"/>
    <col min="6174" max="6174" width="1.28515625" style="21" customWidth="1"/>
    <col min="6175" max="6175" width="11.42578125" style="21" customWidth="1"/>
    <col min="6176" max="6176" width="1" style="21" customWidth="1"/>
    <col min="6177" max="6177" width="10.42578125" style="21" customWidth="1"/>
    <col min="6178" max="6178" width="0.85546875" style="21" customWidth="1"/>
    <col min="6179" max="6179" width="14" style="21" customWidth="1"/>
    <col min="6180" max="6180" width="0.85546875" style="21" customWidth="1"/>
    <col min="6181" max="6181" width="10.42578125" style="21" customWidth="1"/>
    <col min="6182" max="6182" width="0.85546875" style="21" customWidth="1"/>
    <col min="6183" max="6183" width="14" style="21" customWidth="1"/>
    <col min="6184" max="6184" width="0.85546875" style="21" customWidth="1"/>
    <col min="6185" max="6185" width="16" style="21" customWidth="1"/>
    <col min="6186" max="6186" width="0.5703125" style="21" customWidth="1"/>
    <col min="6187" max="6187" width="9.42578125" style="21" bestFit="1" customWidth="1"/>
    <col min="6188" max="6188" width="1.140625" style="21" customWidth="1"/>
    <col min="6189" max="6419" width="9.140625" style="21"/>
    <col min="6420" max="6420" width="2.140625" style="21" customWidth="1"/>
    <col min="6421" max="6421" width="14" style="21" customWidth="1"/>
    <col min="6422" max="6422" width="0.7109375" style="21" customWidth="1"/>
    <col min="6423" max="6423" width="17.140625" style="21" customWidth="1"/>
    <col min="6424" max="6424" width="1.140625" style="21" customWidth="1"/>
    <col min="6425" max="6425" width="18.28515625" style="21" customWidth="1"/>
    <col min="6426" max="6426" width="1" style="21" customWidth="1"/>
    <col min="6427" max="6427" width="27.5703125" style="21" customWidth="1"/>
    <col min="6428" max="6428" width="1" style="21" customWidth="1"/>
    <col min="6429" max="6429" width="12.7109375" style="21" customWidth="1"/>
    <col min="6430" max="6430" width="1.28515625" style="21" customWidth="1"/>
    <col min="6431" max="6431" width="11.42578125" style="21" customWidth="1"/>
    <col min="6432" max="6432" width="1" style="21" customWidth="1"/>
    <col min="6433" max="6433" width="10.42578125" style="21" customWidth="1"/>
    <col min="6434" max="6434" width="0.85546875" style="21" customWidth="1"/>
    <col min="6435" max="6435" width="14" style="21" customWidth="1"/>
    <col min="6436" max="6436" width="0.85546875" style="21" customWidth="1"/>
    <col min="6437" max="6437" width="10.42578125" style="21" customWidth="1"/>
    <col min="6438" max="6438" width="0.85546875" style="21" customWidth="1"/>
    <col min="6439" max="6439" width="14" style="21" customWidth="1"/>
    <col min="6440" max="6440" width="0.85546875" style="21" customWidth="1"/>
    <col min="6441" max="6441" width="16" style="21" customWidth="1"/>
    <col min="6442" max="6442" width="0.5703125" style="21" customWidth="1"/>
    <col min="6443" max="6443" width="9.42578125" style="21" bestFit="1" customWidth="1"/>
    <col min="6444" max="6444" width="1.140625" style="21" customWidth="1"/>
    <col min="6445" max="6675" width="9.140625" style="21"/>
    <col min="6676" max="6676" width="2.140625" style="21" customWidth="1"/>
    <col min="6677" max="6677" width="14" style="21" customWidth="1"/>
    <col min="6678" max="6678" width="0.7109375" style="21" customWidth="1"/>
    <col min="6679" max="6679" width="17.140625" style="21" customWidth="1"/>
    <col min="6680" max="6680" width="1.140625" style="21" customWidth="1"/>
    <col min="6681" max="6681" width="18.28515625" style="21" customWidth="1"/>
    <col min="6682" max="6682" width="1" style="21" customWidth="1"/>
    <col min="6683" max="6683" width="27.5703125" style="21" customWidth="1"/>
    <col min="6684" max="6684" width="1" style="21" customWidth="1"/>
    <col min="6685" max="6685" width="12.7109375" style="21" customWidth="1"/>
    <col min="6686" max="6686" width="1.28515625" style="21" customWidth="1"/>
    <col min="6687" max="6687" width="11.42578125" style="21" customWidth="1"/>
    <col min="6688" max="6688" width="1" style="21" customWidth="1"/>
    <col min="6689" max="6689" width="10.42578125" style="21" customWidth="1"/>
    <col min="6690" max="6690" width="0.85546875" style="21" customWidth="1"/>
    <col min="6691" max="6691" width="14" style="21" customWidth="1"/>
    <col min="6692" max="6692" width="0.85546875" style="21" customWidth="1"/>
    <col min="6693" max="6693" width="10.42578125" style="21" customWidth="1"/>
    <col min="6694" max="6694" width="0.85546875" style="21" customWidth="1"/>
    <col min="6695" max="6695" width="14" style="21" customWidth="1"/>
    <col min="6696" max="6696" width="0.85546875" style="21" customWidth="1"/>
    <col min="6697" max="6697" width="16" style="21" customWidth="1"/>
    <col min="6698" max="6698" width="0.5703125" style="21" customWidth="1"/>
    <col min="6699" max="6699" width="9.42578125" style="21" bestFit="1" customWidth="1"/>
    <col min="6700" max="6700" width="1.140625" style="21" customWidth="1"/>
    <col min="6701" max="6931" width="9.140625" style="21"/>
    <col min="6932" max="6932" width="2.140625" style="21" customWidth="1"/>
    <col min="6933" max="6933" width="14" style="21" customWidth="1"/>
    <col min="6934" max="6934" width="0.7109375" style="21" customWidth="1"/>
    <col min="6935" max="6935" width="17.140625" style="21" customWidth="1"/>
    <col min="6936" max="6936" width="1.140625" style="21" customWidth="1"/>
    <col min="6937" max="6937" width="18.28515625" style="21" customWidth="1"/>
    <col min="6938" max="6938" width="1" style="21" customWidth="1"/>
    <col min="6939" max="6939" width="27.5703125" style="21" customWidth="1"/>
    <col min="6940" max="6940" width="1" style="21" customWidth="1"/>
    <col min="6941" max="6941" width="12.7109375" style="21" customWidth="1"/>
    <col min="6942" max="6942" width="1.28515625" style="21" customWidth="1"/>
    <col min="6943" max="6943" width="11.42578125" style="21" customWidth="1"/>
    <col min="6944" max="6944" width="1" style="21" customWidth="1"/>
    <col min="6945" max="6945" width="10.42578125" style="21" customWidth="1"/>
    <col min="6946" max="6946" width="0.85546875" style="21" customWidth="1"/>
    <col min="6947" max="6947" width="14" style="21" customWidth="1"/>
    <col min="6948" max="6948" width="0.85546875" style="21" customWidth="1"/>
    <col min="6949" max="6949" width="10.42578125" style="21" customWidth="1"/>
    <col min="6950" max="6950" width="0.85546875" style="21" customWidth="1"/>
    <col min="6951" max="6951" width="14" style="21" customWidth="1"/>
    <col min="6952" max="6952" width="0.85546875" style="21" customWidth="1"/>
    <col min="6953" max="6953" width="16" style="21" customWidth="1"/>
    <col min="6954" max="6954" width="0.5703125" style="21" customWidth="1"/>
    <col min="6955" max="6955" width="9.42578125" style="21" bestFit="1" customWidth="1"/>
    <col min="6956" max="6956" width="1.140625" style="21" customWidth="1"/>
    <col min="6957" max="7187" width="9.140625" style="21"/>
    <col min="7188" max="7188" width="2.140625" style="21" customWidth="1"/>
    <col min="7189" max="7189" width="14" style="21" customWidth="1"/>
    <col min="7190" max="7190" width="0.7109375" style="21" customWidth="1"/>
    <col min="7191" max="7191" width="17.140625" style="21" customWidth="1"/>
    <col min="7192" max="7192" width="1.140625" style="21" customWidth="1"/>
    <col min="7193" max="7193" width="18.28515625" style="21" customWidth="1"/>
    <col min="7194" max="7194" width="1" style="21" customWidth="1"/>
    <col min="7195" max="7195" width="27.5703125" style="21" customWidth="1"/>
    <col min="7196" max="7196" width="1" style="21" customWidth="1"/>
    <col min="7197" max="7197" width="12.7109375" style="21" customWidth="1"/>
    <col min="7198" max="7198" width="1.28515625" style="21" customWidth="1"/>
    <col min="7199" max="7199" width="11.42578125" style="21" customWidth="1"/>
    <col min="7200" max="7200" width="1" style="21" customWidth="1"/>
    <col min="7201" max="7201" width="10.42578125" style="21" customWidth="1"/>
    <col min="7202" max="7202" width="0.85546875" style="21" customWidth="1"/>
    <col min="7203" max="7203" width="14" style="21" customWidth="1"/>
    <col min="7204" max="7204" width="0.85546875" style="21" customWidth="1"/>
    <col min="7205" max="7205" width="10.42578125" style="21" customWidth="1"/>
    <col min="7206" max="7206" width="0.85546875" style="21" customWidth="1"/>
    <col min="7207" max="7207" width="14" style="21" customWidth="1"/>
    <col min="7208" max="7208" width="0.85546875" style="21" customWidth="1"/>
    <col min="7209" max="7209" width="16" style="21" customWidth="1"/>
    <col min="7210" max="7210" width="0.5703125" style="21" customWidth="1"/>
    <col min="7211" max="7211" width="9.42578125" style="21" bestFit="1" customWidth="1"/>
    <col min="7212" max="7212" width="1.140625" style="21" customWidth="1"/>
    <col min="7213" max="7443" width="9.140625" style="21"/>
    <col min="7444" max="7444" width="2.140625" style="21" customWidth="1"/>
    <col min="7445" max="7445" width="14" style="21" customWidth="1"/>
    <col min="7446" max="7446" width="0.7109375" style="21" customWidth="1"/>
    <col min="7447" max="7447" width="17.140625" style="21" customWidth="1"/>
    <col min="7448" max="7448" width="1.140625" style="21" customWidth="1"/>
    <col min="7449" max="7449" width="18.28515625" style="21" customWidth="1"/>
    <col min="7450" max="7450" width="1" style="21" customWidth="1"/>
    <col min="7451" max="7451" width="27.5703125" style="21" customWidth="1"/>
    <col min="7452" max="7452" width="1" style="21" customWidth="1"/>
    <col min="7453" max="7453" width="12.7109375" style="21" customWidth="1"/>
    <col min="7454" max="7454" width="1.28515625" style="21" customWidth="1"/>
    <col min="7455" max="7455" width="11.42578125" style="21" customWidth="1"/>
    <col min="7456" max="7456" width="1" style="21" customWidth="1"/>
    <col min="7457" max="7457" width="10.42578125" style="21" customWidth="1"/>
    <col min="7458" max="7458" width="0.85546875" style="21" customWidth="1"/>
    <col min="7459" max="7459" width="14" style="21" customWidth="1"/>
    <col min="7460" max="7460" width="0.85546875" style="21" customWidth="1"/>
    <col min="7461" max="7461" width="10.42578125" style="21" customWidth="1"/>
    <col min="7462" max="7462" width="0.85546875" style="21" customWidth="1"/>
    <col min="7463" max="7463" width="14" style="21" customWidth="1"/>
    <col min="7464" max="7464" width="0.85546875" style="21" customWidth="1"/>
    <col min="7465" max="7465" width="16" style="21" customWidth="1"/>
    <col min="7466" max="7466" width="0.5703125" style="21" customWidth="1"/>
    <col min="7467" max="7467" width="9.42578125" style="21" bestFit="1" customWidth="1"/>
    <col min="7468" max="7468" width="1.140625" style="21" customWidth="1"/>
    <col min="7469" max="7699" width="9.140625" style="21"/>
    <col min="7700" max="7700" width="2.140625" style="21" customWidth="1"/>
    <col min="7701" max="7701" width="14" style="21" customWidth="1"/>
    <col min="7702" max="7702" width="0.7109375" style="21" customWidth="1"/>
    <col min="7703" max="7703" width="17.140625" style="21" customWidth="1"/>
    <col min="7704" max="7704" width="1.140625" style="21" customWidth="1"/>
    <col min="7705" max="7705" width="18.28515625" style="21" customWidth="1"/>
    <col min="7706" max="7706" width="1" style="21" customWidth="1"/>
    <col min="7707" max="7707" width="27.5703125" style="21" customWidth="1"/>
    <col min="7708" max="7708" width="1" style="21" customWidth="1"/>
    <col min="7709" max="7709" width="12.7109375" style="21" customWidth="1"/>
    <col min="7710" max="7710" width="1.28515625" style="21" customWidth="1"/>
    <col min="7711" max="7711" width="11.42578125" style="21" customWidth="1"/>
    <col min="7712" max="7712" width="1" style="21" customWidth="1"/>
    <col min="7713" max="7713" width="10.42578125" style="21" customWidth="1"/>
    <col min="7714" max="7714" width="0.85546875" style="21" customWidth="1"/>
    <col min="7715" max="7715" width="14" style="21" customWidth="1"/>
    <col min="7716" max="7716" width="0.85546875" style="21" customWidth="1"/>
    <col min="7717" max="7717" width="10.42578125" style="21" customWidth="1"/>
    <col min="7718" max="7718" width="0.85546875" style="21" customWidth="1"/>
    <col min="7719" max="7719" width="14" style="21" customWidth="1"/>
    <col min="7720" max="7720" width="0.85546875" style="21" customWidth="1"/>
    <col min="7721" max="7721" width="16" style="21" customWidth="1"/>
    <col min="7722" max="7722" width="0.5703125" style="21" customWidth="1"/>
    <col min="7723" max="7723" width="9.42578125" style="21" bestFit="1" customWidth="1"/>
    <col min="7724" max="7724" width="1.140625" style="21" customWidth="1"/>
    <col min="7725" max="7955" width="9.140625" style="21"/>
    <col min="7956" max="7956" width="2.140625" style="21" customWidth="1"/>
    <col min="7957" max="7957" width="14" style="21" customWidth="1"/>
    <col min="7958" max="7958" width="0.7109375" style="21" customWidth="1"/>
    <col min="7959" max="7959" width="17.140625" style="21" customWidth="1"/>
    <col min="7960" max="7960" width="1.140625" style="21" customWidth="1"/>
    <col min="7961" max="7961" width="18.28515625" style="21" customWidth="1"/>
    <col min="7962" max="7962" width="1" style="21" customWidth="1"/>
    <col min="7963" max="7963" width="27.5703125" style="21" customWidth="1"/>
    <col min="7964" max="7964" width="1" style="21" customWidth="1"/>
    <col min="7965" max="7965" width="12.7109375" style="21" customWidth="1"/>
    <col min="7966" max="7966" width="1.28515625" style="21" customWidth="1"/>
    <col min="7967" max="7967" width="11.42578125" style="21" customWidth="1"/>
    <col min="7968" max="7968" width="1" style="21" customWidth="1"/>
    <col min="7969" max="7969" width="10.42578125" style="21" customWidth="1"/>
    <col min="7970" max="7970" width="0.85546875" style="21" customWidth="1"/>
    <col min="7971" max="7971" width="14" style="21" customWidth="1"/>
    <col min="7972" max="7972" width="0.85546875" style="21" customWidth="1"/>
    <col min="7973" max="7973" width="10.42578125" style="21" customWidth="1"/>
    <col min="7974" max="7974" width="0.85546875" style="21" customWidth="1"/>
    <col min="7975" max="7975" width="14" style="21" customWidth="1"/>
    <col min="7976" max="7976" width="0.85546875" style="21" customWidth="1"/>
    <col min="7977" max="7977" width="16" style="21" customWidth="1"/>
    <col min="7978" max="7978" width="0.5703125" style="21" customWidth="1"/>
    <col min="7979" max="7979" width="9.42578125" style="21" bestFit="1" customWidth="1"/>
    <col min="7980" max="7980" width="1.140625" style="21" customWidth="1"/>
    <col min="7981" max="8211" width="9.140625" style="21"/>
    <col min="8212" max="8212" width="2.140625" style="21" customWidth="1"/>
    <col min="8213" max="8213" width="14" style="21" customWidth="1"/>
    <col min="8214" max="8214" width="0.7109375" style="21" customWidth="1"/>
    <col min="8215" max="8215" width="17.140625" style="21" customWidth="1"/>
    <col min="8216" max="8216" width="1.140625" style="21" customWidth="1"/>
    <col min="8217" max="8217" width="18.28515625" style="21" customWidth="1"/>
    <col min="8218" max="8218" width="1" style="21" customWidth="1"/>
    <col min="8219" max="8219" width="27.5703125" style="21" customWidth="1"/>
    <col min="8220" max="8220" width="1" style="21" customWidth="1"/>
    <col min="8221" max="8221" width="12.7109375" style="21" customWidth="1"/>
    <col min="8222" max="8222" width="1.28515625" style="21" customWidth="1"/>
    <col min="8223" max="8223" width="11.42578125" style="21" customWidth="1"/>
    <col min="8224" max="8224" width="1" style="21" customWidth="1"/>
    <col min="8225" max="8225" width="10.42578125" style="21" customWidth="1"/>
    <col min="8226" max="8226" width="0.85546875" style="21" customWidth="1"/>
    <col min="8227" max="8227" width="14" style="21" customWidth="1"/>
    <col min="8228" max="8228" width="0.85546875" style="21" customWidth="1"/>
    <col min="8229" max="8229" width="10.42578125" style="21" customWidth="1"/>
    <col min="8230" max="8230" width="0.85546875" style="21" customWidth="1"/>
    <col min="8231" max="8231" width="14" style="21" customWidth="1"/>
    <col min="8232" max="8232" width="0.85546875" style="21" customWidth="1"/>
    <col min="8233" max="8233" width="16" style="21" customWidth="1"/>
    <col min="8234" max="8234" width="0.5703125" style="21" customWidth="1"/>
    <col min="8235" max="8235" width="9.42578125" style="21" bestFit="1" customWidth="1"/>
    <col min="8236" max="8236" width="1.140625" style="21" customWidth="1"/>
    <col min="8237" max="8467" width="9.140625" style="21"/>
    <col min="8468" max="8468" width="2.140625" style="21" customWidth="1"/>
    <col min="8469" max="8469" width="14" style="21" customWidth="1"/>
    <col min="8470" max="8470" width="0.7109375" style="21" customWidth="1"/>
    <col min="8471" max="8471" width="17.140625" style="21" customWidth="1"/>
    <col min="8472" max="8472" width="1.140625" style="21" customWidth="1"/>
    <col min="8473" max="8473" width="18.28515625" style="21" customWidth="1"/>
    <col min="8474" max="8474" width="1" style="21" customWidth="1"/>
    <col min="8475" max="8475" width="27.5703125" style="21" customWidth="1"/>
    <col min="8476" max="8476" width="1" style="21" customWidth="1"/>
    <col min="8477" max="8477" width="12.7109375" style="21" customWidth="1"/>
    <col min="8478" max="8478" width="1.28515625" style="21" customWidth="1"/>
    <col min="8479" max="8479" width="11.42578125" style="21" customWidth="1"/>
    <col min="8480" max="8480" width="1" style="21" customWidth="1"/>
    <col min="8481" max="8481" width="10.42578125" style="21" customWidth="1"/>
    <col min="8482" max="8482" width="0.85546875" style="21" customWidth="1"/>
    <col min="8483" max="8483" width="14" style="21" customWidth="1"/>
    <col min="8484" max="8484" width="0.85546875" style="21" customWidth="1"/>
    <col min="8485" max="8485" width="10.42578125" style="21" customWidth="1"/>
    <col min="8486" max="8486" width="0.85546875" style="21" customWidth="1"/>
    <col min="8487" max="8487" width="14" style="21" customWidth="1"/>
    <col min="8488" max="8488" width="0.85546875" style="21" customWidth="1"/>
    <col min="8489" max="8489" width="16" style="21" customWidth="1"/>
    <col min="8490" max="8490" width="0.5703125" style="21" customWidth="1"/>
    <col min="8491" max="8491" width="9.42578125" style="21" bestFit="1" customWidth="1"/>
    <col min="8492" max="8492" width="1.140625" style="21" customWidth="1"/>
    <col min="8493" max="8723" width="9.140625" style="21"/>
    <col min="8724" max="8724" width="2.140625" style="21" customWidth="1"/>
    <col min="8725" max="8725" width="14" style="21" customWidth="1"/>
    <col min="8726" max="8726" width="0.7109375" style="21" customWidth="1"/>
    <col min="8727" max="8727" width="17.140625" style="21" customWidth="1"/>
    <col min="8728" max="8728" width="1.140625" style="21" customWidth="1"/>
    <col min="8729" max="8729" width="18.28515625" style="21" customWidth="1"/>
    <col min="8730" max="8730" width="1" style="21" customWidth="1"/>
    <col min="8731" max="8731" width="27.5703125" style="21" customWidth="1"/>
    <col min="8732" max="8732" width="1" style="21" customWidth="1"/>
    <col min="8733" max="8733" width="12.7109375" style="21" customWidth="1"/>
    <col min="8734" max="8734" width="1.28515625" style="21" customWidth="1"/>
    <col min="8735" max="8735" width="11.42578125" style="21" customWidth="1"/>
    <col min="8736" max="8736" width="1" style="21" customWidth="1"/>
    <col min="8737" max="8737" width="10.42578125" style="21" customWidth="1"/>
    <col min="8738" max="8738" width="0.85546875" style="21" customWidth="1"/>
    <col min="8739" max="8739" width="14" style="21" customWidth="1"/>
    <col min="8740" max="8740" width="0.85546875" style="21" customWidth="1"/>
    <col min="8741" max="8741" width="10.42578125" style="21" customWidth="1"/>
    <col min="8742" max="8742" width="0.85546875" style="21" customWidth="1"/>
    <col min="8743" max="8743" width="14" style="21" customWidth="1"/>
    <col min="8744" max="8744" width="0.85546875" style="21" customWidth="1"/>
    <col min="8745" max="8745" width="16" style="21" customWidth="1"/>
    <col min="8746" max="8746" width="0.5703125" style="21" customWidth="1"/>
    <col min="8747" max="8747" width="9.42578125" style="21" bestFit="1" customWidth="1"/>
    <col min="8748" max="8748" width="1.140625" style="21" customWidth="1"/>
    <col min="8749" max="8979" width="9.140625" style="21"/>
    <col min="8980" max="8980" width="2.140625" style="21" customWidth="1"/>
    <col min="8981" max="8981" width="14" style="21" customWidth="1"/>
    <col min="8982" max="8982" width="0.7109375" style="21" customWidth="1"/>
    <col min="8983" max="8983" width="17.140625" style="21" customWidth="1"/>
    <col min="8984" max="8984" width="1.140625" style="21" customWidth="1"/>
    <col min="8985" max="8985" width="18.28515625" style="21" customWidth="1"/>
    <col min="8986" max="8986" width="1" style="21" customWidth="1"/>
    <col min="8987" max="8987" width="27.5703125" style="21" customWidth="1"/>
    <col min="8988" max="8988" width="1" style="21" customWidth="1"/>
    <col min="8989" max="8989" width="12.7109375" style="21" customWidth="1"/>
    <col min="8990" max="8990" width="1.28515625" style="21" customWidth="1"/>
    <col min="8991" max="8991" width="11.42578125" style="21" customWidth="1"/>
    <col min="8992" max="8992" width="1" style="21" customWidth="1"/>
    <col min="8993" max="8993" width="10.42578125" style="21" customWidth="1"/>
    <col min="8994" max="8994" width="0.85546875" style="21" customWidth="1"/>
    <col min="8995" max="8995" width="14" style="21" customWidth="1"/>
    <col min="8996" max="8996" width="0.85546875" style="21" customWidth="1"/>
    <col min="8997" max="8997" width="10.42578125" style="21" customWidth="1"/>
    <col min="8998" max="8998" width="0.85546875" style="21" customWidth="1"/>
    <col min="8999" max="8999" width="14" style="21" customWidth="1"/>
    <col min="9000" max="9000" width="0.85546875" style="21" customWidth="1"/>
    <col min="9001" max="9001" width="16" style="21" customWidth="1"/>
    <col min="9002" max="9002" width="0.5703125" style="21" customWidth="1"/>
    <col min="9003" max="9003" width="9.42578125" style="21" bestFit="1" customWidth="1"/>
    <col min="9004" max="9004" width="1.140625" style="21" customWidth="1"/>
    <col min="9005" max="9235" width="9.140625" style="21"/>
    <col min="9236" max="9236" width="2.140625" style="21" customWidth="1"/>
    <col min="9237" max="9237" width="14" style="21" customWidth="1"/>
    <col min="9238" max="9238" width="0.7109375" style="21" customWidth="1"/>
    <col min="9239" max="9239" width="17.140625" style="21" customWidth="1"/>
    <col min="9240" max="9240" width="1.140625" style="21" customWidth="1"/>
    <col min="9241" max="9241" width="18.28515625" style="21" customWidth="1"/>
    <col min="9242" max="9242" width="1" style="21" customWidth="1"/>
    <col min="9243" max="9243" width="27.5703125" style="21" customWidth="1"/>
    <col min="9244" max="9244" width="1" style="21" customWidth="1"/>
    <col min="9245" max="9245" width="12.7109375" style="21" customWidth="1"/>
    <col min="9246" max="9246" width="1.28515625" style="21" customWidth="1"/>
    <col min="9247" max="9247" width="11.42578125" style="21" customWidth="1"/>
    <col min="9248" max="9248" width="1" style="21" customWidth="1"/>
    <col min="9249" max="9249" width="10.42578125" style="21" customWidth="1"/>
    <col min="9250" max="9250" width="0.85546875" style="21" customWidth="1"/>
    <col min="9251" max="9251" width="14" style="21" customWidth="1"/>
    <col min="9252" max="9252" width="0.85546875" style="21" customWidth="1"/>
    <col min="9253" max="9253" width="10.42578125" style="21" customWidth="1"/>
    <col min="9254" max="9254" width="0.85546875" style="21" customWidth="1"/>
    <col min="9255" max="9255" width="14" style="21" customWidth="1"/>
    <col min="9256" max="9256" width="0.85546875" style="21" customWidth="1"/>
    <col min="9257" max="9257" width="16" style="21" customWidth="1"/>
    <col min="9258" max="9258" width="0.5703125" style="21" customWidth="1"/>
    <col min="9259" max="9259" width="9.42578125" style="21" bestFit="1" customWidth="1"/>
    <col min="9260" max="9260" width="1.140625" style="21" customWidth="1"/>
    <col min="9261" max="9491" width="9.140625" style="21"/>
    <col min="9492" max="9492" width="2.140625" style="21" customWidth="1"/>
    <col min="9493" max="9493" width="14" style="21" customWidth="1"/>
    <col min="9494" max="9494" width="0.7109375" style="21" customWidth="1"/>
    <col min="9495" max="9495" width="17.140625" style="21" customWidth="1"/>
    <col min="9496" max="9496" width="1.140625" style="21" customWidth="1"/>
    <col min="9497" max="9497" width="18.28515625" style="21" customWidth="1"/>
    <col min="9498" max="9498" width="1" style="21" customWidth="1"/>
    <col min="9499" max="9499" width="27.5703125" style="21" customWidth="1"/>
    <col min="9500" max="9500" width="1" style="21" customWidth="1"/>
    <col min="9501" max="9501" width="12.7109375" style="21" customWidth="1"/>
    <col min="9502" max="9502" width="1.28515625" style="21" customWidth="1"/>
    <col min="9503" max="9503" width="11.42578125" style="21" customWidth="1"/>
    <col min="9504" max="9504" width="1" style="21" customWidth="1"/>
    <col min="9505" max="9505" width="10.42578125" style="21" customWidth="1"/>
    <col min="9506" max="9506" width="0.85546875" style="21" customWidth="1"/>
    <col min="9507" max="9507" width="14" style="21" customWidth="1"/>
    <col min="9508" max="9508" width="0.85546875" style="21" customWidth="1"/>
    <col min="9509" max="9509" width="10.42578125" style="21" customWidth="1"/>
    <col min="9510" max="9510" width="0.85546875" style="21" customWidth="1"/>
    <col min="9511" max="9511" width="14" style="21" customWidth="1"/>
    <col min="9512" max="9512" width="0.85546875" style="21" customWidth="1"/>
    <col min="9513" max="9513" width="16" style="21" customWidth="1"/>
    <col min="9514" max="9514" width="0.5703125" style="21" customWidth="1"/>
    <col min="9515" max="9515" width="9.42578125" style="21" bestFit="1" customWidth="1"/>
    <col min="9516" max="9516" width="1.140625" style="21" customWidth="1"/>
    <col min="9517" max="9747" width="9.140625" style="21"/>
    <col min="9748" max="9748" width="2.140625" style="21" customWidth="1"/>
    <col min="9749" max="9749" width="14" style="21" customWidth="1"/>
    <col min="9750" max="9750" width="0.7109375" style="21" customWidth="1"/>
    <col min="9751" max="9751" width="17.140625" style="21" customWidth="1"/>
    <col min="9752" max="9752" width="1.140625" style="21" customWidth="1"/>
    <col min="9753" max="9753" width="18.28515625" style="21" customWidth="1"/>
    <col min="9754" max="9754" width="1" style="21" customWidth="1"/>
    <col min="9755" max="9755" width="27.5703125" style="21" customWidth="1"/>
    <col min="9756" max="9756" width="1" style="21" customWidth="1"/>
    <col min="9757" max="9757" width="12.7109375" style="21" customWidth="1"/>
    <col min="9758" max="9758" width="1.28515625" style="21" customWidth="1"/>
    <col min="9759" max="9759" width="11.42578125" style="21" customWidth="1"/>
    <col min="9760" max="9760" width="1" style="21" customWidth="1"/>
    <col min="9761" max="9761" width="10.42578125" style="21" customWidth="1"/>
    <col min="9762" max="9762" width="0.85546875" style="21" customWidth="1"/>
    <col min="9763" max="9763" width="14" style="21" customWidth="1"/>
    <col min="9764" max="9764" width="0.85546875" style="21" customWidth="1"/>
    <col min="9765" max="9765" width="10.42578125" style="21" customWidth="1"/>
    <col min="9766" max="9766" width="0.85546875" style="21" customWidth="1"/>
    <col min="9767" max="9767" width="14" style="21" customWidth="1"/>
    <col min="9768" max="9768" width="0.85546875" style="21" customWidth="1"/>
    <col min="9769" max="9769" width="16" style="21" customWidth="1"/>
    <col min="9770" max="9770" width="0.5703125" style="21" customWidth="1"/>
    <col min="9771" max="9771" width="9.42578125" style="21" bestFit="1" customWidth="1"/>
    <col min="9772" max="9772" width="1.140625" style="21" customWidth="1"/>
    <col min="9773" max="10003" width="9.140625" style="21"/>
    <col min="10004" max="10004" width="2.140625" style="21" customWidth="1"/>
    <col min="10005" max="10005" width="14" style="21" customWidth="1"/>
    <col min="10006" max="10006" width="0.7109375" style="21" customWidth="1"/>
    <col min="10007" max="10007" width="17.140625" style="21" customWidth="1"/>
    <col min="10008" max="10008" width="1.140625" style="21" customWidth="1"/>
    <col min="10009" max="10009" width="18.28515625" style="21" customWidth="1"/>
    <col min="10010" max="10010" width="1" style="21" customWidth="1"/>
    <col min="10011" max="10011" width="27.5703125" style="21" customWidth="1"/>
    <col min="10012" max="10012" width="1" style="21" customWidth="1"/>
    <col min="10013" max="10013" width="12.7109375" style="21" customWidth="1"/>
    <col min="10014" max="10014" width="1.28515625" style="21" customWidth="1"/>
    <col min="10015" max="10015" width="11.42578125" style="21" customWidth="1"/>
    <col min="10016" max="10016" width="1" style="21" customWidth="1"/>
    <col min="10017" max="10017" width="10.42578125" style="21" customWidth="1"/>
    <col min="10018" max="10018" width="0.85546875" style="21" customWidth="1"/>
    <col min="10019" max="10019" width="14" style="21" customWidth="1"/>
    <col min="10020" max="10020" width="0.85546875" style="21" customWidth="1"/>
    <col min="10021" max="10021" width="10.42578125" style="21" customWidth="1"/>
    <col min="10022" max="10022" width="0.85546875" style="21" customWidth="1"/>
    <col min="10023" max="10023" width="14" style="21" customWidth="1"/>
    <col min="10024" max="10024" width="0.85546875" style="21" customWidth="1"/>
    <col min="10025" max="10025" width="16" style="21" customWidth="1"/>
    <col min="10026" max="10026" width="0.5703125" style="21" customWidth="1"/>
    <col min="10027" max="10027" width="9.42578125" style="21" bestFit="1" customWidth="1"/>
    <col min="10028" max="10028" width="1.140625" style="21" customWidth="1"/>
    <col min="10029" max="10259" width="9.140625" style="21"/>
    <col min="10260" max="10260" width="2.140625" style="21" customWidth="1"/>
    <col min="10261" max="10261" width="14" style="21" customWidth="1"/>
    <col min="10262" max="10262" width="0.7109375" style="21" customWidth="1"/>
    <col min="10263" max="10263" width="17.140625" style="21" customWidth="1"/>
    <col min="10264" max="10264" width="1.140625" style="21" customWidth="1"/>
    <col min="10265" max="10265" width="18.28515625" style="21" customWidth="1"/>
    <col min="10266" max="10266" width="1" style="21" customWidth="1"/>
    <col min="10267" max="10267" width="27.5703125" style="21" customWidth="1"/>
    <col min="10268" max="10268" width="1" style="21" customWidth="1"/>
    <col min="10269" max="10269" width="12.7109375" style="21" customWidth="1"/>
    <col min="10270" max="10270" width="1.28515625" style="21" customWidth="1"/>
    <col min="10271" max="10271" width="11.42578125" style="21" customWidth="1"/>
    <col min="10272" max="10272" width="1" style="21" customWidth="1"/>
    <col min="10273" max="10273" width="10.42578125" style="21" customWidth="1"/>
    <col min="10274" max="10274" width="0.85546875" style="21" customWidth="1"/>
    <col min="10275" max="10275" width="14" style="21" customWidth="1"/>
    <col min="10276" max="10276" width="0.85546875" style="21" customWidth="1"/>
    <col min="10277" max="10277" width="10.42578125" style="21" customWidth="1"/>
    <col min="10278" max="10278" width="0.85546875" style="21" customWidth="1"/>
    <col min="10279" max="10279" width="14" style="21" customWidth="1"/>
    <col min="10280" max="10280" width="0.85546875" style="21" customWidth="1"/>
    <col min="10281" max="10281" width="16" style="21" customWidth="1"/>
    <col min="10282" max="10282" width="0.5703125" style="21" customWidth="1"/>
    <col min="10283" max="10283" width="9.42578125" style="21" bestFit="1" customWidth="1"/>
    <col min="10284" max="10284" width="1.140625" style="21" customWidth="1"/>
    <col min="10285" max="10515" width="9.140625" style="21"/>
    <col min="10516" max="10516" width="2.140625" style="21" customWidth="1"/>
    <col min="10517" max="10517" width="14" style="21" customWidth="1"/>
    <col min="10518" max="10518" width="0.7109375" style="21" customWidth="1"/>
    <col min="10519" max="10519" width="17.140625" style="21" customWidth="1"/>
    <col min="10520" max="10520" width="1.140625" style="21" customWidth="1"/>
    <col min="10521" max="10521" width="18.28515625" style="21" customWidth="1"/>
    <col min="10522" max="10522" width="1" style="21" customWidth="1"/>
    <col min="10523" max="10523" width="27.5703125" style="21" customWidth="1"/>
    <col min="10524" max="10524" width="1" style="21" customWidth="1"/>
    <col min="10525" max="10525" width="12.7109375" style="21" customWidth="1"/>
    <col min="10526" max="10526" width="1.28515625" style="21" customWidth="1"/>
    <col min="10527" max="10527" width="11.42578125" style="21" customWidth="1"/>
    <col min="10528" max="10528" width="1" style="21" customWidth="1"/>
    <col min="10529" max="10529" width="10.42578125" style="21" customWidth="1"/>
    <col min="10530" max="10530" width="0.85546875" style="21" customWidth="1"/>
    <col min="10531" max="10531" width="14" style="21" customWidth="1"/>
    <col min="10532" max="10532" width="0.85546875" style="21" customWidth="1"/>
    <col min="10533" max="10533" width="10.42578125" style="21" customWidth="1"/>
    <col min="10534" max="10534" width="0.85546875" style="21" customWidth="1"/>
    <col min="10535" max="10535" width="14" style="21" customWidth="1"/>
    <col min="10536" max="10536" width="0.85546875" style="21" customWidth="1"/>
    <col min="10537" max="10537" width="16" style="21" customWidth="1"/>
    <col min="10538" max="10538" width="0.5703125" style="21" customWidth="1"/>
    <col min="10539" max="10539" width="9.42578125" style="21" bestFit="1" customWidth="1"/>
    <col min="10540" max="10540" width="1.140625" style="21" customWidth="1"/>
    <col min="10541" max="10771" width="9.140625" style="21"/>
    <col min="10772" max="10772" width="2.140625" style="21" customWidth="1"/>
    <col min="10773" max="10773" width="14" style="21" customWidth="1"/>
    <col min="10774" max="10774" width="0.7109375" style="21" customWidth="1"/>
    <col min="10775" max="10775" width="17.140625" style="21" customWidth="1"/>
    <col min="10776" max="10776" width="1.140625" style="21" customWidth="1"/>
    <col min="10777" max="10777" width="18.28515625" style="21" customWidth="1"/>
    <col min="10778" max="10778" width="1" style="21" customWidth="1"/>
    <col min="10779" max="10779" width="27.5703125" style="21" customWidth="1"/>
    <col min="10780" max="10780" width="1" style="21" customWidth="1"/>
    <col min="10781" max="10781" width="12.7109375" style="21" customWidth="1"/>
    <col min="10782" max="10782" width="1.28515625" style="21" customWidth="1"/>
    <col min="10783" max="10783" width="11.42578125" style="21" customWidth="1"/>
    <col min="10784" max="10784" width="1" style="21" customWidth="1"/>
    <col min="10785" max="10785" width="10.42578125" style="21" customWidth="1"/>
    <col min="10786" max="10786" width="0.85546875" style="21" customWidth="1"/>
    <col min="10787" max="10787" width="14" style="21" customWidth="1"/>
    <col min="10788" max="10788" width="0.85546875" style="21" customWidth="1"/>
    <col min="10789" max="10789" width="10.42578125" style="21" customWidth="1"/>
    <col min="10790" max="10790" width="0.85546875" style="21" customWidth="1"/>
    <col min="10791" max="10791" width="14" style="21" customWidth="1"/>
    <col min="10792" max="10792" width="0.85546875" style="21" customWidth="1"/>
    <col min="10793" max="10793" width="16" style="21" customWidth="1"/>
    <col min="10794" max="10794" width="0.5703125" style="21" customWidth="1"/>
    <col min="10795" max="10795" width="9.42578125" style="21" bestFit="1" customWidth="1"/>
    <col min="10796" max="10796" width="1.140625" style="21" customWidth="1"/>
    <col min="10797" max="11027" width="9.140625" style="21"/>
    <col min="11028" max="11028" width="2.140625" style="21" customWidth="1"/>
    <col min="11029" max="11029" width="14" style="21" customWidth="1"/>
    <col min="11030" max="11030" width="0.7109375" style="21" customWidth="1"/>
    <col min="11031" max="11031" width="17.140625" style="21" customWidth="1"/>
    <col min="11032" max="11032" width="1.140625" style="21" customWidth="1"/>
    <col min="11033" max="11033" width="18.28515625" style="21" customWidth="1"/>
    <col min="11034" max="11034" width="1" style="21" customWidth="1"/>
    <col min="11035" max="11035" width="27.5703125" style="21" customWidth="1"/>
    <col min="11036" max="11036" width="1" style="21" customWidth="1"/>
    <col min="11037" max="11037" width="12.7109375" style="21" customWidth="1"/>
    <col min="11038" max="11038" width="1.28515625" style="21" customWidth="1"/>
    <col min="11039" max="11039" width="11.42578125" style="21" customWidth="1"/>
    <col min="11040" max="11040" width="1" style="21" customWidth="1"/>
    <col min="11041" max="11041" width="10.42578125" style="21" customWidth="1"/>
    <col min="11042" max="11042" width="0.85546875" style="21" customWidth="1"/>
    <col min="11043" max="11043" width="14" style="21" customWidth="1"/>
    <col min="11044" max="11044" width="0.85546875" style="21" customWidth="1"/>
    <col min="11045" max="11045" width="10.42578125" style="21" customWidth="1"/>
    <col min="11046" max="11046" width="0.85546875" style="21" customWidth="1"/>
    <col min="11047" max="11047" width="14" style="21" customWidth="1"/>
    <col min="11048" max="11048" width="0.85546875" style="21" customWidth="1"/>
    <col min="11049" max="11049" width="16" style="21" customWidth="1"/>
    <col min="11050" max="11050" width="0.5703125" style="21" customWidth="1"/>
    <col min="11051" max="11051" width="9.42578125" style="21" bestFit="1" customWidth="1"/>
    <col min="11052" max="11052" width="1.140625" style="21" customWidth="1"/>
    <col min="11053" max="11283" width="9.140625" style="21"/>
    <col min="11284" max="11284" width="2.140625" style="21" customWidth="1"/>
    <col min="11285" max="11285" width="14" style="21" customWidth="1"/>
    <col min="11286" max="11286" width="0.7109375" style="21" customWidth="1"/>
    <col min="11287" max="11287" width="17.140625" style="21" customWidth="1"/>
    <col min="11288" max="11288" width="1.140625" style="21" customWidth="1"/>
    <col min="11289" max="11289" width="18.28515625" style="21" customWidth="1"/>
    <col min="11290" max="11290" width="1" style="21" customWidth="1"/>
    <col min="11291" max="11291" width="27.5703125" style="21" customWidth="1"/>
    <col min="11292" max="11292" width="1" style="21" customWidth="1"/>
    <col min="11293" max="11293" width="12.7109375" style="21" customWidth="1"/>
    <col min="11294" max="11294" width="1.28515625" style="21" customWidth="1"/>
    <col min="11295" max="11295" width="11.42578125" style="21" customWidth="1"/>
    <col min="11296" max="11296" width="1" style="21" customWidth="1"/>
    <col min="11297" max="11297" width="10.42578125" style="21" customWidth="1"/>
    <col min="11298" max="11298" width="0.85546875" style="21" customWidth="1"/>
    <col min="11299" max="11299" width="14" style="21" customWidth="1"/>
    <col min="11300" max="11300" width="0.85546875" style="21" customWidth="1"/>
    <col min="11301" max="11301" width="10.42578125" style="21" customWidth="1"/>
    <col min="11302" max="11302" width="0.85546875" style="21" customWidth="1"/>
    <col min="11303" max="11303" width="14" style="21" customWidth="1"/>
    <col min="11304" max="11304" width="0.85546875" style="21" customWidth="1"/>
    <col min="11305" max="11305" width="16" style="21" customWidth="1"/>
    <col min="11306" max="11306" width="0.5703125" style="21" customWidth="1"/>
    <col min="11307" max="11307" width="9.42578125" style="21" bestFit="1" customWidth="1"/>
    <col min="11308" max="11308" width="1.140625" style="21" customWidth="1"/>
    <col min="11309" max="11539" width="9.140625" style="21"/>
    <col min="11540" max="11540" width="2.140625" style="21" customWidth="1"/>
    <col min="11541" max="11541" width="14" style="21" customWidth="1"/>
    <col min="11542" max="11542" width="0.7109375" style="21" customWidth="1"/>
    <col min="11543" max="11543" width="17.140625" style="21" customWidth="1"/>
    <col min="11544" max="11544" width="1.140625" style="21" customWidth="1"/>
    <col min="11545" max="11545" width="18.28515625" style="21" customWidth="1"/>
    <col min="11546" max="11546" width="1" style="21" customWidth="1"/>
    <col min="11547" max="11547" width="27.5703125" style="21" customWidth="1"/>
    <col min="11548" max="11548" width="1" style="21" customWidth="1"/>
    <col min="11549" max="11549" width="12.7109375" style="21" customWidth="1"/>
    <col min="11550" max="11550" width="1.28515625" style="21" customWidth="1"/>
    <col min="11551" max="11551" width="11.42578125" style="21" customWidth="1"/>
    <col min="11552" max="11552" width="1" style="21" customWidth="1"/>
    <col min="11553" max="11553" width="10.42578125" style="21" customWidth="1"/>
    <col min="11554" max="11554" width="0.85546875" style="21" customWidth="1"/>
    <col min="11555" max="11555" width="14" style="21" customWidth="1"/>
    <col min="11556" max="11556" width="0.85546875" style="21" customWidth="1"/>
    <col min="11557" max="11557" width="10.42578125" style="21" customWidth="1"/>
    <col min="11558" max="11558" width="0.85546875" style="21" customWidth="1"/>
    <col min="11559" max="11559" width="14" style="21" customWidth="1"/>
    <col min="11560" max="11560" width="0.85546875" style="21" customWidth="1"/>
    <col min="11561" max="11561" width="16" style="21" customWidth="1"/>
    <col min="11562" max="11562" width="0.5703125" style="21" customWidth="1"/>
    <col min="11563" max="11563" width="9.42578125" style="21" bestFit="1" customWidth="1"/>
    <col min="11564" max="11564" width="1.140625" style="21" customWidth="1"/>
    <col min="11565" max="11795" width="9.140625" style="21"/>
    <col min="11796" max="11796" width="2.140625" style="21" customWidth="1"/>
    <col min="11797" max="11797" width="14" style="21" customWidth="1"/>
    <col min="11798" max="11798" width="0.7109375" style="21" customWidth="1"/>
    <col min="11799" max="11799" width="17.140625" style="21" customWidth="1"/>
    <col min="11800" max="11800" width="1.140625" style="21" customWidth="1"/>
    <col min="11801" max="11801" width="18.28515625" style="21" customWidth="1"/>
    <col min="11802" max="11802" width="1" style="21" customWidth="1"/>
    <col min="11803" max="11803" width="27.5703125" style="21" customWidth="1"/>
    <col min="11804" max="11804" width="1" style="21" customWidth="1"/>
    <col min="11805" max="11805" width="12.7109375" style="21" customWidth="1"/>
    <col min="11806" max="11806" width="1.28515625" style="21" customWidth="1"/>
    <col min="11807" max="11807" width="11.42578125" style="21" customWidth="1"/>
    <col min="11808" max="11808" width="1" style="21" customWidth="1"/>
    <col min="11809" max="11809" width="10.42578125" style="21" customWidth="1"/>
    <col min="11810" max="11810" width="0.85546875" style="21" customWidth="1"/>
    <col min="11811" max="11811" width="14" style="21" customWidth="1"/>
    <col min="11812" max="11812" width="0.85546875" style="21" customWidth="1"/>
    <col min="11813" max="11813" width="10.42578125" style="21" customWidth="1"/>
    <col min="11814" max="11814" width="0.85546875" style="21" customWidth="1"/>
    <col min="11815" max="11815" width="14" style="21" customWidth="1"/>
    <col min="11816" max="11816" width="0.85546875" style="21" customWidth="1"/>
    <col min="11817" max="11817" width="16" style="21" customWidth="1"/>
    <col min="11818" max="11818" width="0.5703125" style="21" customWidth="1"/>
    <col min="11819" max="11819" width="9.42578125" style="21" bestFit="1" customWidth="1"/>
    <col min="11820" max="11820" width="1.140625" style="21" customWidth="1"/>
    <col min="11821" max="12051" width="9.140625" style="21"/>
    <col min="12052" max="12052" width="2.140625" style="21" customWidth="1"/>
    <col min="12053" max="12053" width="14" style="21" customWidth="1"/>
    <col min="12054" max="12054" width="0.7109375" style="21" customWidth="1"/>
    <col min="12055" max="12055" width="17.140625" style="21" customWidth="1"/>
    <col min="12056" max="12056" width="1.140625" style="21" customWidth="1"/>
    <col min="12057" max="12057" width="18.28515625" style="21" customWidth="1"/>
    <col min="12058" max="12058" width="1" style="21" customWidth="1"/>
    <col min="12059" max="12059" width="27.5703125" style="21" customWidth="1"/>
    <col min="12060" max="12060" width="1" style="21" customWidth="1"/>
    <col min="12061" max="12061" width="12.7109375" style="21" customWidth="1"/>
    <col min="12062" max="12062" width="1.28515625" style="21" customWidth="1"/>
    <col min="12063" max="12063" width="11.42578125" style="21" customWidth="1"/>
    <col min="12064" max="12064" width="1" style="21" customWidth="1"/>
    <col min="12065" max="12065" width="10.42578125" style="21" customWidth="1"/>
    <col min="12066" max="12066" width="0.85546875" style="21" customWidth="1"/>
    <col min="12067" max="12067" width="14" style="21" customWidth="1"/>
    <col min="12068" max="12068" width="0.85546875" style="21" customWidth="1"/>
    <col min="12069" max="12069" width="10.42578125" style="21" customWidth="1"/>
    <col min="12070" max="12070" width="0.85546875" style="21" customWidth="1"/>
    <col min="12071" max="12071" width="14" style="21" customWidth="1"/>
    <col min="12072" max="12072" width="0.85546875" style="21" customWidth="1"/>
    <col min="12073" max="12073" width="16" style="21" customWidth="1"/>
    <col min="12074" max="12074" width="0.5703125" style="21" customWidth="1"/>
    <col min="12075" max="12075" width="9.42578125" style="21" bestFit="1" customWidth="1"/>
    <col min="12076" max="12076" width="1.140625" style="21" customWidth="1"/>
    <col min="12077" max="12307" width="9.140625" style="21"/>
    <col min="12308" max="12308" width="2.140625" style="21" customWidth="1"/>
    <col min="12309" max="12309" width="14" style="21" customWidth="1"/>
    <col min="12310" max="12310" width="0.7109375" style="21" customWidth="1"/>
    <col min="12311" max="12311" width="17.140625" style="21" customWidth="1"/>
    <col min="12312" max="12312" width="1.140625" style="21" customWidth="1"/>
    <col min="12313" max="12313" width="18.28515625" style="21" customWidth="1"/>
    <col min="12314" max="12314" width="1" style="21" customWidth="1"/>
    <col min="12315" max="12315" width="27.5703125" style="21" customWidth="1"/>
    <col min="12316" max="12316" width="1" style="21" customWidth="1"/>
    <col min="12317" max="12317" width="12.7109375" style="21" customWidth="1"/>
    <col min="12318" max="12318" width="1.28515625" style="21" customWidth="1"/>
    <col min="12319" max="12319" width="11.42578125" style="21" customWidth="1"/>
    <col min="12320" max="12320" width="1" style="21" customWidth="1"/>
    <col min="12321" max="12321" width="10.42578125" style="21" customWidth="1"/>
    <col min="12322" max="12322" width="0.85546875" style="21" customWidth="1"/>
    <col min="12323" max="12323" width="14" style="21" customWidth="1"/>
    <col min="12324" max="12324" width="0.85546875" style="21" customWidth="1"/>
    <col min="12325" max="12325" width="10.42578125" style="21" customWidth="1"/>
    <col min="12326" max="12326" width="0.85546875" style="21" customWidth="1"/>
    <col min="12327" max="12327" width="14" style="21" customWidth="1"/>
    <col min="12328" max="12328" width="0.85546875" style="21" customWidth="1"/>
    <col min="12329" max="12329" width="16" style="21" customWidth="1"/>
    <col min="12330" max="12330" width="0.5703125" style="21" customWidth="1"/>
    <col min="12331" max="12331" width="9.42578125" style="21" bestFit="1" customWidth="1"/>
    <col min="12332" max="12332" width="1.140625" style="21" customWidth="1"/>
    <col min="12333" max="12563" width="9.140625" style="21"/>
    <col min="12564" max="12564" width="2.140625" style="21" customWidth="1"/>
    <col min="12565" max="12565" width="14" style="21" customWidth="1"/>
    <col min="12566" max="12566" width="0.7109375" style="21" customWidth="1"/>
    <col min="12567" max="12567" width="17.140625" style="21" customWidth="1"/>
    <col min="12568" max="12568" width="1.140625" style="21" customWidth="1"/>
    <col min="12569" max="12569" width="18.28515625" style="21" customWidth="1"/>
    <col min="12570" max="12570" width="1" style="21" customWidth="1"/>
    <col min="12571" max="12571" width="27.5703125" style="21" customWidth="1"/>
    <col min="12572" max="12572" width="1" style="21" customWidth="1"/>
    <col min="12573" max="12573" width="12.7109375" style="21" customWidth="1"/>
    <col min="12574" max="12574" width="1.28515625" style="21" customWidth="1"/>
    <col min="12575" max="12575" width="11.42578125" style="21" customWidth="1"/>
    <col min="12576" max="12576" width="1" style="21" customWidth="1"/>
    <col min="12577" max="12577" width="10.42578125" style="21" customWidth="1"/>
    <col min="12578" max="12578" width="0.85546875" style="21" customWidth="1"/>
    <col min="12579" max="12579" width="14" style="21" customWidth="1"/>
    <col min="12580" max="12580" width="0.85546875" style="21" customWidth="1"/>
    <col min="12581" max="12581" width="10.42578125" style="21" customWidth="1"/>
    <col min="12582" max="12582" width="0.85546875" style="21" customWidth="1"/>
    <col min="12583" max="12583" width="14" style="21" customWidth="1"/>
    <col min="12584" max="12584" width="0.85546875" style="21" customWidth="1"/>
    <col min="12585" max="12585" width="16" style="21" customWidth="1"/>
    <col min="12586" max="12586" width="0.5703125" style="21" customWidth="1"/>
    <col min="12587" max="12587" width="9.42578125" style="21" bestFit="1" customWidth="1"/>
    <col min="12588" max="12588" width="1.140625" style="21" customWidth="1"/>
    <col min="12589" max="12819" width="9.140625" style="21"/>
    <col min="12820" max="12820" width="2.140625" style="21" customWidth="1"/>
    <col min="12821" max="12821" width="14" style="21" customWidth="1"/>
    <col min="12822" max="12822" width="0.7109375" style="21" customWidth="1"/>
    <col min="12823" max="12823" width="17.140625" style="21" customWidth="1"/>
    <col min="12824" max="12824" width="1.140625" style="21" customWidth="1"/>
    <col min="12825" max="12825" width="18.28515625" style="21" customWidth="1"/>
    <col min="12826" max="12826" width="1" style="21" customWidth="1"/>
    <col min="12827" max="12827" width="27.5703125" style="21" customWidth="1"/>
    <col min="12828" max="12828" width="1" style="21" customWidth="1"/>
    <col min="12829" max="12829" width="12.7109375" style="21" customWidth="1"/>
    <col min="12830" max="12830" width="1.28515625" style="21" customWidth="1"/>
    <col min="12831" max="12831" width="11.42578125" style="21" customWidth="1"/>
    <col min="12832" max="12832" width="1" style="21" customWidth="1"/>
    <col min="12833" max="12833" width="10.42578125" style="21" customWidth="1"/>
    <col min="12834" max="12834" width="0.85546875" style="21" customWidth="1"/>
    <col min="12835" max="12835" width="14" style="21" customWidth="1"/>
    <col min="12836" max="12836" width="0.85546875" style="21" customWidth="1"/>
    <col min="12837" max="12837" width="10.42578125" style="21" customWidth="1"/>
    <col min="12838" max="12838" width="0.85546875" style="21" customWidth="1"/>
    <col min="12839" max="12839" width="14" style="21" customWidth="1"/>
    <col min="12840" max="12840" width="0.85546875" style="21" customWidth="1"/>
    <col min="12841" max="12841" width="16" style="21" customWidth="1"/>
    <col min="12842" max="12842" width="0.5703125" style="21" customWidth="1"/>
    <col min="12843" max="12843" width="9.42578125" style="21" bestFit="1" customWidth="1"/>
    <col min="12844" max="12844" width="1.140625" style="21" customWidth="1"/>
    <col min="12845" max="13075" width="9.140625" style="21"/>
    <col min="13076" max="13076" width="2.140625" style="21" customWidth="1"/>
    <col min="13077" max="13077" width="14" style="21" customWidth="1"/>
    <col min="13078" max="13078" width="0.7109375" style="21" customWidth="1"/>
    <col min="13079" max="13079" width="17.140625" style="21" customWidth="1"/>
    <col min="13080" max="13080" width="1.140625" style="21" customWidth="1"/>
    <col min="13081" max="13081" width="18.28515625" style="21" customWidth="1"/>
    <col min="13082" max="13082" width="1" style="21" customWidth="1"/>
    <col min="13083" max="13083" width="27.5703125" style="21" customWidth="1"/>
    <col min="13084" max="13084" width="1" style="21" customWidth="1"/>
    <col min="13085" max="13085" width="12.7109375" style="21" customWidth="1"/>
    <col min="13086" max="13086" width="1.28515625" style="21" customWidth="1"/>
    <col min="13087" max="13087" width="11.42578125" style="21" customWidth="1"/>
    <col min="13088" max="13088" width="1" style="21" customWidth="1"/>
    <col min="13089" max="13089" width="10.42578125" style="21" customWidth="1"/>
    <col min="13090" max="13090" width="0.85546875" style="21" customWidth="1"/>
    <col min="13091" max="13091" width="14" style="21" customWidth="1"/>
    <col min="13092" max="13092" width="0.85546875" style="21" customWidth="1"/>
    <col min="13093" max="13093" width="10.42578125" style="21" customWidth="1"/>
    <col min="13094" max="13094" width="0.85546875" style="21" customWidth="1"/>
    <col min="13095" max="13095" width="14" style="21" customWidth="1"/>
    <col min="13096" max="13096" width="0.85546875" style="21" customWidth="1"/>
    <col min="13097" max="13097" width="16" style="21" customWidth="1"/>
    <col min="13098" max="13098" width="0.5703125" style="21" customWidth="1"/>
    <col min="13099" max="13099" width="9.42578125" style="21" bestFit="1" customWidth="1"/>
    <col min="13100" max="13100" width="1.140625" style="21" customWidth="1"/>
    <col min="13101" max="13331" width="9.140625" style="21"/>
    <col min="13332" max="13332" width="2.140625" style="21" customWidth="1"/>
    <col min="13333" max="13333" width="14" style="21" customWidth="1"/>
    <col min="13334" max="13334" width="0.7109375" style="21" customWidth="1"/>
    <col min="13335" max="13335" width="17.140625" style="21" customWidth="1"/>
    <col min="13336" max="13336" width="1.140625" style="21" customWidth="1"/>
    <col min="13337" max="13337" width="18.28515625" style="21" customWidth="1"/>
    <col min="13338" max="13338" width="1" style="21" customWidth="1"/>
    <col min="13339" max="13339" width="27.5703125" style="21" customWidth="1"/>
    <col min="13340" max="13340" width="1" style="21" customWidth="1"/>
    <col min="13341" max="13341" width="12.7109375" style="21" customWidth="1"/>
    <col min="13342" max="13342" width="1.28515625" style="21" customWidth="1"/>
    <col min="13343" max="13343" width="11.42578125" style="21" customWidth="1"/>
    <col min="13344" max="13344" width="1" style="21" customWidth="1"/>
    <col min="13345" max="13345" width="10.42578125" style="21" customWidth="1"/>
    <col min="13346" max="13346" width="0.85546875" style="21" customWidth="1"/>
    <col min="13347" max="13347" width="14" style="21" customWidth="1"/>
    <col min="13348" max="13348" width="0.85546875" style="21" customWidth="1"/>
    <col min="13349" max="13349" width="10.42578125" style="21" customWidth="1"/>
    <col min="13350" max="13350" width="0.85546875" style="21" customWidth="1"/>
    <col min="13351" max="13351" width="14" style="21" customWidth="1"/>
    <col min="13352" max="13352" width="0.85546875" style="21" customWidth="1"/>
    <col min="13353" max="13353" width="16" style="21" customWidth="1"/>
    <col min="13354" max="13354" width="0.5703125" style="21" customWidth="1"/>
    <col min="13355" max="13355" width="9.42578125" style="21" bestFit="1" customWidth="1"/>
    <col min="13356" max="13356" width="1.140625" style="21" customWidth="1"/>
    <col min="13357" max="13587" width="9.140625" style="21"/>
    <col min="13588" max="13588" width="2.140625" style="21" customWidth="1"/>
    <col min="13589" max="13589" width="14" style="21" customWidth="1"/>
    <col min="13590" max="13590" width="0.7109375" style="21" customWidth="1"/>
    <col min="13591" max="13591" width="17.140625" style="21" customWidth="1"/>
    <col min="13592" max="13592" width="1.140625" style="21" customWidth="1"/>
    <col min="13593" max="13593" width="18.28515625" style="21" customWidth="1"/>
    <col min="13594" max="13594" width="1" style="21" customWidth="1"/>
    <col min="13595" max="13595" width="27.5703125" style="21" customWidth="1"/>
    <col min="13596" max="13596" width="1" style="21" customWidth="1"/>
    <col min="13597" max="13597" width="12.7109375" style="21" customWidth="1"/>
    <col min="13598" max="13598" width="1.28515625" style="21" customWidth="1"/>
    <col min="13599" max="13599" width="11.42578125" style="21" customWidth="1"/>
    <col min="13600" max="13600" width="1" style="21" customWidth="1"/>
    <col min="13601" max="13601" width="10.42578125" style="21" customWidth="1"/>
    <col min="13602" max="13602" width="0.85546875" style="21" customWidth="1"/>
    <col min="13603" max="13603" width="14" style="21" customWidth="1"/>
    <col min="13604" max="13604" width="0.85546875" style="21" customWidth="1"/>
    <col min="13605" max="13605" width="10.42578125" style="21" customWidth="1"/>
    <col min="13606" max="13606" width="0.85546875" style="21" customWidth="1"/>
    <col min="13607" max="13607" width="14" style="21" customWidth="1"/>
    <col min="13608" max="13608" width="0.85546875" style="21" customWidth="1"/>
    <col min="13609" max="13609" width="16" style="21" customWidth="1"/>
    <col min="13610" max="13610" width="0.5703125" style="21" customWidth="1"/>
    <col min="13611" max="13611" width="9.42578125" style="21" bestFit="1" customWidth="1"/>
    <col min="13612" max="13612" width="1.140625" style="21" customWidth="1"/>
    <col min="13613" max="13843" width="9.140625" style="21"/>
    <col min="13844" max="13844" width="2.140625" style="21" customWidth="1"/>
    <col min="13845" max="13845" width="14" style="21" customWidth="1"/>
    <col min="13846" max="13846" width="0.7109375" style="21" customWidth="1"/>
    <col min="13847" max="13847" width="17.140625" style="21" customWidth="1"/>
    <col min="13848" max="13848" width="1.140625" style="21" customWidth="1"/>
    <col min="13849" max="13849" width="18.28515625" style="21" customWidth="1"/>
    <col min="13850" max="13850" width="1" style="21" customWidth="1"/>
    <col min="13851" max="13851" width="27.5703125" style="21" customWidth="1"/>
    <col min="13852" max="13852" width="1" style="21" customWidth="1"/>
    <col min="13853" max="13853" width="12.7109375" style="21" customWidth="1"/>
    <col min="13854" max="13854" width="1.28515625" style="21" customWidth="1"/>
    <col min="13855" max="13855" width="11.42578125" style="21" customWidth="1"/>
    <col min="13856" max="13856" width="1" style="21" customWidth="1"/>
    <col min="13857" max="13857" width="10.42578125" style="21" customWidth="1"/>
    <col min="13858" max="13858" width="0.85546875" style="21" customWidth="1"/>
    <col min="13859" max="13859" width="14" style="21" customWidth="1"/>
    <col min="13860" max="13860" width="0.85546875" style="21" customWidth="1"/>
    <col min="13861" max="13861" width="10.42578125" style="21" customWidth="1"/>
    <col min="13862" max="13862" width="0.85546875" style="21" customWidth="1"/>
    <col min="13863" max="13863" width="14" style="21" customWidth="1"/>
    <col min="13864" max="13864" width="0.85546875" style="21" customWidth="1"/>
    <col min="13865" max="13865" width="16" style="21" customWidth="1"/>
    <col min="13866" max="13866" width="0.5703125" style="21" customWidth="1"/>
    <col min="13867" max="13867" width="9.42578125" style="21" bestFit="1" customWidth="1"/>
    <col min="13868" max="13868" width="1.140625" style="21" customWidth="1"/>
    <col min="13869" max="14099" width="9.140625" style="21"/>
    <col min="14100" max="14100" width="2.140625" style="21" customWidth="1"/>
    <col min="14101" max="14101" width="14" style="21" customWidth="1"/>
    <col min="14102" max="14102" width="0.7109375" style="21" customWidth="1"/>
    <col min="14103" max="14103" width="17.140625" style="21" customWidth="1"/>
    <col min="14104" max="14104" width="1.140625" style="21" customWidth="1"/>
    <col min="14105" max="14105" width="18.28515625" style="21" customWidth="1"/>
    <col min="14106" max="14106" width="1" style="21" customWidth="1"/>
    <col min="14107" max="14107" width="27.5703125" style="21" customWidth="1"/>
    <col min="14108" max="14108" width="1" style="21" customWidth="1"/>
    <col min="14109" max="14109" width="12.7109375" style="21" customWidth="1"/>
    <col min="14110" max="14110" width="1.28515625" style="21" customWidth="1"/>
    <col min="14111" max="14111" width="11.42578125" style="21" customWidth="1"/>
    <col min="14112" max="14112" width="1" style="21" customWidth="1"/>
    <col min="14113" max="14113" width="10.42578125" style="21" customWidth="1"/>
    <col min="14114" max="14114" width="0.85546875" style="21" customWidth="1"/>
    <col min="14115" max="14115" width="14" style="21" customWidth="1"/>
    <col min="14116" max="14116" width="0.85546875" style="21" customWidth="1"/>
    <col min="14117" max="14117" width="10.42578125" style="21" customWidth="1"/>
    <col min="14118" max="14118" width="0.85546875" style="21" customWidth="1"/>
    <col min="14119" max="14119" width="14" style="21" customWidth="1"/>
    <col min="14120" max="14120" width="0.85546875" style="21" customWidth="1"/>
    <col min="14121" max="14121" width="16" style="21" customWidth="1"/>
    <col min="14122" max="14122" width="0.5703125" style="21" customWidth="1"/>
    <col min="14123" max="14123" width="9.42578125" style="21" bestFit="1" customWidth="1"/>
    <col min="14124" max="14124" width="1.140625" style="21" customWidth="1"/>
    <col min="14125" max="14355" width="9.140625" style="21"/>
    <col min="14356" max="14356" width="2.140625" style="21" customWidth="1"/>
    <col min="14357" max="14357" width="14" style="21" customWidth="1"/>
    <col min="14358" max="14358" width="0.7109375" style="21" customWidth="1"/>
    <col min="14359" max="14359" width="17.140625" style="21" customWidth="1"/>
    <col min="14360" max="14360" width="1.140625" style="21" customWidth="1"/>
    <col min="14361" max="14361" width="18.28515625" style="21" customWidth="1"/>
    <col min="14362" max="14362" width="1" style="21" customWidth="1"/>
    <col min="14363" max="14363" width="27.5703125" style="21" customWidth="1"/>
    <col min="14364" max="14364" width="1" style="21" customWidth="1"/>
    <col min="14365" max="14365" width="12.7109375" style="21" customWidth="1"/>
    <col min="14366" max="14366" width="1.28515625" style="21" customWidth="1"/>
    <col min="14367" max="14367" width="11.42578125" style="21" customWidth="1"/>
    <col min="14368" max="14368" width="1" style="21" customWidth="1"/>
    <col min="14369" max="14369" width="10.42578125" style="21" customWidth="1"/>
    <col min="14370" max="14370" width="0.85546875" style="21" customWidth="1"/>
    <col min="14371" max="14371" width="14" style="21" customWidth="1"/>
    <col min="14372" max="14372" width="0.85546875" style="21" customWidth="1"/>
    <col min="14373" max="14373" width="10.42578125" style="21" customWidth="1"/>
    <col min="14374" max="14374" width="0.85546875" style="21" customWidth="1"/>
    <col min="14375" max="14375" width="14" style="21" customWidth="1"/>
    <col min="14376" max="14376" width="0.85546875" style="21" customWidth="1"/>
    <col min="14377" max="14377" width="16" style="21" customWidth="1"/>
    <col min="14378" max="14378" width="0.5703125" style="21" customWidth="1"/>
    <col min="14379" max="14379" width="9.42578125" style="21" bestFit="1" customWidth="1"/>
    <col min="14380" max="14380" width="1.140625" style="21" customWidth="1"/>
    <col min="14381" max="14611" width="9.140625" style="21"/>
    <col min="14612" max="14612" width="2.140625" style="21" customWidth="1"/>
    <col min="14613" max="14613" width="14" style="21" customWidth="1"/>
    <col min="14614" max="14614" width="0.7109375" style="21" customWidth="1"/>
    <col min="14615" max="14615" width="17.140625" style="21" customWidth="1"/>
    <col min="14616" max="14616" width="1.140625" style="21" customWidth="1"/>
    <col min="14617" max="14617" width="18.28515625" style="21" customWidth="1"/>
    <col min="14618" max="14618" width="1" style="21" customWidth="1"/>
    <col min="14619" max="14619" width="27.5703125" style="21" customWidth="1"/>
    <col min="14620" max="14620" width="1" style="21" customWidth="1"/>
    <col min="14621" max="14621" width="12.7109375" style="21" customWidth="1"/>
    <col min="14622" max="14622" width="1.28515625" style="21" customWidth="1"/>
    <col min="14623" max="14623" width="11.42578125" style="21" customWidth="1"/>
    <col min="14624" max="14624" width="1" style="21" customWidth="1"/>
    <col min="14625" max="14625" width="10.42578125" style="21" customWidth="1"/>
    <col min="14626" max="14626" width="0.85546875" style="21" customWidth="1"/>
    <col min="14627" max="14627" width="14" style="21" customWidth="1"/>
    <col min="14628" max="14628" width="0.85546875" style="21" customWidth="1"/>
    <col min="14629" max="14629" width="10.42578125" style="21" customWidth="1"/>
    <col min="14630" max="14630" width="0.85546875" style="21" customWidth="1"/>
    <col min="14631" max="14631" width="14" style="21" customWidth="1"/>
    <col min="14632" max="14632" width="0.85546875" style="21" customWidth="1"/>
    <col min="14633" max="14633" width="16" style="21" customWidth="1"/>
    <col min="14634" max="14634" width="0.5703125" style="21" customWidth="1"/>
    <col min="14635" max="14635" width="9.42578125" style="21" bestFit="1" customWidth="1"/>
    <col min="14636" max="14636" width="1.140625" style="21" customWidth="1"/>
    <col min="14637" max="14867" width="9.140625" style="21"/>
    <col min="14868" max="14868" width="2.140625" style="21" customWidth="1"/>
    <col min="14869" max="14869" width="14" style="21" customWidth="1"/>
    <col min="14870" max="14870" width="0.7109375" style="21" customWidth="1"/>
    <col min="14871" max="14871" width="17.140625" style="21" customWidth="1"/>
    <col min="14872" max="14872" width="1.140625" style="21" customWidth="1"/>
    <col min="14873" max="14873" width="18.28515625" style="21" customWidth="1"/>
    <col min="14874" max="14874" width="1" style="21" customWidth="1"/>
    <col min="14875" max="14875" width="27.5703125" style="21" customWidth="1"/>
    <col min="14876" max="14876" width="1" style="21" customWidth="1"/>
    <col min="14877" max="14877" width="12.7109375" style="21" customWidth="1"/>
    <col min="14878" max="14878" width="1.28515625" style="21" customWidth="1"/>
    <col min="14879" max="14879" width="11.42578125" style="21" customWidth="1"/>
    <col min="14880" max="14880" width="1" style="21" customWidth="1"/>
    <col min="14881" max="14881" width="10.42578125" style="21" customWidth="1"/>
    <col min="14882" max="14882" width="0.85546875" style="21" customWidth="1"/>
    <col min="14883" max="14883" width="14" style="21" customWidth="1"/>
    <col min="14884" max="14884" width="0.85546875" style="21" customWidth="1"/>
    <col min="14885" max="14885" width="10.42578125" style="21" customWidth="1"/>
    <col min="14886" max="14886" width="0.85546875" style="21" customWidth="1"/>
    <col min="14887" max="14887" width="14" style="21" customWidth="1"/>
    <col min="14888" max="14888" width="0.85546875" style="21" customWidth="1"/>
    <col min="14889" max="14889" width="16" style="21" customWidth="1"/>
    <col min="14890" max="14890" width="0.5703125" style="21" customWidth="1"/>
    <col min="14891" max="14891" width="9.42578125" style="21" bestFit="1" customWidth="1"/>
    <col min="14892" max="14892" width="1.140625" style="21" customWidth="1"/>
    <col min="14893" max="15123" width="9.140625" style="21"/>
    <col min="15124" max="15124" width="2.140625" style="21" customWidth="1"/>
    <col min="15125" max="15125" width="14" style="21" customWidth="1"/>
    <col min="15126" max="15126" width="0.7109375" style="21" customWidth="1"/>
    <col min="15127" max="15127" width="17.140625" style="21" customWidth="1"/>
    <col min="15128" max="15128" width="1.140625" style="21" customWidth="1"/>
    <col min="15129" max="15129" width="18.28515625" style="21" customWidth="1"/>
    <col min="15130" max="15130" width="1" style="21" customWidth="1"/>
    <col min="15131" max="15131" width="27.5703125" style="21" customWidth="1"/>
    <col min="15132" max="15132" width="1" style="21" customWidth="1"/>
    <col min="15133" max="15133" width="12.7109375" style="21" customWidth="1"/>
    <col min="15134" max="15134" width="1.28515625" style="21" customWidth="1"/>
    <col min="15135" max="15135" width="11.42578125" style="21" customWidth="1"/>
    <col min="15136" max="15136" width="1" style="21" customWidth="1"/>
    <col min="15137" max="15137" width="10.42578125" style="21" customWidth="1"/>
    <col min="15138" max="15138" width="0.85546875" style="21" customWidth="1"/>
    <col min="15139" max="15139" width="14" style="21" customWidth="1"/>
    <col min="15140" max="15140" width="0.85546875" style="21" customWidth="1"/>
    <col min="15141" max="15141" width="10.42578125" style="21" customWidth="1"/>
    <col min="15142" max="15142" width="0.85546875" style="21" customWidth="1"/>
    <col min="15143" max="15143" width="14" style="21" customWidth="1"/>
    <col min="15144" max="15144" width="0.85546875" style="21" customWidth="1"/>
    <col min="15145" max="15145" width="16" style="21" customWidth="1"/>
    <col min="15146" max="15146" width="0.5703125" style="21" customWidth="1"/>
    <col min="15147" max="15147" width="9.42578125" style="21" bestFit="1" customWidth="1"/>
    <col min="15148" max="15148" width="1.140625" style="21" customWidth="1"/>
    <col min="15149" max="15379" width="9.140625" style="21"/>
    <col min="15380" max="15380" width="2.140625" style="21" customWidth="1"/>
    <col min="15381" max="15381" width="14" style="21" customWidth="1"/>
    <col min="15382" max="15382" width="0.7109375" style="21" customWidth="1"/>
    <col min="15383" max="15383" width="17.140625" style="21" customWidth="1"/>
    <col min="15384" max="15384" width="1.140625" style="21" customWidth="1"/>
    <col min="15385" max="15385" width="18.28515625" style="21" customWidth="1"/>
    <col min="15386" max="15386" width="1" style="21" customWidth="1"/>
    <col min="15387" max="15387" width="27.5703125" style="21" customWidth="1"/>
    <col min="15388" max="15388" width="1" style="21" customWidth="1"/>
    <col min="15389" max="15389" width="12.7109375" style="21" customWidth="1"/>
    <col min="15390" max="15390" width="1.28515625" style="21" customWidth="1"/>
    <col min="15391" max="15391" width="11.42578125" style="21" customWidth="1"/>
    <col min="15392" max="15392" width="1" style="21" customWidth="1"/>
    <col min="15393" max="15393" width="10.42578125" style="21" customWidth="1"/>
    <col min="15394" max="15394" width="0.85546875" style="21" customWidth="1"/>
    <col min="15395" max="15395" width="14" style="21" customWidth="1"/>
    <col min="15396" max="15396" width="0.85546875" style="21" customWidth="1"/>
    <col min="15397" max="15397" width="10.42578125" style="21" customWidth="1"/>
    <col min="15398" max="15398" width="0.85546875" style="21" customWidth="1"/>
    <col min="15399" max="15399" width="14" style="21" customWidth="1"/>
    <col min="15400" max="15400" width="0.85546875" style="21" customWidth="1"/>
    <col min="15401" max="15401" width="16" style="21" customWidth="1"/>
    <col min="15402" max="15402" width="0.5703125" style="21" customWidth="1"/>
    <col min="15403" max="15403" width="9.42578125" style="21" bestFit="1" customWidth="1"/>
    <col min="15404" max="15404" width="1.140625" style="21" customWidth="1"/>
    <col min="15405" max="15635" width="9.140625" style="21"/>
    <col min="15636" max="15636" width="2.140625" style="21" customWidth="1"/>
    <col min="15637" max="15637" width="14" style="21" customWidth="1"/>
    <col min="15638" max="15638" width="0.7109375" style="21" customWidth="1"/>
    <col min="15639" max="15639" width="17.140625" style="21" customWidth="1"/>
    <col min="15640" max="15640" width="1.140625" style="21" customWidth="1"/>
    <col min="15641" max="15641" width="18.28515625" style="21" customWidth="1"/>
    <col min="15642" max="15642" width="1" style="21" customWidth="1"/>
    <col min="15643" max="15643" width="27.5703125" style="21" customWidth="1"/>
    <col min="15644" max="15644" width="1" style="21" customWidth="1"/>
    <col min="15645" max="15645" width="12.7109375" style="21" customWidth="1"/>
    <col min="15646" max="15646" width="1.28515625" style="21" customWidth="1"/>
    <col min="15647" max="15647" width="11.42578125" style="21" customWidth="1"/>
    <col min="15648" max="15648" width="1" style="21" customWidth="1"/>
    <col min="15649" max="15649" width="10.42578125" style="21" customWidth="1"/>
    <col min="15650" max="15650" width="0.85546875" style="21" customWidth="1"/>
    <col min="15651" max="15651" width="14" style="21" customWidth="1"/>
    <col min="15652" max="15652" width="0.85546875" style="21" customWidth="1"/>
    <col min="15653" max="15653" width="10.42578125" style="21" customWidth="1"/>
    <col min="15654" max="15654" width="0.85546875" style="21" customWidth="1"/>
    <col min="15655" max="15655" width="14" style="21" customWidth="1"/>
    <col min="15656" max="15656" width="0.85546875" style="21" customWidth="1"/>
    <col min="15657" max="15657" width="16" style="21" customWidth="1"/>
    <col min="15658" max="15658" width="0.5703125" style="21" customWidth="1"/>
    <col min="15659" max="15659" width="9.42578125" style="21" bestFit="1" customWidth="1"/>
    <col min="15660" max="15660" width="1.140625" style="21" customWidth="1"/>
    <col min="15661" max="15891" width="9.140625" style="21"/>
    <col min="15892" max="15892" width="2.140625" style="21" customWidth="1"/>
    <col min="15893" max="15893" width="14" style="21" customWidth="1"/>
    <col min="15894" max="15894" width="0.7109375" style="21" customWidth="1"/>
    <col min="15895" max="15895" width="17.140625" style="21" customWidth="1"/>
    <col min="15896" max="15896" width="1.140625" style="21" customWidth="1"/>
    <col min="15897" max="15897" width="18.28515625" style="21" customWidth="1"/>
    <col min="15898" max="15898" width="1" style="21" customWidth="1"/>
    <col min="15899" max="15899" width="27.5703125" style="21" customWidth="1"/>
    <col min="15900" max="15900" width="1" style="21" customWidth="1"/>
    <col min="15901" max="15901" width="12.7109375" style="21" customWidth="1"/>
    <col min="15902" max="15902" width="1.28515625" style="21" customWidth="1"/>
    <col min="15903" max="15903" width="11.42578125" style="21" customWidth="1"/>
    <col min="15904" max="15904" width="1" style="21" customWidth="1"/>
    <col min="15905" max="15905" width="10.42578125" style="21" customWidth="1"/>
    <col min="15906" max="15906" width="0.85546875" style="21" customWidth="1"/>
    <col min="15907" max="15907" width="14" style="21" customWidth="1"/>
    <col min="15908" max="15908" width="0.85546875" style="21" customWidth="1"/>
    <col min="15909" max="15909" width="10.42578125" style="21" customWidth="1"/>
    <col min="15910" max="15910" width="0.85546875" style="21" customWidth="1"/>
    <col min="15911" max="15911" width="14" style="21" customWidth="1"/>
    <col min="15912" max="15912" width="0.85546875" style="21" customWidth="1"/>
    <col min="15913" max="15913" width="16" style="21" customWidth="1"/>
    <col min="15914" max="15914" width="0.5703125" style="21" customWidth="1"/>
    <col min="15915" max="15915" width="9.42578125" style="21" bestFit="1" customWidth="1"/>
    <col min="15916" max="15916" width="1.140625" style="21" customWidth="1"/>
    <col min="15917" max="16147" width="9.140625" style="21"/>
    <col min="16148" max="16148" width="2.140625" style="21" customWidth="1"/>
    <col min="16149" max="16149" width="14" style="21" customWidth="1"/>
    <col min="16150" max="16150" width="0.7109375" style="21" customWidth="1"/>
    <col min="16151" max="16151" width="17.140625" style="21" customWidth="1"/>
    <col min="16152" max="16152" width="1.140625" style="21" customWidth="1"/>
    <col min="16153" max="16153" width="18.28515625" style="21" customWidth="1"/>
    <col min="16154" max="16154" width="1" style="21" customWidth="1"/>
    <col min="16155" max="16155" width="27.5703125" style="21" customWidth="1"/>
    <col min="16156" max="16156" width="1" style="21" customWidth="1"/>
    <col min="16157" max="16157" width="12.7109375" style="21" customWidth="1"/>
    <col min="16158" max="16158" width="1.28515625" style="21" customWidth="1"/>
    <col min="16159" max="16159" width="11.42578125" style="21" customWidth="1"/>
    <col min="16160" max="16160" width="1" style="21" customWidth="1"/>
    <col min="16161" max="16161" width="10.42578125" style="21" customWidth="1"/>
    <col min="16162" max="16162" width="0.85546875" style="21" customWidth="1"/>
    <col min="16163" max="16163" width="14" style="21" customWidth="1"/>
    <col min="16164" max="16164" width="0.85546875" style="21" customWidth="1"/>
    <col min="16165" max="16165" width="10.42578125" style="21" customWidth="1"/>
    <col min="16166" max="16166" width="0.85546875" style="21" customWidth="1"/>
    <col min="16167" max="16167" width="14" style="21" customWidth="1"/>
    <col min="16168" max="16168" width="0.85546875" style="21" customWidth="1"/>
    <col min="16169" max="16169" width="16" style="21" customWidth="1"/>
    <col min="16170" max="16170" width="0.5703125" style="21" customWidth="1"/>
    <col min="16171" max="16171" width="9.42578125" style="21" bestFit="1" customWidth="1"/>
    <col min="16172" max="16172" width="1.140625" style="21" customWidth="1"/>
    <col min="16173" max="16384" width="9.140625" style="21"/>
  </cols>
  <sheetData>
    <row r="1" spans="1:61" ht="51" x14ac:dyDescent="0.2">
      <c r="A1" s="166" t="s">
        <v>9</v>
      </c>
      <c r="B1" s="166" t="s">
        <v>39</v>
      </c>
      <c r="C1" s="81"/>
      <c r="D1" s="166" t="s">
        <v>0</v>
      </c>
      <c r="E1" s="166"/>
      <c r="F1" s="166" t="s">
        <v>1</v>
      </c>
      <c r="G1" s="166"/>
      <c r="H1" s="167" t="s">
        <v>4</v>
      </c>
      <c r="I1" s="81"/>
      <c r="J1" s="166" t="s">
        <v>2</v>
      </c>
      <c r="K1" s="81"/>
      <c r="L1" s="166" t="s">
        <v>7</v>
      </c>
      <c r="M1" s="81"/>
      <c r="N1" s="166" t="s">
        <v>8</v>
      </c>
      <c r="O1" s="166" t="s">
        <v>23</v>
      </c>
      <c r="P1" s="168" t="s">
        <v>5</v>
      </c>
      <c r="Q1" s="81"/>
      <c r="R1" s="167" t="s">
        <v>6</v>
      </c>
      <c r="S1" s="81"/>
      <c r="T1" s="169" t="s">
        <v>500</v>
      </c>
      <c r="U1" s="81"/>
      <c r="V1" s="170" t="s">
        <v>501</v>
      </c>
      <c r="W1" s="81"/>
      <c r="X1" s="169" t="s">
        <v>613</v>
      </c>
      <c r="Y1" s="171"/>
      <c r="Z1" s="170" t="s">
        <v>614</v>
      </c>
      <c r="AA1" s="171"/>
      <c r="AB1" s="169" t="s">
        <v>615</v>
      </c>
      <c r="AC1" s="171"/>
      <c r="AD1" s="170" t="s">
        <v>616</v>
      </c>
      <c r="AE1" s="169" t="s">
        <v>617</v>
      </c>
      <c r="AF1" s="171"/>
      <c r="AG1" s="170" t="s">
        <v>618</v>
      </c>
      <c r="AH1" s="169" t="s">
        <v>698</v>
      </c>
      <c r="AI1" s="171"/>
      <c r="AJ1" s="170" t="s">
        <v>699</v>
      </c>
      <c r="AK1" s="169" t="s">
        <v>700</v>
      </c>
      <c r="AL1" s="171"/>
      <c r="AM1" s="170" t="s">
        <v>701</v>
      </c>
      <c r="AN1" s="170"/>
      <c r="AO1" s="169" t="s">
        <v>772</v>
      </c>
      <c r="AP1" s="170" t="s">
        <v>773</v>
      </c>
      <c r="AQ1" s="170"/>
      <c r="AR1" s="169" t="s">
        <v>774</v>
      </c>
      <c r="AS1" s="170" t="s">
        <v>775</v>
      </c>
      <c r="AT1" s="170"/>
      <c r="AU1" s="269" t="s">
        <v>706</v>
      </c>
      <c r="AV1" s="272" t="s">
        <v>24</v>
      </c>
      <c r="AW1" s="273" t="s">
        <v>3</v>
      </c>
    </row>
    <row r="2" spans="1:61" ht="159.6" customHeight="1" x14ac:dyDescent="0.2">
      <c r="A2" s="86" t="s">
        <v>31</v>
      </c>
      <c r="B2" s="88" t="s">
        <v>38</v>
      </c>
      <c r="C2" s="125"/>
      <c r="D2" s="89" t="s">
        <v>36</v>
      </c>
      <c r="E2" s="88"/>
      <c r="F2" s="89" t="s">
        <v>452</v>
      </c>
      <c r="G2" s="88"/>
      <c r="H2" s="88" t="s">
        <v>624</v>
      </c>
      <c r="I2" s="125"/>
      <c r="J2" s="88" t="s">
        <v>32</v>
      </c>
      <c r="K2" s="125"/>
      <c r="L2" s="88" t="s">
        <v>38</v>
      </c>
      <c r="M2" s="125"/>
      <c r="N2" s="125">
        <v>2004</v>
      </c>
      <c r="O2" s="87" t="s">
        <v>33</v>
      </c>
      <c r="P2" s="106"/>
      <c r="Q2" s="125"/>
      <c r="R2" s="106">
        <v>17000000</v>
      </c>
      <c r="S2" s="125"/>
      <c r="T2" s="125"/>
      <c r="U2" s="125"/>
      <c r="V2" s="106">
        <v>17194581</v>
      </c>
      <c r="W2" s="125"/>
      <c r="X2" s="106"/>
      <c r="Y2" s="125"/>
      <c r="Z2" s="106">
        <v>17443114.859999999</v>
      </c>
      <c r="AA2" s="125"/>
      <c r="AB2" s="125"/>
      <c r="AC2" s="125"/>
      <c r="AD2" s="106">
        <v>17319283.120000001</v>
      </c>
      <c r="AE2" s="125"/>
      <c r="AF2" s="125"/>
      <c r="AG2" s="106">
        <v>26166213</v>
      </c>
      <c r="AH2" s="125"/>
      <c r="AI2" s="125"/>
      <c r="AJ2" s="106">
        <v>28111370</v>
      </c>
      <c r="AK2" s="125"/>
      <c r="AL2" s="125"/>
      <c r="AM2" s="106">
        <v>28811985</v>
      </c>
      <c r="AN2" s="106"/>
      <c r="AO2" s="305">
        <v>125</v>
      </c>
      <c r="AP2" s="106">
        <v>23171030</v>
      </c>
      <c r="AQ2" s="106"/>
      <c r="AR2" s="305">
        <v>121</v>
      </c>
      <c r="AS2" s="106">
        <v>27146110</v>
      </c>
      <c r="AT2" s="106"/>
      <c r="AU2" s="304" t="s">
        <v>707</v>
      </c>
      <c r="AV2" s="86" t="s">
        <v>35</v>
      </c>
      <c r="AW2" s="86" t="s">
        <v>34</v>
      </c>
    </row>
    <row r="3" spans="1:61" ht="118.5" customHeight="1" x14ac:dyDescent="0.2">
      <c r="A3" s="172" t="s">
        <v>31</v>
      </c>
      <c r="B3" s="174" t="s">
        <v>448</v>
      </c>
      <c r="C3" s="175"/>
      <c r="D3" s="176" t="s">
        <v>42</v>
      </c>
      <c r="E3" s="174"/>
      <c r="F3" s="176" t="s">
        <v>43</v>
      </c>
      <c r="G3" s="174"/>
      <c r="H3" s="174" t="s">
        <v>46</v>
      </c>
      <c r="I3" s="175"/>
      <c r="J3" s="174" t="s">
        <v>44</v>
      </c>
      <c r="K3" s="175"/>
      <c r="L3" s="174" t="s">
        <v>448</v>
      </c>
      <c r="M3" s="175"/>
      <c r="N3" s="175"/>
      <c r="O3" s="173" t="s">
        <v>45</v>
      </c>
      <c r="P3" s="175">
        <v>1</v>
      </c>
      <c r="Q3" s="175"/>
      <c r="R3" s="177">
        <v>220000</v>
      </c>
      <c r="S3" s="175"/>
      <c r="T3" s="175"/>
      <c r="U3" s="175"/>
      <c r="V3" s="177">
        <v>590452</v>
      </c>
      <c r="W3" s="175"/>
      <c r="X3" s="175"/>
      <c r="Y3" s="175"/>
      <c r="Z3" s="177"/>
      <c r="AA3" s="175"/>
      <c r="AB3" s="175"/>
      <c r="AC3" s="175"/>
      <c r="AD3" s="177"/>
      <c r="AE3" s="175"/>
      <c r="AF3" s="175"/>
      <c r="AG3" s="177"/>
      <c r="AH3" s="175"/>
      <c r="AI3" s="175"/>
      <c r="AJ3" s="177"/>
      <c r="AK3" s="175"/>
      <c r="AL3" s="175"/>
      <c r="AM3" s="270"/>
      <c r="AN3" s="270"/>
      <c r="AO3" s="270"/>
      <c r="AP3" s="270"/>
      <c r="AQ3" s="270"/>
      <c r="AR3" s="270"/>
      <c r="AS3" s="270"/>
      <c r="AT3" s="270"/>
      <c r="AV3" s="80" t="s">
        <v>453</v>
      </c>
      <c r="AW3" s="80" t="s">
        <v>47</v>
      </c>
    </row>
    <row r="4" spans="1:61" s="37" customFormat="1" ht="24" customHeight="1" x14ac:dyDescent="0.2">
      <c r="A4" s="510" t="s">
        <v>499</v>
      </c>
      <c r="B4" s="511"/>
      <c r="C4" s="264"/>
      <c r="D4" s="265"/>
      <c r="E4" s="266"/>
      <c r="F4" s="265"/>
      <c r="G4" s="266"/>
      <c r="H4" s="266"/>
      <c r="I4" s="264"/>
      <c r="J4" s="266"/>
      <c r="K4" s="264"/>
      <c r="L4" s="264"/>
      <c r="M4" s="264"/>
      <c r="N4" s="264"/>
      <c r="O4" s="263"/>
      <c r="P4" s="264"/>
      <c r="Q4" s="264"/>
      <c r="R4" s="267">
        <f>SUM(R2:R3)</f>
        <v>17220000</v>
      </c>
      <c r="S4" s="264"/>
      <c r="T4" s="257"/>
      <c r="U4" s="264"/>
      <c r="V4" s="267">
        <f>SUM(V2:V3)</f>
        <v>17785033</v>
      </c>
      <c r="W4" s="264"/>
      <c r="X4" s="264"/>
      <c r="Y4" s="264"/>
      <c r="Z4" s="267">
        <f>Z2</f>
        <v>17443114.859999999</v>
      </c>
      <c r="AA4" s="264"/>
      <c r="AB4" s="257"/>
      <c r="AC4" s="264"/>
      <c r="AD4" s="267">
        <f>AD2</f>
        <v>17319283.120000001</v>
      </c>
      <c r="AE4" s="257"/>
      <c r="AF4" s="264"/>
      <c r="AG4" s="267">
        <f>SUM(AG2:AG3)</f>
        <v>26166213</v>
      </c>
      <c r="AH4" s="257"/>
      <c r="AI4" s="264"/>
      <c r="AJ4" s="267">
        <f>SUM(AJ2:AJ3)</f>
        <v>28111370</v>
      </c>
      <c r="AK4" s="257"/>
      <c r="AL4" s="264"/>
      <c r="AM4" s="267">
        <f>SUM(AM2:AM3)</f>
        <v>28811985</v>
      </c>
      <c r="AN4" s="267"/>
      <c r="AO4" s="267"/>
      <c r="AP4" s="267">
        <v>23171030</v>
      </c>
      <c r="AQ4" s="267"/>
      <c r="AR4" s="267"/>
      <c r="AS4" s="267">
        <v>27146110</v>
      </c>
      <c r="AT4" s="267"/>
      <c r="AU4" s="268"/>
      <c r="AV4" s="263"/>
      <c r="AW4" s="256"/>
      <c r="AX4" s="271"/>
      <c r="AY4" s="271"/>
      <c r="AZ4" s="271"/>
      <c r="BA4" s="271"/>
      <c r="BB4" s="271"/>
      <c r="BC4" s="271"/>
      <c r="BD4" s="271"/>
      <c r="BE4" s="271"/>
      <c r="BF4" s="271"/>
      <c r="BG4" s="271"/>
      <c r="BH4" s="271"/>
      <c r="BI4" s="271"/>
    </row>
    <row r="5" spans="1:61" s="22" customFormat="1" ht="21.75" customHeight="1" x14ac:dyDescent="0.2">
      <c r="A5" s="512"/>
      <c r="B5" s="512"/>
      <c r="C5" s="512"/>
      <c r="D5" s="512"/>
      <c r="E5" s="512"/>
      <c r="F5" s="512"/>
      <c r="G5" s="92"/>
      <c r="H5" s="92"/>
      <c r="I5" s="93"/>
      <c r="J5" s="92"/>
      <c r="K5" s="93"/>
      <c r="L5" s="93"/>
      <c r="M5" s="93"/>
      <c r="N5" s="93"/>
      <c r="P5" s="93"/>
      <c r="Q5" s="93"/>
      <c r="R5" s="102"/>
      <c r="S5" s="93"/>
      <c r="T5" s="93"/>
      <c r="U5" s="93"/>
      <c r="V5" s="102"/>
      <c r="W5" s="93"/>
      <c r="X5" s="93"/>
      <c r="Y5" s="93"/>
      <c r="Z5" s="102"/>
      <c r="AA5" s="93"/>
      <c r="AB5" s="93"/>
      <c r="AC5" s="93"/>
      <c r="AD5" s="102"/>
      <c r="AE5" s="93"/>
      <c r="AF5" s="93"/>
      <c r="AG5" s="102"/>
      <c r="AH5" s="93"/>
      <c r="AI5" s="93"/>
      <c r="AJ5" s="102"/>
      <c r="AK5" s="93"/>
      <c r="AL5" s="93"/>
      <c r="AM5" s="102"/>
      <c r="AN5" s="102"/>
      <c r="AO5" s="102"/>
      <c r="AP5" s="102"/>
      <c r="AQ5" s="102"/>
      <c r="AR5" s="102"/>
      <c r="AS5" s="102"/>
      <c r="AT5" s="102"/>
      <c r="AU5" s="121"/>
    </row>
    <row r="6" spans="1:61" s="132" customFormat="1" ht="19.899999999999999" customHeight="1" x14ac:dyDescent="0.2">
      <c r="A6" s="325" t="s">
        <v>948</v>
      </c>
      <c r="B6" s="134"/>
      <c r="C6" s="135"/>
      <c r="D6" s="136"/>
      <c r="E6" s="134"/>
      <c r="F6" s="136"/>
      <c r="G6" s="134"/>
      <c r="H6" s="134"/>
      <c r="I6" s="135"/>
      <c r="J6" s="135"/>
      <c r="K6" s="135"/>
      <c r="L6" s="135"/>
      <c r="M6" s="135"/>
      <c r="N6" s="135"/>
      <c r="P6" s="135"/>
      <c r="Q6" s="135"/>
      <c r="R6" s="137"/>
      <c r="S6" s="135"/>
      <c r="T6" s="135"/>
      <c r="U6" s="135"/>
      <c r="V6" s="135"/>
      <c r="W6" s="135"/>
      <c r="X6" s="135"/>
      <c r="Y6" s="135"/>
      <c r="Z6" s="137"/>
      <c r="AA6" s="135"/>
      <c r="AB6" s="135"/>
      <c r="AC6" s="135"/>
      <c r="AD6" s="135"/>
      <c r="AE6" s="135"/>
      <c r="AF6" s="135"/>
      <c r="AG6" s="135"/>
      <c r="AH6" s="135"/>
      <c r="AI6" s="135"/>
      <c r="AJ6" s="135"/>
      <c r="AK6" s="135"/>
      <c r="AL6" s="135"/>
      <c r="AM6" s="135"/>
      <c r="AN6" s="135"/>
      <c r="AO6" s="135"/>
      <c r="AP6" s="135"/>
      <c r="AQ6" s="135"/>
      <c r="AR6" s="135"/>
      <c r="AS6" s="135"/>
      <c r="AT6" s="135"/>
      <c r="AU6" s="121"/>
    </row>
    <row r="7" spans="1:61" s="22" customFormat="1" x14ac:dyDescent="0.2">
      <c r="A7" s="91"/>
      <c r="B7" s="92"/>
      <c r="C7" s="93"/>
      <c r="D7" s="94"/>
      <c r="E7" s="92"/>
      <c r="F7" s="94"/>
      <c r="G7" s="92"/>
      <c r="H7" s="92"/>
      <c r="I7" s="93"/>
      <c r="J7" s="92"/>
      <c r="K7" s="93"/>
      <c r="L7" s="93"/>
      <c r="M7" s="93"/>
      <c r="N7" s="93"/>
      <c r="P7" s="93"/>
      <c r="Q7" s="93"/>
      <c r="R7" s="102"/>
      <c r="S7" s="93"/>
      <c r="T7" s="93"/>
      <c r="U7" s="93"/>
      <c r="V7" s="102"/>
      <c r="W7" s="93"/>
      <c r="X7" s="93"/>
      <c r="Y7" s="93"/>
      <c r="Z7" s="102"/>
      <c r="AA7" s="93"/>
      <c r="AB7" s="93"/>
      <c r="AC7" s="93"/>
      <c r="AD7" s="102"/>
      <c r="AE7" s="93"/>
      <c r="AF7" s="93"/>
      <c r="AG7" s="102"/>
      <c r="AH7" s="93"/>
      <c r="AI7" s="93"/>
      <c r="AJ7" s="102"/>
      <c r="AK7" s="93"/>
      <c r="AL7" s="93"/>
      <c r="AM7" s="102"/>
      <c r="AN7" s="102"/>
      <c r="AO7" s="102"/>
      <c r="AP7" s="102"/>
      <c r="AQ7" s="102"/>
      <c r="AR7" s="102"/>
      <c r="AS7" s="102"/>
      <c r="AT7" s="102"/>
      <c r="AU7" s="121"/>
    </row>
    <row r="8" spans="1:61" s="22" customFormat="1" x14ac:dyDescent="0.2">
      <c r="A8" s="91"/>
      <c r="B8" s="92"/>
      <c r="C8" s="93"/>
      <c r="D8" s="94"/>
      <c r="E8" s="92"/>
      <c r="F8" s="94"/>
      <c r="G8" s="92"/>
      <c r="H8" s="92"/>
      <c r="I8" s="93"/>
      <c r="J8" s="92"/>
      <c r="K8" s="93"/>
      <c r="L8" s="92"/>
      <c r="M8" s="93"/>
      <c r="N8" s="93"/>
      <c r="P8" s="93"/>
      <c r="Q8" s="93"/>
      <c r="R8" s="102"/>
      <c r="S8" s="93"/>
      <c r="T8" s="93"/>
      <c r="U8" s="93"/>
      <c r="V8" s="102"/>
      <c r="W8" s="93"/>
      <c r="X8" s="93"/>
      <c r="Y8" s="93"/>
      <c r="Z8" s="102"/>
      <c r="AA8" s="93"/>
      <c r="AB8" s="93"/>
      <c r="AC8" s="93"/>
      <c r="AD8" s="102"/>
      <c r="AE8" s="93"/>
      <c r="AF8" s="93"/>
      <c r="AG8" s="102"/>
      <c r="AH8" s="93"/>
      <c r="AI8" s="93"/>
      <c r="AJ8" s="102"/>
      <c r="AK8" s="93"/>
      <c r="AL8" s="93"/>
      <c r="AM8" s="102"/>
      <c r="AN8" s="102"/>
      <c r="AO8" s="102"/>
      <c r="AP8" s="102"/>
      <c r="AQ8" s="102"/>
      <c r="AR8" s="102"/>
      <c r="AS8" s="102"/>
      <c r="AT8" s="102"/>
      <c r="AU8" s="121"/>
    </row>
    <row r="9" spans="1:61" s="22" customFormat="1" x14ac:dyDescent="0.2">
      <c r="A9" s="91"/>
      <c r="B9" s="92"/>
      <c r="C9" s="93"/>
      <c r="D9" s="94"/>
      <c r="E9" s="92"/>
      <c r="F9" s="94"/>
      <c r="G9" s="92"/>
      <c r="H9" s="92"/>
      <c r="I9" s="93"/>
      <c r="J9" s="92"/>
      <c r="K9" s="93"/>
      <c r="L9" s="93"/>
      <c r="M9" s="93"/>
      <c r="N9" s="93"/>
      <c r="P9" s="93"/>
      <c r="Q9" s="93"/>
      <c r="R9" s="102"/>
      <c r="S9" s="93"/>
      <c r="T9" s="93"/>
      <c r="U9" s="93"/>
      <c r="V9" s="102"/>
      <c r="W9" s="93"/>
      <c r="X9" s="93"/>
      <c r="Y9" s="93"/>
      <c r="Z9" s="102"/>
      <c r="AA9" s="93"/>
      <c r="AB9" s="93"/>
      <c r="AC9" s="93"/>
      <c r="AD9" s="102"/>
      <c r="AE9" s="93"/>
      <c r="AF9" s="93"/>
      <c r="AG9" s="102"/>
      <c r="AH9" s="93"/>
      <c r="AI9" s="93"/>
      <c r="AJ9" s="102"/>
      <c r="AK9" s="93"/>
      <c r="AL9" s="93"/>
      <c r="AM9" s="102"/>
      <c r="AN9" s="102"/>
      <c r="AO9" s="102"/>
      <c r="AP9" s="102"/>
      <c r="AQ9" s="102"/>
      <c r="AR9" s="102"/>
      <c r="AS9" s="102"/>
      <c r="AT9" s="102"/>
      <c r="AU9" s="121"/>
    </row>
    <row r="10" spans="1:61" s="22" customFormat="1" x14ac:dyDescent="0.2">
      <c r="A10" s="91"/>
      <c r="B10" s="92"/>
      <c r="C10" s="93"/>
      <c r="D10" s="94"/>
      <c r="E10" s="92"/>
      <c r="F10" s="94"/>
      <c r="G10" s="92"/>
      <c r="H10" s="92"/>
      <c r="I10" s="93"/>
      <c r="J10" s="92"/>
      <c r="K10" s="93"/>
      <c r="L10" s="93"/>
      <c r="M10" s="93"/>
      <c r="N10" s="93"/>
      <c r="P10" s="93"/>
      <c r="Q10" s="93"/>
      <c r="R10" s="102"/>
      <c r="S10" s="93"/>
      <c r="T10" s="93"/>
      <c r="U10" s="93"/>
      <c r="V10" s="102"/>
      <c r="W10" s="93"/>
      <c r="X10" s="93"/>
      <c r="Y10" s="93"/>
      <c r="Z10" s="102"/>
      <c r="AA10" s="93"/>
      <c r="AB10" s="93"/>
      <c r="AC10" s="93"/>
      <c r="AD10" s="102"/>
      <c r="AE10" s="93"/>
      <c r="AF10" s="93"/>
      <c r="AG10" s="102"/>
      <c r="AH10" s="93"/>
      <c r="AI10" s="93"/>
      <c r="AJ10" s="102"/>
      <c r="AK10" s="93"/>
      <c r="AL10" s="93"/>
      <c r="AM10" s="102"/>
      <c r="AN10" s="102"/>
      <c r="AO10" s="102"/>
      <c r="AP10" s="102"/>
      <c r="AQ10" s="102"/>
      <c r="AR10" s="102"/>
      <c r="AS10" s="102"/>
      <c r="AT10" s="102"/>
      <c r="AU10" s="121"/>
    </row>
    <row r="11" spans="1:61" s="22" customFormat="1" x14ac:dyDescent="0.2">
      <c r="A11" s="91"/>
      <c r="B11" s="92"/>
      <c r="C11" s="93"/>
      <c r="D11" s="94"/>
      <c r="E11" s="92"/>
      <c r="F11" s="94"/>
      <c r="G11" s="92"/>
      <c r="H11" s="92"/>
      <c r="I11" s="93"/>
      <c r="J11" s="92"/>
      <c r="K11" s="93"/>
      <c r="L11" s="93"/>
      <c r="M11" s="93"/>
      <c r="N11" s="93"/>
      <c r="P11" s="93"/>
      <c r="Q11" s="93"/>
      <c r="R11" s="102"/>
      <c r="S11" s="93"/>
      <c r="T11" s="93"/>
      <c r="U11" s="93"/>
      <c r="V11" s="102"/>
      <c r="W11" s="93"/>
      <c r="X11" s="93"/>
      <c r="Y11" s="93"/>
      <c r="Z11" s="102"/>
      <c r="AA11" s="93"/>
      <c r="AB11" s="93"/>
      <c r="AC11" s="93"/>
      <c r="AD11" s="102"/>
      <c r="AE11" s="93"/>
      <c r="AF11" s="93"/>
      <c r="AG11" s="102"/>
      <c r="AH11" s="93"/>
      <c r="AI11" s="93"/>
      <c r="AJ11" s="102"/>
      <c r="AK11" s="93"/>
      <c r="AL11" s="93"/>
      <c r="AM11" s="102"/>
      <c r="AN11" s="102"/>
      <c r="AO11" s="102"/>
      <c r="AP11" s="102"/>
      <c r="AQ11" s="102"/>
      <c r="AR11" s="102"/>
      <c r="AS11" s="102"/>
      <c r="AT11" s="102"/>
      <c r="AU11" s="121"/>
    </row>
    <row r="12" spans="1:61" s="22" customFormat="1" x14ac:dyDescent="0.2">
      <c r="A12" s="91"/>
      <c r="B12" s="92"/>
      <c r="C12" s="93"/>
      <c r="D12" s="94"/>
      <c r="E12" s="92"/>
      <c r="F12" s="94"/>
      <c r="G12" s="92"/>
      <c r="H12" s="92"/>
      <c r="I12" s="93"/>
      <c r="J12" s="92"/>
      <c r="K12" s="93"/>
      <c r="L12" s="93"/>
      <c r="M12" s="93"/>
      <c r="N12" s="93"/>
      <c r="P12" s="93"/>
      <c r="Q12" s="93"/>
      <c r="R12" s="102"/>
      <c r="S12" s="93"/>
      <c r="T12" s="93"/>
      <c r="U12" s="93"/>
      <c r="V12" s="102"/>
      <c r="W12" s="93"/>
      <c r="X12" s="93"/>
      <c r="Y12" s="93"/>
      <c r="Z12" s="102"/>
      <c r="AA12" s="93"/>
      <c r="AB12" s="93"/>
      <c r="AC12" s="93"/>
      <c r="AD12" s="102"/>
      <c r="AE12" s="93"/>
      <c r="AF12" s="93"/>
      <c r="AG12" s="102"/>
      <c r="AH12" s="93"/>
      <c r="AI12" s="93"/>
      <c r="AJ12" s="102"/>
      <c r="AK12" s="93"/>
      <c r="AL12" s="93"/>
      <c r="AM12" s="102"/>
      <c r="AN12" s="102"/>
      <c r="AO12" s="102"/>
      <c r="AP12" s="102"/>
      <c r="AQ12" s="102"/>
      <c r="AR12" s="102"/>
      <c r="AS12" s="102"/>
      <c r="AT12" s="102"/>
      <c r="AU12" s="121"/>
    </row>
    <row r="13" spans="1:61" s="22" customFormat="1" x14ac:dyDescent="0.2">
      <c r="A13" s="91"/>
      <c r="B13" s="92"/>
      <c r="C13" s="93"/>
      <c r="D13" s="94"/>
      <c r="E13" s="92"/>
      <c r="F13" s="94"/>
      <c r="G13" s="92"/>
      <c r="H13" s="92"/>
      <c r="I13" s="93"/>
      <c r="J13" s="92"/>
      <c r="K13" s="93"/>
      <c r="L13" s="93"/>
      <c r="M13" s="93"/>
      <c r="N13" s="93"/>
      <c r="P13" s="93"/>
      <c r="Q13" s="93"/>
      <c r="R13" s="102"/>
      <c r="S13" s="93"/>
      <c r="T13" s="93"/>
      <c r="U13" s="93"/>
      <c r="V13" s="102"/>
      <c r="W13" s="93"/>
      <c r="X13" s="93"/>
      <c r="Y13" s="93"/>
      <c r="Z13" s="102"/>
      <c r="AA13" s="93"/>
      <c r="AB13" s="93"/>
      <c r="AC13" s="93"/>
      <c r="AD13" s="102"/>
      <c r="AE13" s="93"/>
      <c r="AF13" s="93"/>
      <c r="AG13" s="102"/>
      <c r="AH13" s="93"/>
      <c r="AI13" s="93"/>
      <c r="AJ13" s="102"/>
      <c r="AK13" s="93"/>
      <c r="AL13" s="93"/>
      <c r="AM13" s="102"/>
      <c r="AN13" s="102"/>
      <c r="AO13" s="102"/>
      <c r="AP13" s="102"/>
      <c r="AQ13" s="102"/>
      <c r="AR13" s="102"/>
      <c r="AS13" s="102"/>
      <c r="AT13" s="102"/>
      <c r="AU13" s="121"/>
    </row>
    <row r="14" spans="1:61" s="22" customFormat="1" x14ac:dyDescent="0.2">
      <c r="A14" s="91"/>
      <c r="B14" s="92"/>
      <c r="C14" s="93"/>
      <c r="D14" s="94"/>
      <c r="E14" s="92"/>
      <c r="F14" s="94"/>
      <c r="G14" s="92"/>
      <c r="H14" s="92"/>
      <c r="I14" s="93"/>
      <c r="J14" s="92"/>
      <c r="K14" s="93"/>
      <c r="L14" s="93"/>
      <c r="M14" s="93"/>
      <c r="N14" s="93"/>
      <c r="P14" s="93"/>
      <c r="Q14" s="93"/>
      <c r="R14" s="102"/>
      <c r="S14" s="93"/>
      <c r="T14" s="93"/>
      <c r="U14" s="93"/>
      <c r="V14" s="102"/>
      <c r="W14" s="93"/>
      <c r="X14" s="93"/>
      <c r="Y14" s="93"/>
      <c r="Z14" s="102"/>
      <c r="AA14" s="93"/>
      <c r="AB14" s="93"/>
      <c r="AC14" s="93"/>
      <c r="AD14" s="102"/>
      <c r="AE14" s="93"/>
      <c r="AF14" s="93"/>
      <c r="AG14" s="102"/>
      <c r="AH14" s="93"/>
      <c r="AI14" s="93"/>
      <c r="AJ14" s="102"/>
      <c r="AK14" s="93"/>
      <c r="AL14" s="93"/>
      <c r="AM14" s="102"/>
      <c r="AN14" s="102"/>
      <c r="AO14" s="102"/>
      <c r="AP14" s="102"/>
      <c r="AQ14" s="102"/>
      <c r="AR14" s="102"/>
      <c r="AS14" s="102"/>
      <c r="AT14" s="102"/>
      <c r="AU14" s="121"/>
    </row>
    <row r="15" spans="1:61" s="22" customFormat="1" x14ac:dyDescent="0.2">
      <c r="A15" s="91"/>
      <c r="B15" s="92"/>
      <c r="C15" s="93"/>
      <c r="D15" s="94"/>
      <c r="E15" s="92"/>
      <c r="F15" s="94"/>
      <c r="G15" s="92"/>
      <c r="H15" s="92"/>
      <c r="I15" s="93"/>
      <c r="J15" s="92"/>
      <c r="K15" s="93"/>
      <c r="L15" s="93"/>
      <c r="M15" s="93"/>
      <c r="N15" s="93"/>
      <c r="P15" s="93"/>
      <c r="Q15" s="93"/>
      <c r="R15" s="102"/>
      <c r="S15" s="93"/>
      <c r="T15" s="93"/>
      <c r="U15" s="93"/>
      <c r="V15" s="102"/>
      <c r="W15" s="93"/>
      <c r="X15" s="93"/>
      <c r="Y15" s="93"/>
      <c r="Z15" s="102"/>
      <c r="AA15" s="93"/>
      <c r="AB15" s="93"/>
      <c r="AC15" s="93"/>
      <c r="AD15" s="102"/>
      <c r="AE15" s="93"/>
      <c r="AF15" s="93"/>
      <c r="AG15" s="102"/>
      <c r="AH15" s="93"/>
      <c r="AI15" s="93"/>
      <c r="AJ15" s="102"/>
      <c r="AK15" s="93"/>
      <c r="AL15" s="93"/>
      <c r="AM15" s="102"/>
      <c r="AN15" s="102"/>
      <c r="AO15" s="102"/>
      <c r="AP15" s="102"/>
      <c r="AQ15" s="102"/>
      <c r="AR15" s="102"/>
      <c r="AS15" s="102"/>
      <c r="AT15" s="102"/>
      <c r="AU15" s="121"/>
    </row>
    <row r="16" spans="1:61" s="22" customFormat="1" x14ac:dyDescent="0.2">
      <c r="A16" s="91"/>
      <c r="B16" s="92"/>
      <c r="C16" s="93"/>
      <c r="D16" s="94"/>
      <c r="E16" s="92"/>
      <c r="F16" s="94"/>
      <c r="G16" s="92"/>
      <c r="H16" s="92"/>
      <c r="I16" s="93"/>
      <c r="J16" s="92"/>
      <c r="K16" s="93"/>
      <c r="L16" s="93"/>
      <c r="M16" s="93"/>
      <c r="N16" s="93"/>
      <c r="P16" s="93"/>
      <c r="Q16" s="93"/>
      <c r="R16" s="102"/>
      <c r="S16" s="93"/>
      <c r="T16" s="93"/>
      <c r="U16" s="93"/>
      <c r="V16" s="102"/>
      <c r="W16" s="93"/>
      <c r="X16" s="93"/>
      <c r="Y16" s="93"/>
      <c r="Z16" s="102"/>
      <c r="AA16" s="93"/>
      <c r="AB16" s="93"/>
      <c r="AC16" s="93"/>
      <c r="AD16" s="102"/>
      <c r="AE16" s="93"/>
      <c r="AF16" s="93"/>
      <c r="AG16" s="102"/>
      <c r="AH16" s="93"/>
      <c r="AI16" s="93"/>
      <c r="AJ16" s="102"/>
      <c r="AK16" s="93"/>
      <c r="AL16" s="93"/>
      <c r="AM16" s="102"/>
      <c r="AN16" s="102"/>
      <c r="AO16" s="102"/>
      <c r="AP16" s="102"/>
      <c r="AQ16" s="102"/>
      <c r="AR16" s="102"/>
      <c r="AS16" s="102"/>
      <c r="AT16" s="102"/>
      <c r="AU16" s="121"/>
    </row>
    <row r="17" spans="1:47" s="22" customFormat="1" x14ac:dyDescent="0.2">
      <c r="A17" s="91"/>
      <c r="B17" s="92"/>
      <c r="C17" s="93"/>
      <c r="D17" s="94"/>
      <c r="E17" s="92"/>
      <c r="F17" s="94"/>
      <c r="G17" s="92"/>
      <c r="H17" s="92"/>
      <c r="I17" s="93"/>
      <c r="J17" s="92"/>
      <c r="K17" s="93"/>
      <c r="L17" s="93"/>
      <c r="M17" s="93"/>
      <c r="N17" s="93"/>
      <c r="P17" s="93"/>
      <c r="Q17" s="93"/>
      <c r="R17" s="102"/>
      <c r="S17" s="93"/>
      <c r="T17" s="93"/>
      <c r="U17" s="93"/>
      <c r="V17" s="102"/>
      <c r="W17" s="93"/>
      <c r="X17" s="93"/>
      <c r="Y17" s="93"/>
      <c r="Z17" s="102"/>
      <c r="AA17" s="93"/>
      <c r="AB17" s="93"/>
      <c r="AC17" s="93"/>
      <c r="AD17" s="102"/>
      <c r="AE17" s="93"/>
      <c r="AF17" s="93"/>
      <c r="AG17" s="102"/>
      <c r="AH17" s="93"/>
      <c r="AI17" s="93"/>
      <c r="AJ17" s="102"/>
      <c r="AK17" s="93"/>
      <c r="AL17" s="93"/>
      <c r="AM17" s="102"/>
      <c r="AN17" s="102"/>
      <c r="AO17" s="102"/>
      <c r="AP17" s="102"/>
      <c r="AQ17" s="102"/>
      <c r="AR17" s="102"/>
      <c r="AS17" s="102"/>
      <c r="AT17" s="102"/>
      <c r="AU17" s="196"/>
    </row>
    <row r="18" spans="1:47" s="22" customFormat="1" x14ac:dyDescent="0.2">
      <c r="A18" s="91"/>
      <c r="B18" s="92"/>
      <c r="C18" s="93"/>
      <c r="D18" s="94"/>
      <c r="E18" s="92"/>
      <c r="F18" s="94"/>
      <c r="G18" s="92"/>
      <c r="H18" s="92"/>
      <c r="I18" s="93"/>
      <c r="J18" s="92"/>
      <c r="K18" s="93"/>
      <c r="L18" s="93"/>
      <c r="M18" s="93"/>
      <c r="N18" s="93"/>
      <c r="P18" s="93"/>
      <c r="Q18" s="93"/>
      <c r="R18" s="102"/>
      <c r="S18" s="93"/>
      <c r="T18" s="93"/>
      <c r="U18" s="93"/>
      <c r="V18" s="102"/>
      <c r="W18" s="93"/>
      <c r="X18" s="93"/>
      <c r="Y18" s="93"/>
      <c r="Z18" s="102"/>
      <c r="AA18" s="93"/>
      <c r="AB18" s="93"/>
      <c r="AC18" s="93"/>
      <c r="AD18" s="102"/>
      <c r="AE18" s="93"/>
      <c r="AF18" s="93"/>
      <c r="AG18" s="102"/>
      <c r="AH18" s="93"/>
      <c r="AI18" s="93"/>
      <c r="AJ18" s="102"/>
      <c r="AK18" s="93"/>
      <c r="AL18" s="93"/>
      <c r="AM18" s="102"/>
      <c r="AN18" s="102"/>
      <c r="AO18" s="102"/>
      <c r="AP18" s="102"/>
      <c r="AQ18" s="102"/>
      <c r="AR18" s="102"/>
      <c r="AS18" s="102"/>
      <c r="AT18" s="102"/>
      <c r="AU18" s="196"/>
    </row>
    <row r="19" spans="1:47" s="22" customFormat="1" x14ac:dyDescent="0.2">
      <c r="A19" s="91"/>
      <c r="B19" s="92"/>
      <c r="C19" s="93"/>
      <c r="D19" s="94"/>
      <c r="E19" s="92"/>
      <c r="F19" s="94"/>
      <c r="G19" s="92"/>
      <c r="H19" s="92"/>
      <c r="I19" s="93"/>
      <c r="J19" s="92"/>
      <c r="K19" s="93"/>
      <c r="L19" s="93"/>
      <c r="M19" s="93"/>
      <c r="N19" s="93"/>
      <c r="P19" s="93"/>
      <c r="Q19" s="93"/>
      <c r="R19" s="102"/>
      <c r="S19" s="93"/>
      <c r="T19" s="93"/>
      <c r="U19" s="93"/>
      <c r="V19" s="102"/>
      <c r="W19" s="93"/>
      <c r="X19" s="93"/>
      <c r="Y19" s="93"/>
      <c r="Z19" s="102"/>
      <c r="AA19" s="93"/>
      <c r="AB19" s="93"/>
      <c r="AC19" s="93"/>
      <c r="AD19" s="102"/>
      <c r="AE19" s="93"/>
      <c r="AF19" s="93"/>
      <c r="AG19" s="102"/>
      <c r="AH19" s="93"/>
      <c r="AI19" s="93"/>
      <c r="AJ19" s="102"/>
      <c r="AK19" s="93"/>
      <c r="AL19" s="93"/>
      <c r="AM19" s="102"/>
      <c r="AN19" s="102"/>
      <c r="AO19" s="102"/>
      <c r="AP19" s="102"/>
      <c r="AQ19" s="102"/>
      <c r="AR19" s="102"/>
      <c r="AS19" s="102"/>
      <c r="AT19" s="102"/>
      <c r="AU19" s="196"/>
    </row>
    <row r="20" spans="1:47" s="22" customFormat="1" x14ac:dyDescent="0.2">
      <c r="A20" s="91"/>
      <c r="B20" s="92"/>
      <c r="C20" s="93"/>
      <c r="D20" s="94"/>
      <c r="E20" s="92"/>
      <c r="F20" s="94"/>
      <c r="G20" s="92"/>
      <c r="H20" s="92"/>
      <c r="I20" s="93"/>
      <c r="J20" s="92"/>
      <c r="K20" s="93"/>
      <c r="L20" s="93"/>
      <c r="M20" s="93"/>
      <c r="N20" s="93"/>
      <c r="P20" s="93"/>
      <c r="Q20" s="93"/>
      <c r="R20" s="102"/>
      <c r="S20" s="93"/>
      <c r="T20" s="93"/>
      <c r="U20" s="93"/>
      <c r="V20" s="102"/>
      <c r="W20" s="93"/>
      <c r="X20" s="93"/>
      <c r="Y20" s="93"/>
      <c r="Z20" s="102"/>
      <c r="AA20" s="93"/>
      <c r="AB20" s="93"/>
      <c r="AC20" s="93"/>
      <c r="AD20" s="102"/>
      <c r="AE20" s="93"/>
      <c r="AF20" s="93"/>
      <c r="AG20" s="102"/>
      <c r="AH20" s="93"/>
      <c r="AI20" s="93"/>
      <c r="AJ20" s="102"/>
      <c r="AK20" s="93"/>
      <c r="AL20" s="93"/>
      <c r="AM20" s="102"/>
      <c r="AN20" s="102"/>
      <c r="AO20" s="102"/>
      <c r="AP20" s="102"/>
      <c r="AQ20" s="102"/>
      <c r="AR20" s="102"/>
      <c r="AS20" s="102"/>
      <c r="AT20" s="102"/>
      <c r="AU20" s="196"/>
    </row>
    <row r="21" spans="1:47" s="22" customFormat="1" x14ac:dyDescent="0.2">
      <c r="A21" s="91"/>
      <c r="B21" s="92"/>
      <c r="C21" s="93"/>
      <c r="D21" s="94"/>
      <c r="E21" s="92"/>
      <c r="F21" s="94"/>
      <c r="G21" s="92"/>
      <c r="H21" s="92"/>
      <c r="I21" s="93"/>
      <c r="J21" s="92"/>
      <c r="K21" s="93"/>
      <c r="L21" s="93"/>
      <c r="M21" s="93"/>
      <c r="N21" s="93"/>
      <c r="P21" s="93"/>
      <c r="Q21" s="93"/>
      <c r="R21" s="102"/>
      <c r="S21" s="93"/>
      <c r="T21" s="93"/>
      <c r="U21" s="93"/>
      <c r="V21" s="102"/>
      <c r="W21" s="93"/>
      <c r="X21" s="93"/>
      <c r="Y21" s="93"/>
      <c r="Z21" s="102"/>
      <c r="AA21" s="93"/>
      <c r="AB21" s="93"/>
      <c r="AC21" s="93"/>
      <c r="AD21" s="102"/>
      <c r="AE21" s="93"/>
      <c r="AF21" s="93"/>
      <c r="AG21" s="102"/>
      <c r="AH21" s="93"/>
      <c r="AI21" s="93"/>
      <c r="AJ21" s="102"/>
      <c r="AK21" s="93"/>
      <c r="AL21" s="93"/>
      <c r="AM21" s="102"/>
      <c r="AN21" s="102"/>
      <c r="AO21" s="102"/>
      <c r="AP21" s="102"/>
      <c r="AQ21" s="102"/>
      <c r="AR21" s="102"/>
      <c r="AS21" s="102"/>
      <c r="AT21" s="102"/>
      <c r="AU21" s="196"/>
    </row>
    <row r="22" spans="1:47" s="23" customFormat="1" x14ac:dyDescent="0.2">
      <c r="A22" s="91"/>
      <c r="B22" s="92"/>
      <c r="C22" s="93"/>
      <c r="D22" s="94"/>
      <c r="E22" s="92"/>
      <c r="F22" s="94"/>
      <c r="G22" s="92"/>
      <c r="H22" s="92"/>
      <c r="I22" s="93"/>
      <c r="J22" s="92"/>
      <c r="K22" s="93"/>
      <c r="L22" s="93"/>
      <c r="M22" s="93"/>
      <c r="N22" s="93"/>
      <c r="P22" s="93"/>
      <c r="Q22" s="93"/>
      <c r="R22" s="102"/>
      <c r="S22" s="93"/>
      <c r="T22" s="93"/>
      <c r="U22" s="93"/>
      <c r="V22" s="102"/>
      <c r="W22" s="93"/>
      <c r="X22" s="93"/>
      <c r="Y22" s="93"/>
      <c r="Z22" s="102"/>
      <c r="AA22" s="93"/>
      <c r="AB22" s="93"/>
      <c r="AC22" s="93"/>
      <c r="AD22" s="102"/>
      <c r="AE22" s="93"/>
      <c r="AF22" s="93"/>
      <c r="AG22" s="102"/>
      <c r="AH22" s="93"/>
      <c r="AI22" s="93"/>
      <c r="AJ22" s="102"/>
      <c r="AK22" s="93"/>
      <c r="AL22" s="93"/>
      <c r="AM22" s="102"/>
      <c r="AN22" s="102"/>
      <c r="AO22" s="102"/>
      <c r="AP22" s="102"/>
      <c r="AQ22" s="102"/>
      <c r="AR22" s="102"/>
      <c r="AS22" s="102"/>
      <c r="AT22" s="102"/>
      <c r="AU22" s="196"/>
    </row>
    <row r="23" spans="1:47" s="23" customFormat="1" x14ac:dyDescent="0.2">
      <c r="A23" s="91"/>
      <c r="B23" s="92"/>
      <c r="C23" s="93"/>
      <c r="D23" s="94"/>
      <c r="E23" s="92"/>
      <c r="F23" s="94"/>
      <c r="G23" s="92"/>
      <c r="H23" s="92"/>
      <c r="I23" s="93"/>
      <c r="J23" s="92"/>
      <c r="K23" s="93"/>
      <c r="L23" s="93"/>
      <c r="M23" s="93"/>
      <c r="N23" s="93"/>
      <c r="P23" s="93"/>
      <c r="Q23" s="93"/>
      <c r="R23" s="102"/>
      <c r="S23" s="93"/>
      <c r="T23" s="93"/>
      <c r="U23" s="93"/>
      <c r="V23" s="102"/>
      <c r="W23" s="93"/>
      <c r="X23" s="93"/>
      <c r="Y23" s="93"/>
      <c r="Z23" s="102"/>
      <c r="AA23" s="93"/>
      <c r="AB23" s="93"/>
      <c r="AC23" s="93"/>
      <c r="AD23" s="102"/>
      <c r="AE23" s="93"/>
      <c r="AF23" s="93"/>
      <c r="AG23" s="102"/>
      <c r="AH23" s="93"/>
      <c r="AI23" s="93"/>
      <c r="AJ23" s="102"/>
      <c r="AK23" s="93"/>
      <c r="AL23" s="93"/>
      <c r="AM23" s="102"/>
      <c r="AN23" s="102"/>
      <c r="AO23" s="102"/>
      <c r="AP23" s="102"/>
      <c r="AQ23" s="102"/>
      <c r="AR23" s="102"/>
      <c r="AS23" s="102"/>
      <c r="AT23" s="102"/>
      <c r="AU23" s="196"/>
    </row>
    <row r="24" spans="1:47" s="22" customFormat="1" x14ac:dyDescent="0.2">
      <c r="A24" s="91"/>
      <c r="B24" s="92"/>
      <c r="C24" s="93"/>
      <c r="D24" s="94"/>
      <c r="E24" s="92"/>
      <c r="F24" s="94"/>
      <c r="G24" s="92"/>
      <c r="H24" s="92"/>
      <c r="I24" s="93"/>
      <c r="J24" s="92"/>
      <c r="K24" s="93"/>
      <c r="L24" s="92"/>
      <c r="M24" s="93"/>
      <c r="N24" s="93"/>
      <c r="P24" s="93"/>
      <c r="Q24" s="93"/>
      <c r="R24" s="102"/>
      <c r="S24" s="93"/>
      <c r="T24" s="93"/>
      <c r="U24" s="93"/>
      <c r="V24" s="102"/>
      <c r="W24" s="93"/>
      <c r="X24" s="93"/>
      <c r="Y24" s="93"/>
      <c r="Z24" s="102"/>
      <c r="AA24" s="93"/>
      <c r="AB24" s="93"/>
      <c r="AC24" s="93"/>
      <c r="AD24" s="102"/>
      <c r="AE24" s="93"/>
      <c r="AF24" s="93"/>
      <c r="AG24" s="102"/>
      <c r="AH24" s="93"/>
      <c r="AI24" s="93"/>
      <c r="AJ24" s="102"/>
      <c r="AK24" s="93"/>
      <c r="AL24" s="93"/>
      <c r="AM24" s="102"/>
      <c r="AN24" s="102"/>
      <c r="AO24" s="102"/>
      <c r="AP24" s="102"/>
      <c r="AQ24" s="102"/>
      <c r="AR24" s="102"/>
      <c r="AS24" s="102"/>
      <c r="AT24" s="102"/>
      <c r="AU24" s="196"/>
    </row>
    <row r="25" spans="1:47" s="22" customFormat="1" x14ac:dyDescent="0.2">
      <c r="A25" s="91"/>
      <c r="B25" s="92"/>
      <c r="C25" s="93"/>
      <c r="D25" s="94"/>
      <c r="E25" s="92"/>
      <c r="F25" s="94"/>
      <c r="G25" s="92"/>
      <c r="H25" s="92"/>
      <c r="I25" s="93"/>
      <c r="J25" s="92"/>
      <c r="K25" s="93"/>
      <c r="L25" s="93"/>
      <c r="M25" s="93"/>
      <c r="N25" s="93"/>
      <c r="P25" s="93"/>
      <c r="Q25" s="93"/>
      <c r="R25" s="102"/>
      <c r="S25" s="93"/>
      <c r="T25" s="93"/>
      <c r="U25" s="93"/>
      <c r="V25" s="102"/>
      <c r="W25" s="93"/>
      <c r="X25" s="93"/>
      <c r="Y25" s="93"/>
      <c r="Z25" s="102"/>
      <c r="AA25" s="93"/>
      <c r="AB25" s="93"/>
      <c r="AC25" s="93"/>
      <c r="AD25" s="102"/>
      <c r="AE25" s="93"/>
      <c r="AF25" s="93"/>
      <c r="AG25" s="102"/>
      <c r="AH25" s="93"/>
      <c r="AI25" s="93"/>
      <c r="AJ25" s="102"/>
      <c r="AK25" s="93"/>
      <c r="AL25" s="93"/>
      <c r="AM25" s="102"/>
      <c r="AN25" s="102"/>
      <c r="AO25" s="102"/>
      <c r="AP25" s="102"/>
      <c r="AQ25" s="102"/>
      <c r="AR25" s="102"/>
      <c r="AS25" s="102"/>
      <c r="AT25" s="102"/>
      <c r="AU25" s="196"/>
    </row>
    <row r="26" spans="1:47" s="22" customFormat="1" x14ac:dyDescent="0.2">
      <c r="A26" s="91"/>
      <c r="B26" s="92"/>
      <c r="C26" s="93"/>
      <c r="D26" s="94"/>
      <c r="E26" s="92"/>
      <c r="F26" s="94"/>
      <c r="G26" s="92"/>
      <c r="H26" s="92"/>
      <c r="I26" s="93"/>
      <c r="J26" s="92"/>
      <c r="K26" s="93"/>
      <c r="L26" s="93"/>
      <c r="M26" s="93"/>
      <c r="N26" s="93"/>
      <c r="P26" s="93"/>
      <c r="Q26" s="93"/>
      <c r="R26" s="102"/>
      <c r="S26" s="93"/>
      <c r="T26" s="93"/>
      <c r="U26" s="93"/>
      <c r="V26" s="102"/>
      <c r="W26" s="93"/>
      <c r="X26" s="93"/>
      <c r="Y26" s="93"/>
      <c r="Z26" s="102"/>
      <c r="AA26" s="93"/>
      <c r="AB26" s="93"/>
      <c r="AC26" s="93"/>
      <c r="AD26" s="102"/>
      <c r="AE26" s="93"/>
      <c r="AF26" s="93"/>
      <c r="AG26" s="102"/>
      <c r="AH26" s="93"/>
      <c r="AI26" s="93"/>
      <c r="AJ26" s="102"/>
      <c r="AK26" s="93"/>
      <c r="AL26" s="93"/>
      <c r="AM26" s="102"/>
      <c r="AN26" s="102"/>
      <c r="AO26" s="102"/>
      <c r="AP26" s="102"/>
      <c r="AQ26" s="102"/>
      <c r="AR26" s="102"/>
      <c r="AS26" s="102"/>
      <c r="AT26" s="102"/>
      <c r="AU26" s="196"/>
    </row>
    <row r="27" spans="1:47" s="22" customFormat="1" x14ac:dyDescent="0.2">
      <c r="A27" s="91"/>
      <c r="B27" s="92"/>
      <c r="C27" s="93"/>
      <c r="D27" s="94"/>
      <c r="E27" s="92"/>
      <c r="F27" s="94"/>
      <c r="G27" s="92"/>
      <c r="H27" s="92"/>
      <c r="I27" s="93"/>
      <c r="J27" s="92"/>
      <c r="K27" s="93"/>
      <c r="L27" s="93"/>
      <c r="M27" s="93"/>
      <c r="N27" s="93"/>
      <c r="P27" s="93"/>
      <c r="Q27" s="93"/>
      <c r="R27" s="102"/>
      <c r="S27" s="93"/>
      <c r="T27" s="93"/>
      <c r="U27" s="93"/>
      <c r="V27" s="102"/>
      <c r="W27" s="93"/>
      <c r="X27" s="93"/>
      <c r="Y27" s="93"/>
      <c r="Z27" s="102"/>
      <c r="AA27" s="93"/>
      <c r="AB27" s="93"/>
      <c r="AC27" s="93"/>
      <c r="AD27" s="102"/>
      <c r="AE27" s="93"/>
      <c r="AF27" s="93"/>
      <c r="AG27" s="102"/>
      <c r="AH27" s="93"/>
      <c r="AI27" s="93"/>
      <c r="AJ27" s="102"/>
      <c r="AK27" s="93"/>
      <c r="AL27" s="93"/>
      <c r="AM27" s="102"/>
      <c r="AN27" s="102"/>
      <c r="AO27" s="102"/>
      <c r="AP27" s="102"/>
      <c r="AQ27" s="102"/>
      <c r="AR27" s="102"/>
      <c r="AS27" s="102"/>
      <c r="AT27" s="102"/>
      <c r="AU27" s="196"/>
    </row>
    <row r="28" spans="1:47" s="22" customFormat="1" x14ac:dyDescent="0.2">
      <c r="A28" s="91"/>
      <c r="B28" s="92"/>
      <c r="C28" s="93"/>
      <c r="D28" s="94"/>
      <c r="E28" s="92"/>
      <c r="F28" s="94"/>
      <c r="G28" s="92"/>
      <c r="H28" s="92"/>
      <c r="I28" s="93"/>
      <c r="J28" s="92"/>
      <c r="K28" s="93"/>
      <c r="L28" s="93"/>
      <c r="M28" s="93"/>
      <c r="N28" s="93"/>
      <c r="P28" s="93"/>
      <c r="Q28" s="93"/>
      <c r="R28" s="102"/>
      <c r="S28" s="93"/>
      <c r="T28" s="93"/>
      <c r="U28" s="93"/>
      <c r="V28" s="102"/>
      <c r="W28" s="93"/>
      <c r="X28" s="93"/>
      <c r="Y28" s="93"/>
      <c r="Z28" s="102"/>
      <c r="AA28" s="93"/>
      <c r="AB28" s="93"/>
      <c r="AC28" s="93"/>
      <c r="AD28" s="102"/>
      <c r="AE28" s="93"/>
      <c r="AF28" s="93"/>
      <c r="AG28" s="102"/>
      <c r="AH28" s="93"/>
      <c r="AI28" s="93"/>
      <c r="AJ28" s="102"/>
      <c r="AK28" s="93"/>
      <c r="AL28" s="93"/>
      <c r="AM28" s="102"/>
      <c r="AN28" s="102"/>
      <c r="AO28" s="102"/>
      <c r="AP28" s="102"/>
      <c r="AQ28" s="102"/>
      <c r="AR28" s="102"/>
      <c r="AS28" s="102"/>
      <c r="AT28" s="102"/>
      <c r="AU28" s="196"/>
    </row>
    <row r="29" spans="1:47" s="22" customFormat="1" x14ac:dyDescent="0.2">
      <c r="A29" s="91"/>
      <c r="B29" s="92"/>
      <c r="C29" s="93"/>
      <c r="D29" s="94"/>
      <c r="E29" s="92"/>
      <c r="F29" s="94"/>
      <c r="G29" s="92"/>
      <c r="H29" s="92"/>
      <c r="I29" s="93"/>
      <c r="J29" s="92"/>
      <c r="K29" s="93"/>
      <c r="L29" s="93"/>
      <c r="M29" s="93"/>
      <c r="N29" s="93"/>
      <c r="P29" s="93"/>
      <c r="Q29" s="93"/>
      <c r="R29" s="102"/>
      <c r="S29" s="93"/>
      <c r="T29" s="93"/>
      <c r="U29" s="93"/>
      <c r="V29" s="102"/>
      <c r="W29" s="93"/>
      <c r="X29" s="93"/>
      <c r="Y29" s="93"/>
      <c r="Z29" s="102"/>
      <c r="AA29" s="93"/>
      <c r="AB29" s="93"/>
      <c r="AC29" s="93"/>
      <c r="AD29" s="102"/>
      <c r="AE29" s="93"/>
      <c r="AF29" s="93"/>
      <c r="AG29" s="102"/>
      <c r="AH29" s="93"/>
      <c r="AI29" s="93"/>
      <c r="AJ29" s="102"/>
      <c r="AK29" s="93"/>
      <c r="AL29" s="93"/>
      <c r="AM29" s="102"/>
      <c r="AN29" s="102"/>
      <c r="AO29" s="102"/>
      <c r="AP29" s="102"/>
      <c r="AQ29" s="102"/>
      <c r="AR29" s="102"/>
      <c r="AS29" s="102"/>
      <c r="AT29" s="102"/>
      <c r="AU29" s="196"/>
    </row>
    <row r="30" spans="1:47" s="23" customFormat="1" x14ac:dyDescent="0.2">
      <c r="A30" s="91"/>
      <c r="B30" s="92"/>
      <c r="C30" s="93"/>
      <c r="D30" s="94"/>
      <c r="E30" s="92"/>
      <c r="F30" s="94"/>
      <c r="G30" s="92"/>
      <c r="H30" s="92"/>
      <c r="I30" s="93"/>
      <c r="J30" s="92"/>
      <c r="K30" s="93"/>
      <c r="L30" s="93"/>
      <c r="M30" s="93"/>
      <c r="N30" s="93"/>
      <c r="P30" s="93"/>
      <c r="Q30" s="93"/>
      <c r="R30" s="102"/>
      <c r="S30" s="93"/>
      <c r="T30" s="93"/>
      <c r="U30" s="93"/>
      <c r="V30" s="102"/>
      <c r="W30" s="93"/>
      <c r="X30" s="93"/>
      <c r="Y30" s="93"/>
      <c r="Z30" s="102"/>
      <c r="AA30" s="93"/>
      <c r="AB30" s="93"/>
      <c r="AC30" s="93"/>
      <c r="AD30" s="102"/>
      <c r="AE30" s="93"/>
      <c r="AF30" s="93"/>
      <c r="AG30" s="102"/>
      <c r="AH30" s="93"/>
      <c r="AI30" s="93"/>
      <c r="AJ30" s="102"/>
      <c r="AK30" s="93"/>
      <c r="AL30" s="93"/>
      <c r="AM30" s="102"/>
      <c r="AN30" s="102"/>
      <c r="AO30" s="102"/>
      <c r="AP30" s="102"/>
      <c r="AQ30" s="102"/>
      <c r="AR30" s="102"/>
      <c r="AS30" s="102"/>
      <c r="AT30" s="102"/>
      <c r="AU30" s="196"/>
    </row>
    <row r="31" spans="1:47" s="22" customFormat="1" x14ac:dyDescent="0.2">
      <c r="A31" s="91"/>
      <c r="B31" s="92"/>
      <c r="C31" s="93"/>
      <c r="D31" s="94"/>
      <c r="E31" s="92"/>
      <c r="F31" s="94"/>
      <c r="G31" s="92"/>
      <c r="H31" s="92"/>
      <c r="I31" s="93"/>
      <c r="J31" s="92"/>
      <c r="K31" s="93"/>
      <c r="L31" s="93"/>
      <c r="M31" s="93"/>
      <c r="N31" s="93"/>
      <c r="P31" s="93"/>
      <c r="Q31" s="93"/>
      <c r="R31" s="102"/>
      <c r="S31" s="93"/>
      <c r="T31" s="93"/>
      <c r="U31" s="93"/>
      <c r="V31" s="102"/>
      <c r="W31" s="93"/>
      <c r="X31" s="93"/>
      <c r="Y31" s="93"/>
      <c r="Z31" s="102"/>
      <c r="AA31" s="93"/>
      <c r="AB31" s="93"/>
      <c r="AC31" s="93"/>
      <c r="AD31" s="102"/>
      <c r="AE31" s="93"/>
      <c r="AF31" s="93"/>
      <c r="AG31" s="102"/>
      <c r="AH31" s="93"/>
      <c r="AI31" s="93"/>
      <c r="AJ31" s="102"/>
      <c r="AK31" s="93"/>
      <c r="AL31" s="93"/>
      <c r="AM31" s="102"/>
      <c r="AN31" s="102"/>
      <c r="AO31" s="102"/>
      <c r="AP31" s="102"/>
      <c r="AQ31" s="102"/>
      <c r="AR31" s="102"/>
      <c r="AS31" s="102"/>
      <c r="AT31" s="102"/>
      <c r="AU31" s="196"/>
    </row>
    <row r="32" spans="1:47" s="23" customFormat="1" x14ac:dyDescent="0.2">
      <c r="A32" s="91"/>
      <c r="B32" s="92"/>
      <c r="C32" s="93"/>
      <c r="D32" s="94"/>
      <c r="E32" s="92"/>
      <c r="F32" s="94"/>
      <c r="G32" s="92"/>
      <c r="H32" s="92"/>
      <c r="I32" s="93"/>
      <c r="J32" s="92"/>
      <c r="K32" s="93"/>
      <c r="L32" s="93"/>
      <c r="M32" s="93"/>
      <c r="N32" s="93"/>
      <c r="P32" s="93"/>
      <c r="Q32" s="93"/>
      <c r="R32" s="102"/>
      <c r="S32" s="93"/>
      <c r="T32" s="93"/>
      <c r="U32" s="93"/>
      <c r="V32" s="102"/>
      <c r="W32" s="93"/>
      <c r="X32" s="93"/>
      <c r="Y32" s="93"/>
      <c r="Z32" s="102"/>
      <c r="AA32" s="93"/>
      <c r="AB32" s="93"/>
      <c r="AC32" s="93"/>
      <c r="AD32" s="102"/>
      <c r="AE32" s="93"/>
      <c r="AF32" s="93"/>
      <c r="AG32" s="102"/>
      <c r="AH32" s="93"/>
      <c r="AI32" s="93"/>
      <c r="AJ32" s="102"/>
      <c r="AK32" s="93"/>
      <c r="AL32" s="93"/>
      <c r="AM32" s="102"/>
      <c r="AN32" s="102"/>
      <c r="AO32" s="102"/>
      <c r="AP32" s="102"/>
      <c r="AQ32" s="102"/>
      <c r="AR32" s="102"/>
      <c r="AS32" s="102"/>
      <c r="AT32" s="102"/>
      <c r="AU32" s="196"/>
    </row>
    <row r="33" spans="1:47" s="23" customFormat="1" x14ac:dyDescent="0.2">
      <c r="A33" s="91"/>
      <c r="B33" s="92"/>
      <c r="C33" s="93"/>
      <c r="D33" s="94"/>
      <c r="E33" s="92"/>
      <c r="F33" s="94"/>
      <c r="G33" s="92"/>
      <c r="H33" s="92"/>
      <c r="I33" s="93"/>
      <c r="J33" s="92"/>
      <c r="K33" s="93"/>
      <c r="L33" s="93"/>
      <c r="M33" s="93"/>
      <c r="N33" s="93"/>
      <c r="P33" s="93"/>
      <c r="Q33" s="93"/>
      <c r="R33" s="102"/>
      <c r="S33" s="93"/>
      <c r="T33" s="93"/>
      <c r="U33" s="93"/>
      <c r="V33" s="102"/>
      <c r="W33" s="93"/>
      <c r="X33" s="93"/>
      <c r="Y33" s="93"/>
      <c r="Z33" s="102"/>
      <c r="AA33" s="93"/>
      <c r="AB33" s="93"/>
      <c r="AC33" s="93"/>
      <c r="AD33" s="102"/>
      <c r="AE33" s="93"/>
      <c r="AF33" s="93"/>
      <c r="AG33" s="102"/>
      <c r="AH33" s="93"/>
      <c r="AI33" s="93"/>
      <c r="AJ33" s="102"/>
      <c r="AK33" s="93"/>
      <c r="AL33" s="93"/>
      <c r="AM33" s="102"/>
      <c r="AN33" s="102"/>
      <c r="AO33" s="102"/>
      <c r="AP33" s="102"/>
      <c r="AQ33" s="102"/>
      <c r="AR33" s="102"/>
      <c r="AS33" s="102"/>
      <c r="AT33" s="102"/>
      <c r="AU33" s="196"/>
    </row>
    <row r="34" spans="1:47" s="22" customFormat="1" x14ac:dyDescent="0.2">
      <c r="A34" s="91"/>
      <c r="B34" s="92"/>
      <c r="C34" s="93"/>
      <c r="D34" s="94"/>
      <c r="E34" s="92"/>
      <c r="F34" s="94"/>
      <c r="G34" s="92"/>
      <c r="H34" s="92"/>
      <c r="I34" s="93"/>
      <c r="J34" s="92"/>
      <c r="K34" s="93"/>
      <c r="L34" s="93"/>
      <c r="M34" s="93"/>
      <c r="N34" s="93"/>
      <c r="P34" s="93"/>
      <c r="Q34" s="93"/>
      <c r="R34" s="102"/>
      <c r="S34" s="93"/>
      <c r="T34" s="93"/>
      <c r="U34" s="93"/>
      <c r="V34" s="102"/>
      <c r="W34" s="93"/>
      <c r="X34" s="93"/>
      <c r="Y34" s="93"/>
      <c r="Z34" s="102"/>
      <c r="AA34" s="93"/>
      <c r="AB34" s="93"/>
      <c r="AC34" s="93"/>
      <c r="AD34" s="102"/>
      <c r="AE34" s="93"/>
      <c r="AF34" s="93"/>
      <c r="AG34" s="102"/>
      <c r="AH34" s="93"/>
      <c r="AI34" s="93"/>
      <c r="AJ34" s="102"/>
      <c r="AK34" s="93"/>
      <c r="AL34" s="93"/>
      <c r="AM34" s="102"/>
      <c r="AN34" s="102"/>
      <c r="AO34" s="102"/>
      <c r="AP34" s="102"/>
      <c r="AQ34" s="102"/>
      <c r="AR34" s="102"/>
      <c r="AS34" s="102"/>
      <c r="AT34" s="102"/>
      <c r="AU34" s="196"/>
    </row>
    <row r="35" spans="1:47" s="23" customFormat="1" x14ac:dyDescent="0.2">
      <c r="A35" s="91"/>
      <c r="B35" s="92"/>
      <c r="C35" s="93"/>
      <c r="D35" s="94"/>
      <c r="E35" s="92"/>
      <c r="F35" s="94"/>
      <c r="G35" s="92"/>
      <c r="H35" s="92"/>
      <c r="I35" s="93"/>
      <c r="J35" s="92"/>
      <c r="K35" s="93"/>
      <c r="L35" s="93"/>
      <c r="M35" s="93"/>
      <c r="N35" s="93"/>
      <c r="P35" s="93"/>
      <c r="Q35" s="93"/>
      <c r="R35" s="102"/>
      <c r="S35" s="93"/>
      <c r="T35" s="93"/>
      <c r="U35" s="93"/>
      <c r="V35" s="102"/>
      <c r="W35" s="93"/>
      <c r="X35" s="93"/>
      <c r="Y35" s="93"/>
      <c r="Z35" s="102"/>
      <c r="AA35" s="93"/>
      <c r="AB35" s="93"/>
      <c r="AC35" s="93"/>
      <c r="AD35" s="102"/>
      <c r="AE35" s="93"/>
      <c r="AF35" s="93"/>
      <c r="AG35" s="102"/>
      <c r="AH35" s="93"/>
      <c r="AI35" s="93"/>
      <c r="AJ35" s="102"/>
      <c r="AK35" s="93"/>
      <c r="AL35" s="93"/>
      <c r="AM35" s="102"/>
      <c r="AN35" s="102"/>
      <c r="AO35" s="102"/>
      <c r="AP35" s="102"/>
      <c r="AQ35" s="102"/>
      <c r="AR35" s="102"/>
      <c r="AS35" s="102"/>
      <c r="AT35" s="102"/>
      <c r="AU35" s="196"/>
    </row>
    <row r="36" spans="1:47" s="22" customFormat="1" x14ac:dyDescent="0.2">
      <c r="A36" s="91"/>
      <c r="B36" s="92"/>
      <c r="C36" s="93"/>
      <c r="D36" s="94"/>
      <c r="E36" s="92"/>
      <c r="F36" s="94"/>
      <c r="G36" s="92"/>
      <c r="H36" s="92"/>
      <c r="I36" s="93"/>
      <c r="J36" s="92"/>
      <c r="K36" s="93"/>
      <c r="L36" s="93"/>
      <c r="M36" s="93"/>
      <c r="N36" s="93"/>
      <c r="P36" s="93"/>
      <c r="Q36" s="93"/>
      <c r="R36" s="102"/>
      <c r="S36" s="93"/>
      <c r="T36" s="93"/>
      <c r="U36" s="93"/>
      <c r="V36" s="102"/>
      <c r="W36" s="93"/>
      <c r="X36" s="93"/>
      <c r="Y36" s="93"/>
      <c r="Z36" s="102"/>
      <c r="AA36" s="93"/>
      <c r="AB36" s="93"/>
      <c r="AC36" s="93"/>
      <c r="AD36" s="102"/>
      <c r="AE36" s="93"/>
      <c r="AF36" s="93"/>
      <c r="AG36" s="102"/>
      <c r="AH36" s="93"/>
      <c r="AI36" s="93"/>
      <c r="AJ36" s="102"/>
      <c r="AK36" s="93"/>
      <c r="AL36" s="93"/>
      <c r="AM36" s="102"/>
      <c r="AN36" s="102"/>
      <c r="AO36" s="102"/>
      <c r="AP36" s="102"/>
      <c r="AQ36" s="102"/>
      <c r="AR36" s="102"/>
      <c r="AS36" s="102"/>
      <c r="AT36" s="102"/>
      <c r="AU36" s="196"/>
    </row>
    <row r="37" spans="1:47" s="22" customFormat="1" x14ac:dyDescent="0.2">
      <c r="A37" s="90"/>
      <c r="B37" s="96"/>
      <c r="C37" s="90"/>
      <c r="D37" s="97"/>
      <c r="E37" s="91"/>
      <c r="F37" s="97"/>
      <c r="G37" s="91"/>
      <c r="H37" s="98"/>
      <c r="I37" s="99"/>
      <c r="J37" s="98"/>
      <c r="K37" s="99"/>
      <c r="L37" s="99"/>
      <c r="M37" s="99"/>
      <c r="N37" s="99"/>
      <c r="P37" s="99"/>
      <c r="Q37" s="99"/>
      <c r="R37" s="103"/>
      <c r="S37" s="99"/>
      <c r="T37" s="116"/>
      <c r="U37" s="99"/>
      <c r="V37" s="61"/>
      <c r="W37" s="99"/>
      <c r="X37" s="116"/>
      <c r="Y37" s="116"/>
      <c r="Z37" s="61"/>
      <c r="AA37" s="116"/>
      <c r="AB37" s="116"/>
      <c r="AC37" s="116"/>
      <c r="AD37" s="61"/>
      <c r="AE37" s="116"/>
      <c r="AF37" s="116"/>
      <c r="AG37" s="61"/>
      <c r="AH37" s="116"/>
      <c r="AI37" s="116"/>
      <c r="AJ37" s="61"/>
      <c r="AK37" s="116"/>
      <c r="AL37" s="116"/>
      <c r="AM37" s="61"/>
      <c r="AN37" s="61"/>
      <c r="AO37" s="61"/>
      <c r="AP37" s="61"/>
      <c r="AQ37" s="61"/>
      <c r="AR37" s="61"/>
      <c r="AS37" s="61"/>
      <c r="AT37" s="61"/>
      <c r="AU37" s="196"/>
    </row>
    <row r="38" spans="1:47" s="22" customFormat="1" x14ac:dyDescent="0.2">
      <c r="A38" s="90"/>
      <c r="B38" s="96"/>
      <c r="C38" s="90"/>
      <c r="D38" s="97"/>
      <c r="E38" s="91"/>
      <c r="F38" s="97"/>
      <c r="G38" s="91"/>
      <c r="H38" s="98"/>
      <c r="I38" s="99"/>
      <c r="J38" s="98"/>
      <c r="K38" s="99"/>
      <c r="L38" s="99"/>
      <c r="M38" s="99"/>
      <c r="N38" s="99"/>
      <c r="P38" s="99"/>
      <c r="Q38" s="99"/>
      <c r="R38" s="103"/>
      <c r="S38" s="99"/>
      <c r="T38" s="116"/>
      <c r="U38" s="99"/>
      <c r="V38" s="61"/>
      <c r="W38" s="99"/>
      <c r="X38" s="116"/>
      <c r="Y38" s="116"/>
      <c r="Z38" s="61"/>
      <c r="AA38" s="116"/>
      <c r="AB38" s="116"/>
      <c r="AC38" s="116"/>
      <c r="AD38" s="61"/>
      <c r="AE38" s="116"/>
      <c r="AF38" s="116"/>
      <c r="AG38" s="61"/>
      <c r="AH38" s="116"/>
      <c r="AI38" s="116"/>
      <c r="AJ38" s="61"/>
      <c r="AK38" s="116"/>
      <c r="AL38" s="116"/>
      <c r="AM38" s="61"/>
      <c r="AN38" s="61"/>
      <c r="AO38" s="61"/>
      <c r="AP38" s="61"/>
      <c r="AQ38" s="61"/>
      <c r="AR38" s="61"/>
      <c r="AS38" s="61"/>
      <c r="AT38" s="61"/>
      <c r="AU38" s="196"/>
    </row>
    <row r="39" spans="1:47" s="22" customFormat="1" x14ac:dyDescent="0.2">
      <c r="A39" s="90"/>
      <c r="B39" s="96"/>
      <c r="C39" s="90"/>
      <c r="D39" s="97"/>
      <c r="E39" s="91"/>
      <c r="F39" s="97"/>
      <c r="G39" s="91"/>
      <c r="H39" s="98"/>
      <c r="I39" s="99"/>
      <c r="J39" s="98"/>
      <c r="K39" s="99"/>
      <c r="L39" s="99"/>
      <c r="M39" s="99"/>
      <c r="N39" s="99"/>
      <c r="P39" s="99"/>
      <c r="Q39" s="99"/>
      <c r="R39" s="103"/>
      <c r="S39" s="99"/>
      <c r="T39" s="116"/>
      <c r="U39" s="99"/>
      <c r="V39" s="61"/>
      <c r="W39" s="99"/>
      <c r="X39" s="116"/>
      <c r="Y39" s="116"/>
      <c r="Z39" s="61"/>
      <c r="AA39" s="116"/>
      <c r="AB39" s="116"/>
      <c r="AC39" s="116"/>
      <c r="AD39" s="61"/>
      <c r="AE39" s="116"/>
      <c r="AF39" s="116"/>
      <c r="AG39" s="61"/>
      <c r="AH39" s="116"/>
      <c r="AI39" s="116"/>
      <c r="AJ39" s="61"/>
      <c r="AK39" s="116"/>
      <c r="AL39" s="116"/>
      <c r="AM39" s="61"/>
      <c r="AN39" s="61"/>
      <c r="AO39" s="61"/>
      <c r="AP39" s="61"/>
      <c r="AQ39" s="61"/>
      <c r="AR39" s="61"/>
      <c r="AS39" s="61"/>
      <c r="AT39" s="61"/>
      <c r="AU39" s="196"/>
    </row>
    <row r="40" spans="1:47" s="22" customFormat="1" x14ac:dyDescent="0.2">
      <c r="A40" s="90"/>
      <c r="B40" s="96"/>
      <c r="C40" s="90"/>
      <c r="D40" s="97"/>
      <c r="E40" s="91"/>
      <c r="F40" s="97"/>
      <c r="G40" s="91"/>
      <c r="H40" s="98"/>
      <c r="I40" s="99"/>
      <c r="J40" s="98"/>
      <c r="K40" s="99"/>
      <c r="L40" s="99"/>
      <c r="M40" s="99"/>
      <c r="N40" s="99"/>
      <c r="P40" s="99"/>
      <c r="Q40" s="99"/>
      <c r="R40" s="103"/>
      <c r="S40" s="99"/>
      <c r="T40" s="116"/>
      <c r="U40" s="99"/>
      <c r="V40" s="61"/>
      <c r="W40" s="99"/>
      <c r="X40" s="116"/>
      <c r="Y40" s="116"/>
      <c r="Z40" s="61"/>
      <c r="AA40" s="116"/>
      <c r="AB40" s="116"/>
      <c r="AC40" s="116"/>
      <c r="AD40" s="61"/>
      <c r="AE40" s="116"/>
      <c r="AF40" s="116"/>
      <c r="AG40" s="61"/>
      <c r="AH40" s="116"/>
      <c r="AI40" s="116"/>
      <c r="AJ40" s="61"/>
      <c r="AK40" s="116"/>
      <c r="AL40" s="116"/>
      <c r="AM40" s="61"/>
      <c r="AN40" s="61"/>
      <c r="AO40" s="61"/>
      <c r="AP40" s="61"/>
      <c r="AQ40" s="61"/>
      <c r="AR40" s="61"/>
      <c r="AS40" s="61"/>
      <c r="AT40" s="61"/>
      <c r="AU40" s="196"/>
    </row>
    <row r="41" spans="1:47" s="22" customFormat="1" x14ac:dyDescent="0.2">
      <c r="A41" s="90"/>
      <c r="B41" s="96"/>
      <c r="C41" s="90"/>
      <c r="D41" s="97"/>
      <c r="E41" s="91"/>
      <c r="F41" s="97"/>
      <c r="G41" s="91"/>
      <c r="H41" s="98"/>
      <c r="I41" s="99"/>
      <c r="J41" s="98"/>
      <c r="K41" s="99"/>
      <c r="L41" s="99"/>
      <c r="M41" s="99"/>
      <c r="N41" s="99"/>
      <c r="P41" s="99"/>
      <c r="Q41" s="99"/>
      <c r="R41" s="103"/>
      <c r="S41" s="99"/>
      <c r="T41" s="116"/>
      <c r="U41" s="99"/>
      <c r="V41" s="61"/>
      <c r="W41" s="99"/>
      <c r="X41" s="116"/>
      <c r="Y41" s="116"/>
      <c r="Z41" s="61"/>
      <c r="AA41" s="116"/>
      <c r="AB41" s="116"/>
      <c r="AC41" s="116"/>
      <c r="AD41" s="61"/>
      <c r="AE41" s="116"/>
      <c r="AF41" s="116"/>
      <c r="AG41" s="61"/>
      <c r="AH41" s="116"/>
      <c r="AI41" s="116"/>
      <c r="AJ41" s="61"/>
      <c r="AK41" s="116"/>
      <c r="AL41" s="116"/>
      <c r="AM41" s="61"/>
      <c r="AN41" s="61"/>
      <c r="AO41" s="61"/>
      <c r="AP41" s="61"/>
      <c r="AQ41" s="61"/>
      <c r="AR41" s="61"/>
      <c r="AS41" s="61"/>
      <c r="AT41" s="61"/>
      <c r="AU41" s="196"/>
    </row>
    <row r="42" spans="1:47" s="22" customFormat="1" x14ac:dyDescent="0.2">
      <c r="A42" s="90"/>
      <c r="B42" s="96"/>
      <c r="C42" s="90"/>
      <c r="D42" s="97"/>
      <c r="E42" s="91"/>
      <c r="F42" s="97"/>
      <c r="G42" s="91"/>
      <c r="H42" s="98"/>
      <c r="I42" s="99"/>
      <c r="J42" s="98"/>
      <c r="K42" s="99"/>
      <c r="L42" s="99"/>
      <c r="M42" s="99"/>
      <c r="N42" s="99"/>
      <c r="P42" s="99"/>
      <c r="Q42" s="99"/>
      <c r="R42" s="103"/>
      <c r="S42" s="99"/>
      <c r="T42" s="116"/>
      <c r="U42" s="99"/>
      <c r="V42" s="61"/>
      <c r="W42" s="99"/>
      <c r="X42" s="116"/>
      <c r="Y42" s="116"/>
      <c r="Z42" s="61"/>
      <c r="AA42" s="116"/>
      <c r="AB42" s="116"/>
      <c r="AC42" s="116"/>
      <c r="AD42" s="61"/>
      <c r="AE42" s="116"/>
      <c r="AF42" s="116"/>
      <c r="AG42" s="61"/>
      <c r="AH42" s="116"/>
      <c r="AI42" s="116"/>
      <c r="AJ42" s="61"/>
      <c r="AK42" s="116"/>
      <c r="AL42" s="116"/>
      <c r="AM42" s="61"/>
      <c r="AN42" s="61"/>
      <c r="AO42" s="61"/>
      <c r="AP42" s="61"/>
      <c r="AQ42" s="61"/>
      <c r="AR42" s="61"/>
      <c r="AS42" s="61"/>
      <c r="AT42" s="61"/>
      <c r="AU42" s="196"/>
    </row>
    <row r="43" spans="1:47" s="22" customFormat="1" x14ac:dyDescent="0.2">
      <c r="A43" s="90"/>
      <c r="B43" s="96"/>
      <c r="C43" s="90"/>
      <c r="D43" s="97"/>
      <c r="E43" s="91"/>
      <c r="F43" s="97"/>
      <c r="G43" s="91"/>
      <c r="H43" s="98"/>
      <c r="I43" s="99"/>
      <c r="J43" s="98"/>
      <c r="K43" s="99"/>
      <c r="L43" s="99"/>
      <c r="M43" s="99"/>
      <c r="N43" s="99"/>
      <c r="P43" s="99"/>
      <c r="Q43" s="99"/>
      <c r="R43" s="103"/>
      <c r="S43" s="99"/>
      <c r="T43" s="116"/>
      <c r="U43" s="99"/>
      <c r="V43" s="61"/>
      <c r="W43" s="99"/>
      <c r="X43" s="116"/>
      <c r="Y43" s="116"/>
      <c r="Z43" s="61"/>
      <c r="AA43" s="116"/>
      <c r="AB43" s="116"/>
      <c r="AC43" s="116"/>
      <c r="AD43" s="61"/>
      <c r="AE43" s="116"/>
      <c r="AF43" s="116"/>
      <c r="AG43" s="61"/>
      <c r="AH43" s="116"/>
      <c r="AI43" s="116"/>
      <c r="AJ43" s="61"/>
      <c r="AK43" s="116"/>
      <c r="AL43" s="116"/>
      <c r="AM43" s="61"/>
      <c r="AN43" s="61"/>
      <c r="AO43" s="61"/>
      <c r="AP43" s="61"/>
      <c r="AQ43" s="61"/>
      <c r="AR43" s="61"/>
      <c r="AS43" s="61"/>
      <c r="AT43" s="61"/>
      <c r="AU43" s="196"/>
    </row>
    <row r="44" spans="1:47" s="22" customFormat="1" x14ac:dyDescent="0.2">
      <c r="A44" s="90"/>
      <c r="B44" s="96"/>
      <c r="C44" s="90"/>
      <c r="D44" s="97"/>
      <c r="E44" s="91"/>
      <c r="F44" s="97"/>
      <c r="G44" s="91"/>
      <c r="H44" s="98"/>
      <c r="I44" s="99"/>
      <c r="J44" s="98"/>
      <c r="K44" s="99"/>
      <c r="L44" s="99"/>
      <c r="M44" s="99"/>
      <c r="N44" s="99"/>
      <c r="P44" s="99"/>
      <c r="Q44" s="99"/>
      <c r="R44" s="103"/>
      <c r="S44" s="99"/>
      <c r="T44" s="116"/>
      <c r="U44" s="99"/>
      <c r="V44" s="61"/>
      <c r="W44" s="99"/>
      <c r="X44" s="116"/>
      <c r="Y44" s="116"/>
      <c r="Z44" s="61"/>
      <c r="AA44" s="116"/>
      <c r="AB44" s="116"/>
      <c r="AC44" s="116"/>
      <c r="AD44" s="61"/>
      <c r="AE44" s="116"/>
      <c r="AF44" s="116"/>
      <c r="AG44" s="61"/>
      <c r="AH44" s="116"/>
      <c r="AI44" s="116"/>
      <c r="AJ44" s="61"/>
      <c r="AK44" s="116"/>
      <c r="AL44" s="116"/>
      <c r="AM44" s="61"/>
      <c r="AN44" s="61"/>
      <c r="AO44" s="61"/>
      <c r="AP44" s="61"/>
      <c r="AQ44" s="61"/>
      <c r="AR44" s="61"/>
      <c r="AS44" s="61"/>
      <c r="AT44" s="61"/>
      <c r="AU44" s="196"/>
    </row>
    <row r="45" spans="1:47" s="22" customFormat="1" x14ac:dyDescent="0.2">
      <c r="A45" s="90"/>
      <c r="B45" s="96"/>
      <c r="C45" s="90"/>
      <c r="D45" s="97"/>
      <c r="E45" s="91"/>
      <c r="F45" s="97"/>
      <c r="G45" s="91"/>
      <c r="H45" s="98"/>
      <c r="I45" s="99"/>
      <c r="J45" s="98"/>
      <c r="K45" s="99"/>
      <c r="L45" s="99"/>
      <c r="M45" s="99"/>
      <c r="N45" s="99"/>
      <c r="P45" s="99"/>
      <c r="Q45" s="99"/>
      <c r="R45" s="103"/>
      <c r="S45" s="99"/>
      <c r="T45" s="116"/>
      <c r="U45" s="99"/>
      <c r="V45" s="61"/>
      <c r="W45" s="99"/>
      <c r="X45" s="116"/>
      <c r="Y45" s="116"/>
      <c r="Z45" s="61"/>
      <c r="AA45" s="116"/>
      <c r="AB45" s="116"/>
      <c r="AC45" s="116"/>
      <c r="AD45" s="61"/>
      <c r="AE45" s="116"/>
      <c r="AF45" s="116"/>
      <c r="AG45" s="61"/>
      <c r="AH45" s="116"/>
      <c r="AI45" s="116"/>
      <c r="AJ45" s="61"/>
      <c r="AK45" s="116"/>
      <c r="AL45" s="116"/>
      <c r="AM45" s="61"/>
      <c r="AN45" s="61"/>
      <c r="AO45" s="61"/>
      <c r="AP45" s="61"/>
      <c r="AQ45" s="61"/>
      <c r="AR45" s="61"/>
      <c r="AS45" s="61"/>
      <c r="AT45" s="61"/>
      <c r="AU45" s="196"/>
    </row>
    <row r="46" spans="1:47" s="22" customFormat="1" x14ac:dyDescent="0.2">
      <c r="A46" s="90"/>
      <c r="B46" s="96"/>
      <c r="C46" s="90"/>
      <c r="D46" s="97"/>
      <c r="E46" s="91"/>
      <c r="F46" s="97"/>
      <c r="G46" s="91"/>
      <c r="H46" s="98"/>
      <c r="I46" s="99"/>
      <c r="J46" s="98"/>
      <c r="K46" s="99"/>
      <c r="L46" s="99"/>
      <c r="M46" s="99"/>
      <c r="N46" s="99"/>
      <c r="P46" s="99"/>
      <c r="Q46" s="99"/>
      <c r="R46" s="103"/>
      <c r="S46" s="99"/>
      <c r="T46" s="116"/>
      <c r="U46" s="99"/>
      <c r="V46" s="61"/>
      <c r="W46" s="99"/>
      <c r="X46" s="116"/>
      <c r="Y46" s="116"/>
      <c r="Z46" s="61"/>
      <c r="AA46" s="116"/>
      <c r="AB46" s="116"/>
      <c r="AC46" s="116"/>
      <c r="AD46" s="61"/>
      <c r="AE46" s="116"/>
      <c r="AF46" s="116"/>
      <c r="AG46" s="61"/>
      <c r="AH46" s="116"/>
      <c r="AI46" s="116"/>
      <c r="AJ46" s="61"/>
      <c r="AK46" s="116"/>
      <c r="AL46" s="116"/>
      <c r="AM46" s="61"/>
      <c r="AN46" s="61"/>
      <c r="AO46" s="61"/>
      <c r="AP46" s="61"/>
      <c r="AQ46" s="61"/>
      <c r="AR46" s="61"/>
      <c r="AS46" s="61"/>
      <c r="AT46" s="61"/>
      <c r="AU46" s="196"/>
    </row>
    <row r="47" spans="1:47" s="22" customFormat="1" x14ac:dyDescent="0.2">
      <c r="A47" s="90"/>
      <c r="B47" s="96"/>
      <c r="C47" s="90"/>
      <c r="D47" s="97"/>
      <c r="E47" s="91"/>
      <c r="F47" s="97"/>
      <c r="G47" s="91"/>
      <c r="H47" s="98"/>
      <c r="I47" s="99"/>
      <c r="J47" s="98"/>
      <c r="K47" s="99"/>
      <c r="L47" s="99"/>
      <c r="M47" s="99"/>
      <c r="N47" s="99"/>
      <c r="P47" s="99"/>
      <c r="Q47" s="99"/>
      <c r="R47" s="103"/>
      <c r="S47" s="99"/>
      <c r="T47" s="116"/>
      <c r="U47" s="99"/>
      <c r="V47" s="61"/>
      <c r="W47" s="99"/>
      <c r="X47" s="116"/>
      <c r="Y47" s="116"/>
      <c r="Z47" s="61"/>
      <c r="AA47" s="116"/>
      <c r="AB47" s="116"/>
      <c r="AC47" s="116"/>
      <c r="AD47" s="61"/>
      <c r="AE47" s="116"/>
      <c r="AF47" s="116"/>
      <c r="AG47" s="61"/>
      <c r="AH47" s="116"/>
      <c r="AI47" s="116"/>
      <c r="AJ47" s="61"/>
      <c r="AK47" s="116"/>
      <c r="AL47" s="116"/>
      <c r="AM47" s="61"/>
      <c r="AN47" s="61"/>
      <c r="AO47" s="61"/>
      <c r="AP47" s="61"/>
      <c r="AQ47" s="61"/>
      <c r="AR47" s="61"/>
      <c r="AS47" s="61"/>
      <c r="AT47" s="61"/>
      <c r="AU47" s="196"/>
    </row>
    <row r="48" spans="1:47" s="22" customFormat="1" x14ac:dyDescent="0.2">
      <c r="A48" s="90"/>
      <c r="B48" s="96"/>
      <c r="C48" s="90"/>
      <c r="D48" s="97"/>
      <c r="E48" s="91"/>
      <c r="F48" s="97"/>
      <c r="G48" s="91"/>
      <c r="H48" s="98"/>
      <c r="I48" s="99"/>
      <c r="J48" s="98"/>
      <c r="K48" s="99"/>
      <c r="L48" s="99"/>
      <c r="M48" s="99"/>
      <c r="N48" s="99"/>
      <c r="P48" s="99"/>
      <c r="Q48" s="99"/>
      <c r="R48" s="103"/>
      <c r="S48" s="99"/>
      <c r="T48" s="116"/>
      <c r="U48" s="99"/>
      <c r="V48" s="61"/>
      <c r="W48" s="99"/>
      <c r="X48" s="116"/>
      <c r="Y48" s="116"/>
      <c r="Z48" s="61"/>
      <c r="AA48" s="116"/>
      <c r="AB48" s="116"/>
      <c r="AC48" s="116"/>
      <c r="AD48" s="61"/>
      <c r="AE48" s="116"/>
      <c r="AF48" s="116"/>
      <c r="AG48" s="61"/>
      <c r="AH48" s="116"/>
      <c r="AI48" s="116"/>
      <c r="AJ48" s="61"/>
      <c r="AK48" s="116"/>
      <c r="AL48" s="116"/>
      <c r="AM48" s="61"/>
      <c r="AN48" s="61"/>
      <c r="AO48" s="61"/>
      <c r="AP48" s="61"/>
      <c r="AQ48" s="61"/>
      <c r="AR48" s="61"/>
      <c r="AS48" s="61"/>
      <c r="AT48" s="61"/>
      <c r="AU48" s="196"/>
    </row>
    <row r="49" spans="1:47" s="22" customFormat="1" x14ac:dyDescent="0.2">
      <c r="A49" s="90"/>
      <c r="B49" s="96"/>
      <c r="C49" s="90"/>
      <c r="D49" s="97"/>
      <c r="E49" s="91"/>
      <c r="F49" s="97"/>
      <c r="G49" s="91"/>
      <c r="H49" s="98"/>
      <c r="I49" s="99"/>
      <c r="J49" s="98"/>
      <c r="K49" s="99"/>
      <c r="L49" s="99"/>
      <c r="M49" s="99"/>
      <c r="N49" s="99"/>
      <c r="P49" s="99"/>
      <c r="Q49" s="99"/>
      <c r="R49" s="103"/>
      <c r="S49" s="99"/>
      <c r="T49" s="116"/>
      <c r="U49" s="99"/>
      <c r="V49" s="61"/>
      <c r="W49" s="99"/>
      <c r="X49" s="116"/>
      <c r="Y49" s="116"/>
      <c r="Z49" s="61"/>
      <c r="AA49" s="116"/>
      <c r="AB49" s="116"/>
      <c r="AC49" s="116"/>
      <c r="AD49" s="61"/>
      <c r="AE49" s="116"/>
      <c r="AF49" s="116"/>
      <c r="AG49" s="61"/>
      <c r="AH49" s="116"/>
      <c r="AI49" s="116"/>
      <c r="AJ49" s="61"/>
      <c r="AK49" s="116"/>
      <c r="AL49" s="116"/>
      <c r="AM49" s="61"/>
      <c r="AN49" s="61"/>
      <c r="AO49" s="61"/>
      <c r="AP49" s="61"/>
      <c r="AQ49" s="61"/>
      <c r="AR49" s="61"/>
      <c r="AS49" s="61"/>
      <c r="AT49" s="61"/>
      <c r="AU49" s="196"/>
    </row>
    <row r="50" spans="1:47" s="22" customFormat="1" x14ac:dyDescent="0.2">
      <c r="A50" s="90"/>
      <c r="B50" s="96"/>
      <c r="C50" s="90"/>
      <c r="D50" s="97"/>
      <c r="E50" s="91"/>
      <c r="F50" s="97"/>
      <c r="G50" s="91"/>
      <c r="H50" s="98"/>
      <c r="I50" s="99"/>
      <c r="J50" s="98"/>
      <c r="K50" s="99"/>
      <c r="L50" s="99"/>
      <c r="M50" s="99"/>
      <c r="N50" s="99"/>
      <c r="P50" s="99"/>
      <c r="Q50" s="99"/>
      <c r="R50" s="103"/>
      <c r="S50" s="99"/>
      <c r="T50" s="116"/>
      <c r="U50" s="99"/>
      <c r="V50" s="61"/>
      <c r="W50" s="99"/>
      <c r="X50" s="116"/>
      <c r="Y50" s="116"/>
      <c r="Z50" s="61"/>
      <c r="AA50" s="116"/>
      <c r="AB50" s="116"/>
      <c r="AC50" s="116"/>
      <c r="AD50" s="61"/>
      <c r="AE50" s="116"/>
      <c r="AF50" s="116"/>
      <c r="AG50" s="61"/>
      <c r="AH50" s="116"/>
      <c r="AI50" s="116"/>
      <c r="AJ50" s="61"/>
      <c r="AK50" s="116"/>
      <c r="AL50" s="116"/>
      <c r="AM50" s="61"/>
      <c r="AN50" s="61"/>
      <c r="AO50" s="61"/>
      <c r="AP50" s="61"/>
      <c r="AQ50" s="61"/>
      <c r="AR50" s="61"/>
      <c r="AS50" s="61"/>
      <c r="AT50" s="61"/>
      <c r="AU50" s="196"/>
    </row>
    <row r="51" spans="1:47" x14ac:dyDescent="0.2">
      <c r="H51" s="100"/>
      <c r="I51" s="101"/>
      <c r="J51" s="100"/>
      <c r="K51" s="101"/>
      <c r="L51" s="101"/>
      <c r="M51" s="101"/>
      <c r="N51" s="101"/>
      <c r="P51" s="101"/>
      <c r="Q51" s="101"/>
      <c r="R51" s="104"/>
      <c r="S51" s="101"/>
      <c r="T51" s="117"/>
      <c r="U51" s="101"/>
      <c r="V51" s="62"/>
      <c r="W51" s="101"/>
      <c r="X51" s="117"/>
      <c r="Y51" s="117"/>
      <c r="Z51" s="62"/>
      <c r="AA51" s="117"/>
      <c r="AB51" s="117"/>
      <c r="AC51" s="117"/>
      <c r="AD51" s="62"/>
      <c r="AE51" s="117"/>
      <c r="AF51" s="117"/>
      <c r="AG51" s="62"/>
      <c r="AH51" s="117"/>
      <c r="AI51" s="117"/>
      <c r="AJ51" s="62"/>
      <c r="AK51" s="117"/>
      <c r="AL51" s="117"/>
      <c r="AM51" s="62"/>
      <c r="AN51" s="62"/>
      <c r="AO51" s="62"/>
      <c r="AP51" s="62"/>
      <c r="AQ51" s="62"/>
      <c r="AR51" s="62"/>
      <c r="AS51" s="62"/>
      <c r="AT51" s="62"/>
      <c r="AU51" s="196"/>
    </row>
    <row r="52" spans="1:47" x14ac:dyDescent="0.2">
      <c r="H52" s="100"/>
      <c r="I52" s="101"/>
      <c r="J52" s="100"/>
      <c r="K52" s="101"/>
      <c r="L52" s="101"/>
      <c r="M52" s="101"/>
      <c r="N52" s="101"/>
      <c r="P52" s="101"/>
      <c r="Q52" s="101"/>
      <c r="R52" s="104"/>
      <c r="S52" s="101"/>
      <c r="T52" s="117"/>
      <c r="U52" s="101"/>
      <c r="V52" s="62"/>
      <c r="W52" s="101"/>
      <c r="X52" s="117"/>
      <c r="Y52" s="117"/>
      <c r="Z52" s="62"/>
      <c r="AA52" s="117"/>
      <c r="AB52" s="117"/>
      <c r="AC52" s="117"/>
      <c r="AD52" s="62"/>
      <c r="AE52" s="117"/>
      <c r="AF52" s="117"/>
      <c r="AG52" s="62"/>
      <c r="AH52" s="117"/>
      <c r="AI52" s="117"/>
      <c r="AJ52" s="62"/>
      <c r="AK52" s="117"/>
      <c r="AL52" s="117"/>
      <c r="AM52" s="62"/>
      <c r="AN52" s="62"/>
      <c r="AO52" s="62"/>
      <c r="AP52" s="62"/>
      <c r="AQ52" s="62"/>
      <c r="AR52" s="62"/>
      <c r="AS52" s="62"/>
      <c r="AT52" s="62"/>
      <c r="AU52" s="196"/>
    </row>
    <row r="53" spans="1:47" x14ac:dyDescent="0.2">
      <c r="H53" s="100"/>
      <c r="I53" s="101"/>
      <c r="J53" s="100"/>
      <c r="K53" s="101"/>
      <c r="L53" s="101"/>
      <c r="M53" s="101"/>
      <c r="N53" s="101"/>
      <c r="P53" s="101"/>
      <c r="Q53" s="101"/>
      <c r="R53" s="104"/>
      <c r="S53" s="101"/>
      <c r="T53" s="117"/>
      <c r="U53" s="101"/>
      <c r="V53" s="62"/>
      <c r="W53" s="101"/>
      <c r="X53" s="117"/>
      <c r="Y53" s="117"/>
      <c r="Z53" s="62"/>
      <c r="AA53" s="117"/>
      <c r="AB53" s="117"/>
      <c r="AC53" s="117"/>
      <c r="AD53" s="62"/>
      <c r="AE53" s="117"/>
      <c r="AF53" s="117"/>
      <c r="AG53" s="62"/>
      <c r="AH53" s="117"/>
      <c r="AI53" s="117"/>
      <c r="AJ53" s="62"/>
      <c r="AK53" s="117"/>
      <c r="AL53" s="117"/>
      <c r="AM53" s="62"/>
      <c r="AN53" s="62"/>
      <c r="AO53" s="62"/>
      <c r="AP53" s="62"/>
      <c r="AQ53" s="62"/>
      <c r="AR53" s="62"/>
      <c r="AS53" s="62"/>
      <c r="AT53" s="62"/>
      <c r="AU53" s="196"/>
    </row>
    <row r="54" spans="1:47" x14ac:dyDescent="0.2">
      <c r="H54" s="100"/>
      <c r="I54" s="101"/>
      <c r="J54" s="100"/>
      <c r="K54" s="101"/>
      <c r="L54" s="101"/>
      <c r="M54" s="101"/>
      <c r="N54" s="101"/>
      <c r="P54" s="101"/>
      <c r="Q54" s="101"/>
      <c r="R54" s="104"/>
      <c r="S54" s="101"/>
      <c r="T54" s="117"/>
      <c r="U54" s="101"/>
      <c r="V54" s="62"/>
      <c r="W54" s="101"/>
      <c r="X54" s="117"/>
      <c r="Y54" s="117"/>
      <c r="Z54" s="62"/>
      <c r="AA54" s="117"/>
      <c r="AB54" s="117"/>
      <c r="AC54" s="117"/>
      <c r="AD54" s="62"/>
      <c r="AE54" s="117"/>
      <c r="AF54" s="117"/>
      <c r="AG54" s="62"/>
      <c r="AH54" s="117"/>
      <c r="AI54" s="117"/>
      <c r="AJ54" s="62"/>
      <c r="AK54" s="117"/>
      <c r="AL54" s="117"/>
      <c r="AM54" s="62"/>
      <c r="AN54" s="62"/>
      <c r="AO54" s="62"/>
      <c r="AP54" s="62"/>
      <c r="AQ54" s="62"/>
      <c r="AR54" s="62"/>
      <c r="AS54" s="62"/>
      <c r="AT54" s="62"/>
      <c r="AU54" s="196"/>
    </row>
    <row r="55" spans="1:47" x14ac:dyDescent="0.2">
      <c r="H55" s="100"/>
      <c r="I55" s="101"/>
      <c r="J55" s="100"/>
      <c r="K55" s="101"/>
      <c r="L55" s="101"/>
      <c r="M55" s="101"/>
      <c r="N55" s="101"/>
      <c r="P55" s="101"/>
      <c r="Q55" s="101"/>
      <c r="R55" s="104"/>
      <c r="S55" s="101"/>
      <c r="T55" s="117"/>
      <c r="U55" s="101"/>
      <c r="V55" s="62"/>
      <c r="W55" s="101"/>
      <c r="X55" s="117"/>
      <c r="Y55" s="117"/>
      <c r="Z55" s="62"/>
      <c r="AA55" s="117"/>
      <c r="AB55" s="117"/>
      <c r="AC55" s="117"/>
      <c r="AD55" s="62"/>
      <c r="AE55" s="117"/>
      <c r="AF55" s="117"/>
      <c r="AG55" s="62"/>
      <c r="AH55" s="117"/>
      <c r="AI55" s="117"/>
      <c r="AJ55" s="62"/>
      <c r="AK55" s="117"/>
      <c r="AL55" s="117"/>
      <c r="AM55" s="62"/>
      <c r="AN55" s="62"/>
      <c r="AO55" s="62"/>
      <c r="AP55" s="62"/>
      <c r="AQ55" s="62"/>
      <c r="AR55" s="62"/>
      <c r="AS55" s="62"/>
      <c r="AT55" s="62"/>
      <c r="AU55" s="196"/>
    </row>
    <row r="56" spans="1:47" x14ac:dyDescent="0.2">
      <c r="H56" s="100"/>
      <c r="I56" s="101"/>
      <c r="J56" s="100"/>
      <c r="K56" s="101"/>
      <c r="L56" s="101"/>
      <c r="M56" s="101"/>
      <c r="N56" s="101"/>
      <c r="P56" s="101"/>
      <c r="Q56" s="101"/>
      <c r="R56" s="104"/>
      <c r="S56" s="101"/>
      <c r="T56" s="117"/>
      <c r="U56" s="101"/>
      <c r="V56" s="62"/>
      <c r="W56" s="101"/>
      <c r="X56" s="117"/>
      <c r="Y56" s="117"/>
      <c r="Z56" s="62"/>
      <c r="AA56" s="117"/>
      <c r="AB56" s="117"/>
      <c r="AC56" s="117"/>
      <c r="AD56" s="62"/>
      <c r="AE56" s="117"/>
      <c r="AF56" s="117"/>
      <c r="AG56" s="62"/>
      <c r="AH56" s="117"/>
      <c r="AI56" s="117"/>
      <c r="AJ56" s="62"/>
      <c r="AK56" s="117"/>
      <c r="AL56" s="117"/>
      <c r="AM56" s="62"/>
      <c r="AN56" s="62"/>
      <c r="AO56" s="62"/>
      <c r="AP56" s="62"/>
      <c r="AQ56" s="62"/>
      <c r="AR56" s="62"/>
      <c r="AS56" s="62"/>
      <c r="AT56" s="62"/>
      <c r="AU56" s="196"/>
    </row>
    <row r="57" spans="1:47" x14ac:dyDescent="0.2">
      <c r="H57" s="100"/>
      <c r="I57" s="101"/>
      <c r="J57" s="100"/>
      <c r="K57" s="101"/>
      <c r="L57" s="101"/>
      <c r="M57" s="101"/>
      <c r="N57" s="101"/>
      <c r="P57" s="101"/>
      <c r="Q57" s="101"/>
      <c r="R57" s="104"/>
      <c r="S57" s="101"/>
      <c r="T57" s="117"/>
      <c r="U57" s="101"/>
      <c r="V57" s="62"/>
      <c r="W57" s="101"/>
      <c r="X57" s="117"/>
      <c r="Y57" s="117"/>
      <c r="Z57" s="62"/>
      <c r="AA57" s="117"/>
      <c r="AB57" s="117"/>
      <c r="AC57" s="117"/>
      <c r="AD57" s="62"/>
      <c r="AE57" s="117"/>
      <c r="AF57" s="117"/>
      <c r="AG57" s="62"/>
      <c r="AH57" s="117"/>
      <c r="AI57" s="117"/>
      <c r="AJ57" s="62"/>
      <c r="AK57" s="117"/>
      <c r="AL57" s="117"/>
      <c r="AM57" s="62"/>
      <c r="AN57" s="62"/>
      <c r="AO57" s="62"/>
      <c r="AP57" s="62"/>
      <c r="AQ57" s="62"/>
      <c r="AR57" s="62"/>
      <c r="AS57" s="62"/>
      <c r="AT57" s="62"/>
      <c r="AU57" s="196"/>
    </row>
    <row r="58" spans="1:47" x14ac:dyDescent="0.2">
      <c r="H58" s="100"/>
      <c r="I58" s="101"/>
      <c r="J58" s="100"/>
      <c r="K58" s="101"/>
      <c r="L58" s="101"/>
      <c r="M58" s="101"/>
      <c r="N58" s="101"/>
      <c r="P58" s="101"/>
      <c r="Q58" s="101"/>
      <c r="R58" s="104"/>
      <c r="S58" s="101"/>
      <c r="T58" s="117"/>
      <c r="U58" s="101"/>
      <c r="V58" s="62"/>
      <c r="W58" s="101"/>
      <c r="X58" s="117"/>
      <c r="Y58" s="117"/>
      <c r="Z58" s="62"/>
      <c r="AA58" s="117"/>
      <c r="AB58" s="117"/>
      <c r="AC58" s="117"/>
      <c r="AD58" s="62"/>
      <c r="AE58" s="117"/>
      <c r="AF58" s="117"/>
      <c r="AG58" s="62"/>
      <c r="AH58" s="117"/>
      <c r="AI58" s="117"/>
      <c r="AJ58" s="62"/>
      <c r="AK58" s="117"/>
      <c r="AL58" s="117"/>
      <c r="AM58" s="62"/>
      <c r="AN58" s="62"/>
      <c r="AO58" s="62"/>
      <c r="AP58" s="62"/>
      <c r="AQ58" s="62"/>
      <c r="AR58" s="62"/>
      <c r="AS58" s="62"/>
      <c r="AT58" s="62"/>
      <c r="AU58" s="196"/>
    </row>
    <row r="59" spans="1:47" x14ac:dyDescent="0.2">
      <c r="H59" s="100"/>
      <c r="I59" s="101"/>
      <c r="J59" s="100"/>
      <c r="K59" s="101"/>
      <c r="L59" s="101"/>
      <c r="M59" s="101"/>
      <c r="N59" s="101"/>
      <c r="P59" s="101"/>
      <c r="Q59" s="101"/>
      <c r="R59" s="104"/>
      <c r="S59" s="101"/>
      <c r="T59" s="117"/>
      <c r="U59" s="101"/>
      <c r="V59" s="62"/>
      <c r="W59" s="101"/>
      <c r="X59" s="117"/>
      <c r="Y59" s="117"/>
      <c r="Z59" s="62"/>
      <c r="AA59" s="117"/>
      <c r="AB59" s="117"/>
      <c r="AC59" s="117"/>
      <c r="AD59" s="62"/>
      <c r="AE59" s="117"/>
      <c r="AF59" s="117"/>
      <c r="AG59" s="62"/>
      <c r="AH59" s="117"/>
      <c r="AI59" s="117"/>
      <c r="AJ59" s="62"/>
      <c r="AK59" s="117"/>
      <c r="AL59" s="117"/>
      <c r="AM59" s="62"/>
      <c r="AN59" s="62"/>
      <c r="AO59" s="62"/>
      <c r="AP59" s="62"/>
      <c r="AQ59" s="62"/>
      <c r="AR59" s="62"/>
      <c r="AS59" s="62"/>
      <c r="AT59" s="62"/>
      <c r="AU59" s="196"/>
    </row>
    <row r="60" spans="1:47" x14ac:dyDescent="0.2">
      <c r="H60" s="100"/>
      <c r="I60" s="101"/>
      <c r="J60" s="100"/>
      <c r="K60" s="101"/>
      <c r="L60" s="101"/>
      <c r="M60" s="101"/>
      <c r="N60" s="101"/>
      <c r="P60" s="101"/>
      <c r="Q60" s="101"/>
      <c r="R60" s="104"/>
      <c r="S60" s="101"/>
      <c r="T60" s="117"/>
      <c r="U60" s="101"/>
      <c r="V60" s="62"/>
      <c r="W60" s="101"/>
      <c r="X60" s="117"/>
      <c r="Y60" s="117"/>
      <c r="Z60" s="62"/>
      <c r="AA60" s="117"/>
      <c r="AB60" s="117"/>
      <c r="AC60" s="117"/>
      <c r="AD60" s="62"/>
      <c r="AE60" s="117"/>
      <c r="AF60" s="117"/>
      <c r="AG60" s="62"/>
      <c r="AH60" s="117"/>
      <c r="AI60" s="117"/>
      <c r="AJ60" s="62"/>
      <c r="AK60" s="117"/>
      <c r="AL60" s="117"/>
      <c r="AM60" s="62"/>
      <c r="AN60" s="62"/>
      <c r="AO60" s="62"/>
      <c r="AP60" s="62"/>
      <c r="AQ60" s="62"/>
      <c r="AR60" s="62"/>
      <c r="AS60" s="62"/>
      <c r="AT60" s="62"/>
      <c r="AU60" s="196"/>
    </row>
    <row r="61" spans="1:47" x14ac:dyDescent="0.2">
      <c r="H61" s="100"/>
      <c r="I61" s="101"/>
      <c r="J61" s="100"/>
      <c r="K61" s="101"/>
      <c r="L61" s="101"/>
      <c r="M61" s="101"/>
      <c r="N61" s="101"/>
      <c r="P61" s="101"/>
      <c r="Q61" s="101"/>
      <c r="R61" s="104"/>
      <c r="S61" s="101"/>
      <c r="T61" s="117"/>
      <c r="U61" s="101"/>
      <c r="V61" s="62"/>
      <c r="W61" s="101"/>
      <c r="X61" s="117"/>
      <c r="Y61" s="117"/>
      <c r="Z61" s="62"/>
      <c r="AA61" s="117"/>
      <c r="AB61" s="117"/>
      <c r="AC61" s="117"/>
      <c r="AD61" s="62"/>
      <c r="AE61" s="117"/>
      <c r="AF61" s="117"/>
      <c r="AG61" s="62"/>
      <c r="AH61" s="117"/>
      <c r="AI61" s="117"/>
      <c r="AJ61" s="62"/>
      <c r="AK61" s="117"/>
      <c r="AL61" s="117"/>
      <c r="AM61" s="62"/>
      <c r="AN61" s="62"/>
      <c r="AO61" s="62"/>
      <c r="AP61" s="62"/>
      <c r="AQ61" s="62"/>
      <c r="AR61" s="62"/>
      <c r="AS61" s="62"/>
      <c r="AT61" s="62"/>
      <c r="AU61" s="196"/>
    </row>
    <row r="62" spans="1:47" x14ac:dyDescent="0.2">
      <c r="H62" s="100"/>
      <c r="I62" s="101"/>
      <c r="J62" s="100"/>
      <c r="K62" s="101"/>
      <c r="L62" s="101"/>
      <c r="M62" s="101"/>
      <c r="N62" s="101"/>
      <c r="P62" s="101"/>
      <c r="Q62" s="101"/>
      <c r="R62" s="104"/>
      <c r="S62" s="101"/>
      <c r="T62" s="117"/>
      <c r="U62" s="101"/>
      <c r="V62" s="62"/>
      <c r="W62" s="101"/>
      <c r="X62" s="117"/>
      <c r="Y62" s="117"/>
      <c r="Z62" s="62"/>
      <c r="AA62" s="117"/>
      <c r="AB62" s="117"/>
      <c r="AC62" s="117"/>
      <c r="AD62" s="62"/>
      <c r="AE62" s="117"/>
      <c r="AF62" s="117"/>
      <c r="AG62" s="62"/>
      <c r="AH62" s="117"/>
      <c r="AI62" s="117"/>
      <c r="AJ62" s="62"/>
      <c r="AK62" s="117"/>
      <c r="AL62" s="117"/>
      <c r="AM62" s="62"/>
      <c r="AN62" s="62"/>
      <c r="AO62" s="62"/>
      <c r="AP62" s="62"/>
      <c r="AQ62" s="62"/>
      <c r="AR62" s="62"/>
      <c r="AS62" s="62"/>
      <c r="AT62" s="62"/>
      <c r="AU62" s="196"/>
    </row>
    <row r="63" spans="1:47" x14ac:dyDescent="0.2">
      <c r="H63" s="100"/>
      <c r="I63" s="101"/>
      <c r="J63" s="100"/>
      <c r="K63" s="101"/>
      <c r="L63" s="101"/>
      <c r="M63" s="101"/>
      <c r="N63" s="101"/>
      <c r="P63" s="101"/>
      <c r="Q63" s="101"/>
      <c r="R63" s="104"/>
      <c r="S63" s="101"/>
      <c r="T63" s="117"/>
      <c r="U63" s="101"/>
      <c r="V63" s="62"/>
      <c r="W63" s="101"/>
      <c r="X63" s="117"/>
      <c r="Y63" s="117"/>
      <c r="Z63" s="62"/>
      <c r="AA63" s="117"/>
      <c r="AB63" s="117"/>
      <c r="AC63" s="117"/>
      <c r="AD63" s="62"/>
      <c r="AE63" s="117"/>
      <c r="AF63" s="117"/>
      <c r="AG63" s="62"/>
      <c r="AH63" s="117"/>
      <c r="AI63" s="117"/>
      <c r="AJ63" s="62"/>
      <c r="AK63" s="117"/>
      <c r="AL63" s="117"/>
      <c r="AM63" s="62"/>
      <c r="AN63" s="62"/>
      <c r="AO63" s="62"/>
      <c r="AP63" s="62"/>
      <c r="AQ63" s="62"/>
      <c r="AR63" s="62"/>
      <c r="AS63" s="62"/>
      <c r="AT63" s="62"/>
      <c r="AU63" s="196"/>
    </row>
    <row r="64" spans="1:47" x14ac:dyDescent="0.2">
      <c r="H64" s="100"/>
      <c r="I64" s="101"/>
      <c r="J64" s="100"/>
      <c r="K64" s="101"/>
      <c r="L64" s="101"/>
      <c r="M64" s="101"/>
      <c r="N64" s="101"/>
      <c r="P64" s="101"/>
      <c r="Q64" s="101"/>
      <c r="R64" s="104"/>
      <c r="S64" s="101"/>
      <c r="T64" s="117"/>
      <c r="U64" s="101"/>
      <c r="V64" s="62"/>
      <c r="W64" s="101"/>
      <c r="X64" s="117"/>
      <c r="Y64" s="117"/>
      <c r="Z64" s="62"/>
      <c r="AA64" s="117"/>
      <c r="AB64" s="117"/>
      <c r="AC64" s="117"/>
      <c r="AD64" s="62"/>
      <c r="AE64" s="117"/>
      <c r="AF64" s="117"/>
      <c r="AG64" s="62"/>
      <c r="AH64" s="117"/>
      <c r="AI64" s="117"/>
      <c r="AJ64" s="62"/>
      <c r="AK64" s="117"/>
      <c r="AL64" s="117"/>
      <c r="AM64" s="62"/>
      <c r="AN64" s="62"/>
      <c r="AO64" s="62"/>
      <c r="AP64" s="62"/>
      <c r="AQ64" s="62"/>
      <c r="AR64" s="62"/>
      <c r="AS64" s="62"/>
      <c r="AT64" s="62"/>
      <c r="AU64" s="196"/>
    </row>
    <row r="65" spans="1:47" x14ac:dyDescent="0.2">
      <c r="A65" s="21"/>
      <c r="B65" s="21"/>
      <c r="C65" s="21"/>
      <c r="D65" s="21"/>
      <c r="E65" s="21"/>
      <c r="F65" s="21"/>
      <c r="G65" s="21"/>
      <c r="H65" s="100"/>
      <c r="I65" s="101"/>
      <c r="J65" s="100"/>
      <c r="K65" s="101"/>
      <c r="L65" s="101"/>
      <c r="M65" s="101"/>
      <c r="N65" s="101"/>
      <c r="P65" s="101"/>
      <c r="Q65" s="101"/>
      <c r="R65" s="104"/>
      <c r="S65" s="101"/>
      <c r="T65" s="117"/>
      <c r="U65" s="101"/>
      <c r="V65" s="62"/>
      <c r="W65" s="101"/>
      <c r="X65" s="117"/>
      <c r="Y65" s="117"/>
      <c r="Z65" s="62"/>
      <c r="AA65" s="117"/>
      <c r="AB65" s="117"/>
      <c r="AC65" s="117"/>
      <c r="AD65" s="62"/>
      <c r="AE65" s="117"/>
      <c r="AF65" s="117"/>
      <c r="AG65" s="62"/>
      <c r="AH65" s="117"/>
      <c r="AI65" s="117"/>
      <c r="AJ65" s="62"/>
      <c r="AK65" s="117"/>
      <c r="AL65" s="117"/>
      <c r="AM65" s="62"/>
      <c r="AN65" s="62"/>
      <c r="AO65" s="62"/>
      <c r="AP65" s="62"/>
      <c r="AQ65" s="62"/>
      <c r="AR65" s="62"/>
      <c r="AS65" s="62"/>
      <c r="AT65" s="62"/>
      <c r="AU65" s="196"/>
    </row>
    <row r="66" spans="1:47" x14ac:dyDescent="0.2">
      <c r="A66" s="21"/>
      <c r="B66" s="21"/>
      <c r="C66" s="21"/>
      <c r="D66" s="21"/>
      <c r="E66" s="21"/>
      <c r="F66" s="21"/>
      <c r="G66" s="21"/>
      <c r="H66" s="100"/>
      <c r="I66" s="101"/>
      <c r="J66" s="100"/>
      <c r="K66" s="101"/>
      <c r="L66" s="101"/>
      <c r="M66" s="101"/>
      <c r="N66" s="101"/>
      <c r="P66" s="101"/>
      <c r="Q66" s="101"/>
      <c r="R66" s="104"/>
      <c r="S66" s="101"/>
      <c r="T66" s="117"/>
      <c r="U66" s="101"/>
      <c r="V66" s="62"/>
      <c r="W66" s="101"/>
      <c r="X66" s="117"/>
      <c r="Y66" s="117"/>
      <c r="Z66" s="62"/>
      <c r="AA66" s="117"/>
      <c r="AB66" s="117"/>
      <c r="AC66" s="117"/>
      <c r="AD66" s="62"/>
      <c r="AE66" s="117"/>
      <c r="AF66" s="117"/>
      <c r="AG66" s="62"/>
      <c r="AH66" s="117"/>
      <c r="AI66" s="117"/>
      <c r="AJ66" s="62"/>
      <c r="AK66" s="117"/>
      <c r="AL66" s="117"/>
      <c r="AM66" s="62"/>
      <c r="AN66" s="62"/>
      <c r="AO66" s="62"/>
      <c r="AP66" s="62"/>
      <c r="AQ66" s="62"/>
      <c r="AR66" s="62"/>
      <c r="AS66" s="62"/>
      <c r="AT66" s="62"/>
      <c r="AU66" s="196"/>
    </row>
    <row r="67" spans="1:47" x14ac:dyDescent="0.2">
      <c r="A67" s="21"/>
      <c r="B67" s="21"/>
      <c r="C67" s="21"/>
      <c r="D67" s="21"/>
      <c r="E67" s="21"/>
      <c r="F67" s="21"/>
      <c r="G67" s="21"/>
      <c r="H67" s="100"/>
      <c r="I67" s="101"/>
      <c r="J67" s="100"/>
      <c r="K67" s="101"/>
      <c r="L67" s="101"/>
      <c r="M67" s="101"/>
      <c r="N67" s="101"/>
      <c r="P67" s="101"/>
      <c r="Q67" s="101"/>
      <c r="R67" s="104"/>
      <c r="S67" s="101"/>
      <c r="T67" s="117"/>
      <c r="U67" s="101"/>
      <c r="V67" s="62"/>
      <c r="W67" s="101"/>
      <c r="X67" s="117"/>
      <c r="Y67" s="117"/>
      <c r="Z67" s="62"/>
      <c r="AA67" s="117"/>
      <c r="AB67" s="117"/>
      <c r="AC67" s="117"/>
      <c r="AD67" s="62"/>
      <c r="AE67" s="117"/>
      <c r="AF67" s="117"/>
      <c r="AG67" s="62"/>
      <c r="AH67" s="117"/>
      <c r="AI67" s="117"/>
      <c r="AJ67" s="62"/>
      <c r="AK67" s="117"/>
      <c r="AL67" s="117"/>
      <c r="AM67" s="62"/>
      <c r="AN67" s="62"/>
      <c r="AO67" s="62"/>
      <c r="AP67" s="62"/>
      <c r="AQ67" s="62"/>
      <c r="AR67" s="62"/>
      <c r="AS67" s="62"/>
      <c r="AT67" s="62"/>
      <c r="AU67" s="196"/>
    </row>
    <row r="68" spans="1:47" x14ac:dyDescent="0.2">
      <c r="A68" s="21"/>
      <c r="B68" s="21"/>
      <c r="C68" s="21"/>
      <c r="D68" s="21"/>
      <c r="E68" s="21"/>
      <c r="F68" s="21"/>
      <c r="G68" s="21"/>
      <c r="H68" s="100"/>
      <c r="I68" s="101"/>
      <c r="J68" s="100"/>
      <c r="K68" s="101"/>
      <c r="L68" s="101"/>
      <c r="M68" s="101"/>
      <c r="N68" s="101"/>
      <c r="P68" s="101"/>
      <c r="Q68" s="101"/>
      <c r="R68" s="104"/>
      <c r="S68" s="101"/>
      <c r="T68" s="117"/>
      <c r="U68" s="101"/>
      <c r="V68" s="62"/>
      <c r="W68" s="101"/>
      <c r="X68" s="117"/>
      <c r="Y68" s="117"/>
      <c r="Z68" s="62"/>
      <c r="AA68" s="117"/>
      <c r="AB68" s="117"/>
      <c r="AC68" s="117"/>
      <c r="AD68" s="62"/>
      <c r="AE68" s="117"/>
      <c r="AF68" s="117"/>
      <c r="AG68" s="62"/>
      <c r="AH68" s="117"/>
      <c r="AI68" s="117"/>
      <c r="AJ68" s="62"/>
      <c r="AK68" s="117"/>
      <c r="AL68" s="117"/>
      <c r="AM68" s="62"/>
      <c r="AN68" s="62"/>
      <c r="AO68" s="62"/>
      <c r="AP68" s="62"/>
      <c r="AQ68" s="62"/>
      <c r="AR68" s="62"/>
      <c r="AS68" s="62"/>
      <c r="AT68" s="62"/>
      <c r="AU68" s="196"/>
    </row>
    <row r="69" spans="1:47" x14ac:dyDescent="0.2">
      <c r="A69" s="21"/>
      <c r="B69" s="21"/>
      <c r="C69" s="21"/>
      <c r="D69" s="21"/>
      <c r="E69" s="21"/>
      <c r="F69" s="21"/>
      <c r="G69" s="21"/>
      <c r="H69" s="100"/>
      <c r="I69" s="101"/>
      <c r="J69" s="100"/>
      <c r="K69" s="101"/>
      <c r="L69" s="101"/>
      <c r="M69" s="101"/>
      <c r="N69" s="101"/>
      <c r="P69" s="101"/>
      <c r="Q69" s="101"/>
      <c r="R69" s="104"/>
      <c r="S69" s="101"/>
      <c r="T69" s="117"/>
      <c r="U69" s="101"/>
      <c r="V69" s="62"/>
      <c r="W69" s="101"/>
      <c r="X69" s="117"/>
      <c r="Y69" s="117"/>
      <c r="Z69" s="62"/>
      <c r="AA69" s="117"/>
      <c r="AB69" s="117"/>
      <c r="AC69" s="117"/>
      <c r="AD69" s="62"/>
      <c r="AE69" s="117"/>
      <c r="AF69" s="117"/>
      <c r="AG69" s="62"/>
      <c r="AH69" s="117"/>
      <c r="AI69" s="117"/>
      <c r="AJ69" s="62"/>
      <c r="AK69" s="117"/>
      <c r="AL69" s="117"/>
      <c r="AM69" s="62"/>
      <c r="AN69" s="62"/>
      <c r="AO69" s="62"/>
      <c r="AP69" s="62"/>
      <c r="AQ69" s="62"/>
      <c r="AR69" s="62"/>
      <c r="AS69" s="62"/>
      <c r="AT69" s="62"/>
      <c r="AU69" s="196"/>
    </row>
    <row r="70" spans="1:47" x14ac:dyDescent="0.2">
      <c r="A70" s="21"/>
      <c r="B70" s="21"/>
      <c r="C70" s="21"/>
      <c r="D70" s="21"/>
      <c r="E70" s="21"/>
      <c r="F70" s="21"/>
      <c r="G70" s="21"/>
      <c r="H70" s="100"/>
      <c r="I70" s="101"/>
      <c r="J70" s="100"/>
      <c r="K70" s="101"/>
      <c r="L70" s="101"/>
      <c r="M70" s="101"/>
      <c r="N70" s="101"/>
      <c r="P70" s="101"/>
      <c r="Q70" s="101"/>
      <c r="R70" s="104"/>
      <c r="S70" s="101"/>
      <c r="T70" s="117"/>
      <c r="U70" s="101"/>
      <c r="V70" s="62"/>
      <c r="W70" s="101"/>
      <c r="X70" s="117"/>
      <c r="Y70" s="117"/>
      <c r="Z70" s="62"/>
      <c r="AA70" s="117"/>
      <c r="AB70" s="117"/>
      <c r="AC70" s="117"/>
      <c r="AD70" s="62"/>
      <c r="AE70" s="117"/>
      <c r="AF70" s="117"/>
      <c r="AG70" s="62"/>
      <c r="AH70" s="117"/>
      <c r="AI70" s="117"/>
      <c r="AJ70" s="62"/>
      <c r="AK70" s="117"/>
      <c r="AL70" s="117"/>
      <c r="AM70" s="62"/>
      <c r="AN70" s="62"/>
      <c r="AO70" s="62"/>
      <c r="AP70" s="62"/>
      <c r="AQ70" s="62"/>
      <c r="AR70" s="62"/>
      <c r="AS70" s="62"/>
      <c r="AT70" s="62"/>
      <c r="AU70" s="196"/>
    </row>
    <row r="71" spans="1:47" x14ac:dyDescent="0.2">
      <c r="A71" s="21"/>
      <c r="B71" s="21"/>
      <c r="C71" s="21"/>
      <c r="D71" s="21"/>
      <c r="E71" s="21"/>
      <c r="F71" s="21"/>
      <c r="G71" s="21"/>
      <c r="H71" s="100"/>
      <c r="I71" s="101"/>
      <c r="J71" s="100"/>
      <c r="K71" s="101"/>
      <c r="L71" s="101"/>
      <c r="M71" s="101"/>
      <c r="N71" s="101"/>
      <c r="P71" s="101"/>
      <c r="Q71" s="101"/>
      <c r="R71" s="104"/>
      <c r="S71" s="101"/>
      <c r="T71" s="117"/>
      <c r="U71" s="101"/>
      <c r="V71" s="62"/>
      <c r="W71" s="101"/>
      <c r="X71" s="117"/>
      <c r="Y71" s="117"/>
      <c r="Z71" s="62"/>
      <c r="AA71" s="117"/>
      <c r="AB71" s="117"/>
      <c r="AC71" s="117"/>
      <c r="AD71" s="62"/>
      <c r="AE71" s="117"/>
      <c r="AF71" s="117"/>
      <c r="AG71" s="62"/>
      <c r="AH71" s="117"/>
      <c r="AI71" s="117"/>
      <c r="AJ71" s="62"/>
      <c r="AK71" s="117"/>
      <c r="AL71" s="117"/>
      <c r="AM71" s="62"/>
      <c r="AN71" s="62"/>
      <c r="AO71" s="62"/>
      <c r="AP71" s="62"/>
      <c r="AQ71" s="62"/>
      <c r="AR71" s="62"/>
      <c r="AS71" s="62"/>
      <c r="AT71" s="62"/>
      <c r="AU71" s="196"/>
    </row>
    <row r="72" spans="1:47" x14ac:dyDescent="0.2">
      <c r="A72" s="21"/>
      <c r="B72" s="21"/>
      <c r="C72" s="21"/>
      <c r="D72" s="21"/>
      <c r="E72" s="21"/>
      <c r="F72" s="21"/>
      <c r="G72" s="21"/>
      <c r="H72" s="100"/>
      <c r="I72" s="101"/>
      <c r="J72" s="100"/>
      <c r="K72" s="101"/>
      <c r="L72" s="101"/>
      <c r="M72" s="101"/>
      <c r="N72" s="101"/>
      <c r="P72" s="101"/>
      <c r="Q72" s="101"/>
      <c r="R72" s="104"/>
      <c r="S72" s="101"/>
      <c r="T72" s="117"/>
      <c r="U72" s="101"/>
      <c r="V72" s="62"/>
      <c r="W72" s="101"/>
      <c r="X72" s="117"/>
      <c r="Y72" s="117"/>
      <c r="Z72" s="62"/>
      <c r="AA72" s="117"/>
      <c r="AB72" s="117"/>
      <c r="AC72" s="117"/>
      <c r="AD72" s="62"/>
      <c r="AE72" s="117"/>
      <c r="AF72" s="117"/>
      <c r="AG72" s="62"/>
      <c r="AH72" s="117"/>
      <c r="AI72" s="117"/>
      <c r="AJ72" s="62"/>
      <c r="AK72" s="117"/>
      <c r="AL72" s="117"/>
      <c r="AM72" s="62"/>
      <c r="AN72" s="62"/>
      <c r="AO72" s="62"/>
      <c r="AP72" s="62"/>
      <c r="AQ72" s="62"/>
      <c r="AR72" s="62"/>
      <c r="AS72" s="62"/>
      <c r="AT72" s="62"/>
      <c r="AU72" s="196"/>
    </row>
    <row r="73" spans="1:47" x14ac:dyDescent="0.2">
      <c r="A73" s="21"/>
      <c r="B73" s="21"/>
      <c r="C73" s="21"/>
      <c r="D73" s="21"/>
      <c r="E73" s="21"/>
      <c r="F73" s="21"/>
      <c r="G73" s="21"/>
      <c r="H73" s="100"/>
      <c r="I73" s="101"/>
      <c r="J73" s="100"/>
      <c r="K73" s="101"/>
      <c r="L73" s="101"/>
      <c r="M73" s="101"/>
      <c r="N73" s="101"/>
      <c r="P73" s="101"/>
      <c r="Q73" s="101"/>
      <c r="R73" s="104"/>
      <c r="S73" s="101"/>
      <c r="T73" s="117"/>
      <c r="U73" s="101"/>
      <c r="V73" s="62"/>
      <c r="W73" s="101"/>
      <c r="X73" s="117"/>
      <c r="Y73" s="117"/>
      <c r="Z73" s="62"/>
      <c r="AA73" s="117"/>
      <c r="AB73" s="117"/>
      <c r="AC73" s="117"/>
      <c r="AD73" s="62"/>
      <c r="AE73" s="117"/>
      <c r="AF73" s="117"/>
      <c r="AG73" s="62"/>
      <c r="AH73" s="117"/>
      <c r="AI73" s="117"/>
      <c r="AJ73" s="62"/>
      <c r="AK73" s="117"/>
      <c r="AL73" s="117"/>
      <c r="AM73" s="62"/>
      <c r="AN73" s="62"/>
      <c r="AO73" s="62"/>
      <c r="AP73" s="62"/>
      <c r="AQ73" s="62"/>
      <c r="AR73" s="62"/>
      <c r="AS73" s="62"/>
      <c r="AT73" s="62"/>
      <c r="AU73" s="196"/>
    </row>
    <row r="74" spans="1:47" x14ac:dyDescent="0.2">
      <c r="A74" s="21"/>
      <c r="B74" s="21"/>
      <c r="C74" s="21"/>
      <c r="D74" s="21"/>
      <c r="E74" s="21"/>
      <c r="F74" s="21"/>
      <c r="G74" s="21"/>
      <c r="H74" s="100"/>
      <c r="I74" s="101"/>
      <c r="J74" s="100"/>
      <c r="K74" s="101"/>
      <c r="L74" s="101"/>
      <c r="M74" s="101"/>
      <c r="N74" s="101"/>
      <c r="P74" s="101"/>
      <c r="Q74" s="101"/>
      <c r="R74" s="104"/>
      <c r="S74" s="101"/>
      <c r="T74" s="117"/>
      <c r="U74" s="101"/>
      <c r="V74" s="62"/>
      <c r="W74" s="101"/>
      <c r="X74" s="117"/>
      <c r="Y74" s="117"/>
      <c r="Z74" s="62"/>
      <c r="AA74" s="117"/>
      <c r="AB74" s="117"/>
      <c r="AC74" s="117"/>
      <c r="AD74" s="62"/>
      <c r="AE74" s="117"/>
      <c r="AF74" s="117"/>
      <c r="AG74" s="62"/>
      <c r="AH74" s="117"/>
      <c r="AI74" s="117"/>
      <c r="AJ74" s="62"/>
      <c r="AK74" s="117"/>
      <c r="AL74" s="117"/>
      <c r="AM74" s="62"/>
      <c r="AN74" s="62"/>
      <c r="AO74" s="62"/>
      <c r="AP74" s="62"/>
      <c r="AQ74" s="62"/>
      <c r="AR74" s="62"/>
      <c r="AS74" s="62"/>
      <c r="AT74" s="62"/>
      <c r="AU74" s="196"/>
    </row>
    <row r="75" spans="1:47" x14ac:dyDescent="0.2">
      <c r="A75" s="21"/>
      <c r="B75" s="21"/>
      <c r="C75" s="21"/>
      <c r="D75" s="21"/>
      <c r="E75" s="21"/>
      <c r="F75" s="21"/>
      <c r="G75" s="21"/>
      <c r="H75" s="100"/>
      <c r="I75" s="101"/>
      <c r="J75" s="100"/>
      <c r="K75" s="101"/>
      <c r="L75" s="101"/>
      <c r="M75" s="101"/>
      <c r="N75" s="101"/>
      <c r="P75" s="101"/>
      <c r="Q75" s="101"/>
      <c r="R75" s="104"/>
      <c r="S75" s="101"/>
      <c r="T75" s="117"/>
      <c r="U75" s="101"/>
      <c r="V75" s="62"/>
      <c r="W75" s="101"/>
      <c r="X75" s="117"/>
      <c r="Y75" s="117"/>
      <c r="Z75" s="62"/>
      <c r="AA75" s="117"/>
      <c r="AB75" s="117"/>
      <c r="AC75" s="117"/>
      <c r="AD75" s="62"/>
      <c r="AE75" s="117"/>
      <c r="AF75" s="117"/>
      <c r="AG75" s="62"/>
      <c r="AH75" s="117"/>
      <c r="AI75" s="117"/>
      <c r="AJ75" s="62"/>
      <c r="AK75" s="117"/>
      <c r="AL75" s="117"/>
      <c r="AM75" s="62"/>
      <c r="AN75" s="62"/>
      <c r="AO75" s="62"/>
      <c r="AP75" s="62"/>
      <c r="AQ75" s="62"/>
      <c r="AR75" s="62"/>
      <c r="AS75" s="62"/>
      <c r="AT75" s="62"/>
    </row>
    <row r="76" spans="1:47" x14ac:dyDescent="0.2">
      <c r="A76" s="21"/>
      <c r="B76" s="21"/>
      <c r="C76" s="21"/>
      <c r="D76" s="21"/>
      <c r="E76" s="21"/>
      <c r="F76" s="21"/>
      <c r="G76" s="21"/>
      <c r="H76" s="100"/>
      <c r="I76" s="101"/>
      <c r="J76" s="100"/>
      <c r="K76" s="101"/>
      <c r="L76" s="101"/>
      <c r="M76" s="101"/>
      <c r="N76" s="101"/>
      <c r="P76" s="101"/>
      <c r="Q76" s="101"/>
      <c r="R76" s="104"/>
      <c r="S76" s="101"/>
      <c r="T76" s="117"/>
      <c r="U76" s="101"/>
      <c r="V76" s="62"/>
      <c r="W76" s="101"/>
      <c r="X76" s="117"/>
      <c r="Y76" s="117"/>
      <c r="Z76" s="62"/>
      <c r="AA76" s="117"/>
      <c r="AB76" s="117"/>
      <c r="AC76" s="117"/>
      <c r="AD76" s="62"/>
      <c r="AE76" s="117"/>
      <c r="AF76" s="117"/>
      <c r="AG76" s="62"/>
      <c r="AH76" s="117"/>
      <c r="AI76" s="117"/>
      <c r="AJ76" s="62"/>
      <c r="AK76" s="117"/>
      <c r="AL76" s="117"/>
      <c r="AM76" s="62"/>
      <c r="AN76" s="62"/>
      <c r="AO76" s="62"/>
      <c r="AP76" s="62"/>
      <c r="AQ76" s="62"/>
      <c r="AR76" s="62"/>
      <c r="AS76" s="62"/>
      <c r="AT76" s="62"/>
    </row>
    <row r="77" spans="1:47" x14ac:dyDescent="0.2">
      <c r="A77" s="21"/>
      <c r="B77" s="21"/>
      <c r="C77" s="21"/>
      <c r="D77" s="21"/>
      <c r="E77" s="21"/>
      <c r="F77" s="21"/>
      <c r="G77" s="21"/>
      <c r="H77" s="100"/>
      <c r="I77" s="101"/>
      <c r="J77" s="100"/>
      <c r="K77" s="101"/>
      <c r="L77" s="101"/>
      <c r="M77" s="101"/>
      <c r="N77" s="101"/>
      <c r="P77" s="101"/>
      <c r="Q77" s="101"/>
      <c r="R77" s="104"/>
      <c r="S77" s="101"/>
      <c r="T77" s="117"/>
      <c r="U77" s="101"/>
      <c r="V77" s="62"/>
      <c r="W77" s="101"/>
      <c r="X77" s="117"/>
      <c r="Y77" s="117"/>
      <c r="Z77" s="62"/>
      <c r="AA77" s="117"/>
      <c r="AB77" s="117"/>
      <c r="AC77" s="117"/>
      <c r="AD77" s="62"/>
      <c r="AE77" s="117"/>
      <c r="AF77" s="117"/>
      <c r="AG77" s="62"/>
      <c r="AH77" s="117"/>
      <c r="AI77" s="117"/>
      <c r="AJ77" s="62"/>
      <c r="AK77" s="117"/>
      <c r="AL77" s="117"/>
      <c r="AM77" s="62"/>
      <c r="AN77" s="62"/>
      <c r="AO77" s="62"/>
      <c r="AP77" s="62"/>
      <c r="AQ77" s="62"/>
      <c r="AR77" s="62"/>
      <c r="AS77" s="62"/>
      <c r="AT77" s="62"/>
    </row>
    <row r="78" spans="1:47" x14ac:dyDescent="0.2">
      <c r="A78" s="21"/>
      <c r="B78" s="21"/>
      <c r="C78" s="21"/>
      <c r="D78" s="21"/>
      <c r="E78" s="21"/>
      <c r="F78" s="21"/>
      <c r="G78" s="21"/>
      <c r="H78" s="100"/>
      <c r="I78" s="101"/>
      <c r="J78" s="100"/>
      <c r="K78" s="101"/>
      <c r="L78" s="101"/>
      <c r="M78" s="101"/>
      <c r="N78" s="101"/>
      <c r="P78" s="101"/>
      <c r="Q78" s="101"/>
      <c r="R78" s="104"/>
      <c r="S78" s="101"/>
      <c r="T78" s="117"/>
      <c r="U78" s="101"/>
      <c r="V78" s="62"/>
      <c r="W78" s="101"/>
      <c r="X78" s="117"/>
      <c r="Y78" s="117"/>
      <c r="Z78" s="62"/>
      <c r="AA78" s="117"/>
      <c r="AB78" s="117"/>
      <c r="AC78" s="117"/>
      <c r="AD78" s="62"/>
      <c r="AE78" s="117"/>
      <c r="AF78" s="117"/>
      <c r="AG78" s="62"/>
      <c r="AH78" s="117"/>
      <c r="AI78" s="117"/>
      <c r="AJ78" s="62"/>
      <c r="AK78" s="117"/>
      <c r="AL78" s="117"/>
      <c r="AM78" s="62"/>
      <c r="AN78" s="62"/>
      <c r="AO78" s="62"/>
      <c r="AP78" s="62"/>
      <c r="AQ78" s="62"/>
      <c r="AR78" s="62"/>
      <c r="AS78" s="62"/>
      <c r="AT78" s="62"/>
    </row>
    <row r="79" spans="1:47" x14ac:dyDescent="0.2">
      <c r="A79" s="21"/>
      <c r="B79" s="21"/>
      <c r="C79" s="21"/>
      <c r="D79" s="21"/>
      <c r="E79" s="21"/>
      <c r="F79" s="21"/>
      <c r="G79" s="21"/>
      <c r="H79" s="100"/>
      <c r="I79" s="101"/>
      <c r="J79" s="100"/>
      <c r="K79" s="101"/>
      <c r="L79" s="101"/>
      <c r="M79" s="101"/>
      <c r="N79" s="101"/>
      <c r="P79" s="101"/>
      <c r="Q79" s="101"/>
      <c r="R79" s="104"/>
      <c r="S79" s="101"/>
      <c r="T79" s="117"/>
      <c r="U79" s="101"/>
      <c r="V79" s="62"/>
      <c r="W79" s="101"/>
      <c r="X79" s="117"/>
      <c r="Y79" s="117"/>
      <c r="Z79" s="62"/>
      <c r="AA79" s="117"/>
      <c r="AB79" s="117"/>
      <c r="AC79" s="117"/>
      <c r="AD79" s="62"/>
      <c r="AE79" s="117"/>
      <c r="AF79" s="117"/>
      <c r="AG79" s="62"/>
      <c r="AH79" s="117"/>
      <c r="AI79" s="117"/>
      <c r="AJ79" s="62"/>
      <c r="AK79" s="117"/>
      <c r="AL79" s="117"/>
      <c r="AM79" s="62"/>
      <c r="AN79" s="62"/>
      <c r="AO79" s="62"/>
      <c r="AP79" s="62"/>
      <c r="AQ79" s="62"/>
      <c r="AR79" s="62"/>
      <c r="AS79" s="62"/>
      <c r="AT79" s="62"/>
    </row>
    <row r="80" spans="1:47" x14ac:dyDescent="0.2">
      <c r="A80" s="21"/>
      <c r="B80" s="21"/>
      <c r="C80" s="21"/>
      <c r="D80" s="21"/>
      <c r="E80" s="21"/>
      <c r="F80" s="21"/>
      <c r="G80" s="21"/>
      <c r="H80" s="100"/>
      <c r="I80" s="101"/>
      <c r="J80" s="100"/>
      <c r="K80" s="101"/>
      <c r="L80" s="101"/>
      <c r="M80" s="101"/>
      <c r="N80" s="101"/>
      <c r="P80" s="101"/>
      <c r="Q80" s="101"/>
      <c r="R80" s="104"/>
      <c r="S80" s="101"/>
      <c r="T80" s="117"/>
      <c r="U80" s="101"/>
      <c r="V80" s="62"/>
      <c r="W80" s="101"/>
      <c r="X80" s="117"/>
      <c r="Y80" s="117"/>
      <c r="Z80" s="62"/>
      <c r="AA80" s="117"/>
      <c r="AB80" s="117"/>
      <c r="AC80" s="117"/>
      <c r="AD80" s="62"/>
      <c r="AE80" s="117"/>
      <c r="AF80" s="117"/>
      <c r="AG80" s="62"/>
      <c r="AH80" s="117"/>
      <c r="AI80" s="117"/>
      <c r="AJ80" s="62"/>
      <c r="AK80" s="117"/>
      <c r="AL80" s="117"/>
      <c r="AM80" s="62"/>
      <c r="AN80" s="62"/>
      <c r="AO80" s="62"/>
      <c r="AP80" s="62"/>
      <c r="AQ80" s="62"/>
      <c r="AR80" s="62"/>
      <c r="AS80" s="62"/>
      <c r="AT80" s="62"/>
    </row>
    <row r="81" spans="1:47" ht="12" x14ac:dyDescent="0.2">
      <c r="A81" s="21"/>
      <c r="B81" s="21"/>
      <c r="C81" s="21"/>
      <c r="D81" s="21"/>
      <c r="E81" s="21"/>
      <c r="F81" s="21"/>
      <c r="G81" s="21"/>
      <c r="H81" s="100"/>
      <c r="I81" s="101"/>
      <c r="J81" s="100"/>
      <c r="K81" s="101"/>
      <c r="L81" s="101"/>
      <c r="M81" s="101"/>
      <c r="N81" s="101"/>
      <c r="P81" s="101"/>
      <c r="Q81" s="101"/>
      <c r="R81" s="104"/>
      <c r="S81" s="101"/>
      <c r="T81" s="117"/>
      <c r="U81" s="101"/>
      <c r="V81" s="62"/>
      <c r="W81" s="101"/>
      <c r="X81" s="117"/>
      <c r="Y81" s="117"/>
      <c r="Z81" s="62"/>
      <c r="AA81" s="117"/>
      <c r="AB81" s="117"/>
      <c r="AC81" s="117"/>
      <c r="AD81" s="62"/>
      <c r="AE81" s="117"/>
      <c r="AF81" s="117"/>
      <c r="AG81" s="62"/>
      <c r="AH81" s="117"/>
      <c r="AI81" s="117"/>
      <c r="AJ81" s="62"/>
      <c r="AK81" s="117"/>
      <c r="AL81" s="117"/>
      <c r="AM81" s="62"/>
      <c r="AN81" s="62"/>
      <c r="AO81" s="62"/>
      <c r="AP81" s="62"/>
      <c r="AQ81" s="62"/>
      <c r="AR81" s="62"/>
      <c r="AS81" s="62"/>
      <c r="AT81" s="62"/>
      <c r="AU81" s="21"/>
    </row>
    <row r="82" spans="1:47" ht="12" x14ac:dyDescent="0.2">
      <c r="A82" s="21"/>
      <c r="B82" s="21"/>
      <c r="C82" s="21"/>
      <c r="D82" s="21"/>
      <c r="E82" s="21"/>
      <c r="F82" s="21"/>
      <c r="G82" s="21"/>
      <c r="H82" s="100"/>
      <c r="I82" s="101"/>
      <c r="J82" s="100"/>
      <c r="K82" s="101"/>
      <c r="L82" s="101"/>
      <c r="M82" s="101"/>
      <c r="N82" s="101"/>
      <c r="P82" s="101"/>
      <c r="Q82" s="101"/>
      <c r="R82" s="104"/>
      <c r="S82" s="101"/>
      <c r="T82" s="117"/>
      <c r="U82" s="101"/>
      <c r="V82" s="62"/>
      <c r="W82" s="101"/>
      <c r="X82" s="117"/>
      <c r="Y82" s="117"/>
      <c r="Z82" s="62"/>
      <c r="AA82" s="117"/>
      <c r="AB82" s="117"/>
      <c r="AC82" s="117"/>
      <c r="AD82" s="62"/>
      <c r="AE82" s="117"/>
      <c r="AF82" s="117"/>
      <c r="AG82" s="62"/>
      <c r="AH82" s="117"/>
      <c r="AI82" s="117"/>
      <c r="AJ82" s="62"/>
      <c r="AK82" s="117"/>
      <c r="AL82" s="117"/>
      <c r="AM82" s="62"/>
      <c r="AN82" s="62"/>
      <c r="AO82" s="62"/>
      <c r="AP82" s="62"/>
      <c r="AQ82" s="62"/>
      <c r="AR82" s="62"/>
      <c r="AS82" s="62"/>
      <c r="AT82" s="62"/>
      <c r="AU82" s="21"/>
    </row>
    <row r="83" spans="1:47" ht="12" x14ac:dyDescent="0.2">
      <c r="A83" s="21"/>
      <c r="B83" s="21"/>
      <c r="C83" s="21"/>
      <c r="D83" s="21"/>
      <c r="E83" s="21"/>
      <c r="F83" s="21"/>
      <c r="G83" s="21"/>
      <c r="H83" s="100"/>
      <c r="I83" s="101"/>
      <c r="J83" s="100"/>
      <c r="K83" s="101"/>
      <c r="L83" s="101"/>
      <c r="M83" s="101"/>
      <c r="N83" s="101"/>
      <c r="P83" s="101"/>
      <c r="Q83" s="101"/>
      <c r="R83" s="104"/>
      <c r="S83" s="101"/>
      <c r="T83" s="117"/>
      <c r="U83" s="101"/>
      <c r="V83" s="62"/>
      <c r="W83" s="101"/>
      <c r="X83" s="117"/>
      <c r="Y83" s="117"/>
      <c r="Z83" s="62"/>
      <c r="AA83" s="117"/>
      <c r="AB83" s="117"/>
      <c r="AC83" s="117"/>
      <c r="AD83" s="62"/>
      <c r="AE83" s="117"/>
      <c r="AF83" s="117"/>
      <c r="AG83" s="62"/>
      <c r="AH83" s="117"/>
      <c r="AI83" s="117"/>
      <c r="AJ83" s="62"/>
      <c r="AK83" s="117"/>
      <c r="AL83" s="117"/>
      <c r="AM83" s="62"/>
      <c r="AN83" s="62"/>
      <c r="AO83" s="62"/>
      <c r="AP83" s="62"/>
      <c r="AQ83" s="62"/>
      <c r="AR83" s="62"/>
      <c r="AS83" s="62"/>
      <c r="AT83" s="62"/>
      <c r="AU83" s="21"/>
    </row>
    <row r="84" spans="1:47" ht="12" x14ac:dyDescent="0.2">
      <c r="A84" s="21"/>
      <c r="B84" s="21"/>
      <c r="C84" s="21"/>
      <c r="D84" s="21"/>
      <c r="E84" s="21"/>
      <c r="F84" s="21"/>
      <c r="G84" s="21"/>
      <c r="H84" s="100"/>
      <c r="I84" s="101"/>
      <c r="J84" s="100"/>
      <c r="K84" s="101"/>
      <c r="L84" s="101"/>
      <c r="M84" s="101"/>
      <c r="N84" s="101"/>
      <c r="P84" s="101"/>
      <c r="Q84" s="101"/>
      <c r="R84" s="104"/>
      <c r="S84" s="101"/>
      <c r="T84" s="117"/>
      <c r="U84" s="101"/>
      <c r="V84" s="62"/>
      <c r="W84" s="101"/>
      <c r="X84" s="117"/>
      <c r="Y84" s="117"/>
      <c r="Z84" s="62"/>
      <c r="AA84" s="117"/>
      <c r="AB84" s="117"/>
      <c r="AC84" s="117"/>
      <c r="AD84" s="62"/>
      <c r="AE84" s="117"/>
      <c r="AF84" s="117"/>
      <c r="AG84" s="62"/>
      <c r="AH84" s="117"/>
      <c r="AI84" s="117"/>
      <c r="AJ84" s="62"/>
      <c r="AK84" s="117"/>
      <c r="AL84" s="117"/>
      <c r="AM84" s="62"/>
      <c r="AN84" s="62"/>
      <c r="AO84" s="62"/>
      <c r="AP84" s="62"/>
      <c r="AQ84" s="62"/>
      <c r="AR84" s="62"/>
      <c r="AS84" s="62"/>
      <c r="AT84" s="62"/>
      <c r="AU84" s="21"/>
    </row>
    <row r="85" spans="1:47" ht="12" x14ac:dyDescent="0.2">
      <c r="A85" s="21"/>
      <c r="B85" s="21"/>
      <c r="C85" s="21"/>
      <c r="D85" s="21"/>
      <c r="E85" s="21"/>
      <c r="F85" s="21"/>
      <c r="G85" s="21"/>
      <c r="H85" s="100"/>
      <c r="I85" s="101"/>
      <c r="J85" s="100"/>
      <c r="K85" s="101"/>
      <c r="L85" s="101"/>
      <c r="M85" s="101"/>
      <c r="N85" s="101"/>
      <c r="P85" s="101"/>
      <c r="Q85" s="101"/>
      <c r="R85" s="104"/>
      <c r="S85" s="101"/>
      <c r="T85" s="117"/>
      <c r="U85" s="101"/>
      <c r="V85" s="62"/>
      <c r="W85" s="101"/>
      <c r="X85" s="117"/>
      <c r="Y85" s="117"/>
      <c r="Z85" s="62"/>
      <c r="AA85" s="117"/>
      <c r="AB85" s="117"/>
      <c r="AC85" s="117"/>
      <c r="AD85" s="62"/>
      <c r="AE85" s="117"/>
      <c r="AF85" s="117"/>
      <c r="AG85" s="62"/>
      <c r="AH85" s="117"/>
      <c r="AI85" s="117"/>
      <c r="AJ85" s="62"/>
      <c r="AK85" s="117"/>
      <c r="AL85" s="117"/>
      <c r="AM85" s="62"/>
      <c r="AN85" s="62"/>
      <c r="AO85" s="62"/>
      <c r="AP85" s="62"/>
      <c r="AQ85" s="62"/>
      <c r="AR85" s="62"/>
      <c r="AS85" s="62"/>
      <c r="AT85" s="62"/>
      <c r="AU85" s="21"/>
    </row>
    <row r="86" spans="1:47" ht="12" x14ac:dyDescent="0.2">
      <c r="A86" s="21"/>
      <c r="B86" s="21"/>
      <c r="C86" s="21"/>
      <c r="D86" s="21"/>
      <c r="E86" s="21"/>
      <c r="F86" s="21"/>
      <c r="G86" s="21"/>
      <c r="H86" s="100"/>
      <c r="I86" s="101"/>
      <c r="J86" s="100"/>
      <c r="K86" s="101"/>
      <c r="L86" s="101"/>
      <c r="M86" s="101"/>
      <c r="N86" s="101"/>
      <c r="P86" s="101"/>
      <c r="Q86" s="101"/>
      <c r="R86" s="104"/>
      <c r="S86" s="101"/>
      <c r="T86" s="117"/>
      <c r="U86" s="101"/>
      <c r="V86" s="62"/>
      <c r="W86" s="101"/>
      <c r="X86" s="117"/>
      <c r="Y86" s="117"/>
      <c r="Z86" s="62"/>
      <c r="AA86" s="117"/>
      <c r="AB86" s="117"/>
      <c r="AC86" s="117"/>
      <c r="AD86" s="62"/>
      <c r="AE86" s="117"/>
      <c r="AF86" s="117"/>
      <c r="AG86" s="62"/>
      <c r="AH86" s="117"/>
      <c r="AI86" s="117"/>
      <c r="AJ86" s="62"/>
      <c r="AK86" s="117"/>
      <c r="AL86" s="117"/>
      <c r="AM86" s="62"/>
      <c r="AN86" s="62"/>
      <c r="AO86" s="62"/>
      <c r="AP86" s="62"/>
      <c r="AQ86" s="62"/>
      <c r="AR86" s="62"/>
      <c r="AS86" s="62"/>
      <c r="AT86" s="62"/>
      <c r="AU86" s="21"/>
    </row>
    <row r="87" spans="1:47" ht="12" x14ac:dyDescent="0.2">
      <c r="A87" s="21"/>
      <c r="B87" s="21"/>
      <c r="C87" s="21"/>
      <c r="D87" s="21"/>
      <c r="E87" s="21"/>
      <c r="F87" s="21"/>
      <c r="G87" s="21"/>
      <c r="H87" s="100"/>
      <c r="I87" s="101"/>
      <c r="J87" s="100"/>
      <c r="K87" s="101"/>
      <c r="L87" s="101"/>
      <c r="M87" s="101"/>
      <c r="N87" s="101"/>
      <c r="P87" s="101"/>
      <c r="Q87" s="101"/>
      <c r="R87" s="104"/>
      <c r="S87" s="101"/>
      <c r="T87" s="117"/>
      <c r="U87" s="101"/>
      <c r="V87" s="62"/>
      <c r="W87" s="101"/>
      <c r="X87" s="117"/>
      <c r="Y87" s="117"/>
      <c r="Z87" s="62"/>
      <c r="AA87" s="117"/>
      <c r="AB87" s="117"/>
      <c r="AC87" s="117"/>
      <c r="AD87" s="62"/>
      <c r="AE87" s="117"/>
      <c r="AF87" s="117"/>
      <c r="AG87" s="62"/>
      <c r="AH87" s="117"/>
      <c r="AI87" s="117"/>
      <c r="AJ87" s="62"/>
      <c r="AK87" s="117"/>
      <c r="AL87" s="117"/>
      <c r="AM87" s="62"/>
      <c r="AN87" s="62"/>
      <c r="AO87" s="62"/>
      <c r="AP87" s="62"/>
      <c r="AQ87" s="62"/>
      <c r="AR87" s="62"/>
      <c r="AS87" s="62"/>
      <c r="AT87" s="62"/>
      <c r="AU87" s="21"/>
    </row>
    <row r="88" spans="1:47" ht="12" x14ac:dyDescent="0.2">
      <c r="A88" s="21"/>
      <c r="B88" s="21"/>
      <c r="C88" s="21"/>
      <c r="D88" s="21"/>
      <c r="E88" s="21"/>
      <c r="F88" s="21"/>
      <c r="G88" s="21"/>
      <c r="H88" s="100"/>
      <c r="I88" s="101"/>
      <c r="J88" s="100"/>
      <c r="K88" s="101"/>
      <c r="L88" s="101"/>
      <c r="M88" s="101"/>
      <c r="N88" s="101"/>
      <c r="P88" s="101"/>
      <c r="Q88" s="101"/>
      <c r="R88" s="104"/>
      <c r="S88" s="101"/>
      <c r="T88" s="117"/>
      <c r="U88" s="101"/>
      <c r="V88" s="62"/>
      <c r="W88" s="101"/>
      <c r="X88" s="117"/>
      <c r="Y88" s="117"/>
      <c r="Z88" s="62"/>
      <c r="AA88" s="117"/>
      <c r="AB88" s="117"/>
      <c r="AC88" s="117"/>
      <c r="AD88" s="62"/>
      <c r="AE88" s="117"/>
      <c r="AF88" s="117"/>
      <c r="AG88" s="62"/>
      <c r="AH88" s="117"/>
      <c r="AI88" s="117"/>
      <c r="AJ88" s="62"/>
      <c r="AK88" s="117"/>
      <c r="AL88" s="117"/>
      <c r="AM88" s="62"/>
      <c r="AN88" s="62"/>
      <c r="AO88" s="62"/>
      <c r="AP88" s="62"/>
      <c r="AQ88" s="62"/>
      <c r="AR88" s="62"/>
      <c r="AS88" s="62"/>
      <c r="AT88" s="62"/>
      <c r="AU88" s="21"/>
    </row>
    <row r="89" spans="1:47" ht="12" x14ac:dyDescent="0.2">
      <c r="A89" s="21"/>
      <c r="B89" s="21"/>
      <c r="C89" s="21"/>
      <c r="D89" s="21"/>
      <c r="E89" s="21"/>
      <c r="F89" s="21"/>
      <c r="G89" s="21"/>
      <c r="H89" s="100"/>
      <c r="I89" s="101"/>
      <c r="J89" s="100"/>
      <c r="K89" s="101"/>
      <c r="L89" s="101"/>
      <c r="M89" s="101"/>
      <c r="N89" s="101"/>
      <c r="P89" s="101"/>
      <c r="Q89" s="101"/>
      <c r="R89" s="104"/>
      <c r="S89" s="101"/>
      <c r="T89" s="117"/>
      <c r="U89" s="101"/>
      <c r="V89" s="62"/>
      <c r="W89" s="101"/>
      <c r="X89" s="117"/>
      <c r="Y89" s="117"/>
      <c r="Z89" s="62"/>
      <c r="AA89" s="117"/>
      <c r="AB89" s="117"/>
      <c r="AC89" s="117"/>
      <c r="AD89" s="62"/>
      <c r="AE89" s="117"/>
      <c r="AF89" s="117"/>
      <c r="AG89" s="62"/>
      <c r="AH89" s="117"/>
      <c r="AI89" s="117"/>
      <c r="AJ89" s="62"/>
      <c r="AK89" s="117"/>
      <c r="AL89" s="117"/>
      <c r="AM89" s="62"/>
      <c r="AN89" s="62"/>
      <c r="AO89" s="62"/>
      <c r="AP89" s="62"/>
      <c r="AQ89" s="62"/>
      <c r="AR89" s="62"/>
      <c r="AS89" s="62"/>
      <c r="AT89" s="62"/>
      <c r="AU89" s="21"/>
    </row>
    <row r="90" spans="1:47" ht="12" x14ac:dyDescent="0.2">
      <c r="A90" s="21"/>
      <c r="B90" s="21"/>
      <c r="C90" s="21"/>
      <c r="D90" s="21"/>
      <c r="E90" s="21"/>
      <c r="F90" s="21"/>
      <c r="G90" s="21"/>
      <c r="H90" s="100"/>
      <c r="I90" s="101"/>
      <c r="J90" s="100"/>
      <c r="K90" s="101"/>
      <c r="L90" s="101"/>
      <c r="M90" s="101"/>
      <c r="N90" s="101"/>
      <c r="P90" s="101"/>
      <c r="Q90" s="101"/>
      <c r="R90" s="104"/>
      <c r="S90" s="101"/>
      <c r="T90" s="117"/>
      <c r="U90" s="101"/>
      <c r="V90" s="62"/>
      <c r="W90" s="101"/>
      <c r="X90" s="117"/>
      <c r="Y90" s="117"/>
      <c r="Z90" s="62"/>
      <c r="AA90" s="117"/>
      <c r="AB90" s="117"/>
      <c r="AC90" s="117"/>
      <c r="AD90" s="62"/>
      <c r="AE90" s="117"/>
      <c r="AF90" s="117"/>
      <c r="AG90" s="62"/>
      <c r="AH90" s="117"/>
      <c r="AI90" s="117"/>
      <c r="AJ90" s="62"/>
      <c r="AK90" s="117"/>
      <c r="AL90" s="117"/>
      <c r="AM90" s="62"/>
      <c r="AN90" s="62"/>
      <c r="AO90" s="62"/>
      <c r="AP90" s="62"/>
      <c r="AQ90" s="62"/>
      <c r="AR90" s="62"/>
      <c r="AS90" s="62"/>
      <c r="AT90" s="62"/>
      <c r="AU90" s="21"/>
    </row>
    <row r="91" spans="1:47" ht="12" x14ac:dyDescent="0.2">
      <c r="A91" s="21"/>
      <c r="B91" s="21"/>
      <c r="C91" s="21"/>
      <c r="D91" s="21"/>
      <c r="E91" s="21"/>
      <c r="F91" s="21"/>
      <c r="G91" s="21"/>
      <c r="H91" s="100"/>
      <c r="I91" s="101"/>
      <c r="J91" s="100"/>
      <c r="K91" s="101"/>
      <c r="L91" s="101"/>
      <c r="M91" s="101"/>
      <c r="N91" s="101"/>
      <c r="P91" s="101"/>
      <c r="Q91" s="101"/>
      <c r="R91" s="104"/>
      <c r="S91" s="101"/>
      <c r="T91" s="117"/>
      <c r="U91" s="101"/>
      <c r="V91" s="62"/>
      <c r="W91" s="101"/>
      <c r="X91" s="117"/>
      <c r="Y91" s="117"/>
      <c r="Z91" s="62"/>
      <c r="AA91" s="117"/>
      <c r="AB91" s="117"/>
      <c r="AC91" s="117"/>
      <c r="AD91" s="62"/>
      <c r="AE91" s="117"/>
      <c r="AF91" s="117"/>
      <c r="AG91" s="62"/>
      <c r="AH91" s="117"/>
      <c r="AI91" s="117"/>
      <c r="AJ91" s="62"/>
      <c r="AK91" s="117"/>
      <c r="AL91" s="117"/>
      <c r="AM91" s="62"/>
      <c r="AN91" s="62"/>
      <c r="AO91" s="62"/>
      <c r="AP91" s="62"/>
      <c r="AQ91" s="62"/>
      <c r="AR91" s="62"/>
      <c r="AS91" s="62"/>
      <c r="AT91" s="62"/>
      <c r="AU91" s="21"/>
    </row>
    <row r="92" spans="1:47" ht="12" x14ac:dyDescent="0.2">
      <c r="A92" s="21"/>
      <c r="B92" s="21"/>
      <c r="C92" s="21"/>
      <c r="D92" s="21"/>
      <c r="E92" s="21"/>
      <c r="F92" s="21"/>
      <c r="G92" s="21"/>
      <c r="H92" s="100"/>
      <c r="I92" s="101"/>
      <c r="J92" s="100"/>
      <c r="K92" s="101"/>
      <c r="L92" s="101"/>
      <c r="M92" s="101"/>
      <c r="N92" s="101"/>
      <c r="P92" s="101"/>
      <c r="Q92" s="101"/>
      <c r="R92" s="104"/>
      <c r="S92" s="101"/>
      <c r="T92" s="117"/>
      <c r="U92" s="101"/>
      <c r="V92" s="62"/>
      <c r="W92" s="101"/>
      <c r="X92" s="117"/>
      <c r="Y92" s="117"/>
      <c r="Z92" s="62"/>
      <c r="AA92" s="117"/>
      <c r="AB92" s="117"/>
      <c r="AC92" s="117"/>
      <c r="AD92" s="62"/>
      <c r="AE92" s="117"/>
      <c r="AF92" s="117"/>
      <c r="AG92" s="62"/>
      <c r="AH92" s="117"/>
      <c r="AI92" s="117"/>
      <c r="AJ92" s="62"/>
      <c r="AK92" s="117"/>
      <c r="AL92" s="117"/>
      <c r="AM92" s="62"/>
      <c r="AN92" s="62"/>
      <c r="AO92" s="62"/>
      <c r="AP92" s="62"/>
      <c r="AQ92" s="62"/>
      <c r="AR92" s="62"/>
      <c r="AS92" s="62"/>
      <c r="AT92" s="62"/>
      <c r="AU92" s="21"/>
    </row>
    <row r="93" spans="1:47" ht="12" x14ac:dyDescent="0.2">
      <c r="A93" s="21"/>
      <c r="B93" s="21"/>
      <c r="C93" s="21"/>
      <c r="D93" s="21"/>
      <c r="E93" s="21"/>
      <c r="F93" s="21"/>
      <c r="G93" s="21"/>
      <c r="H93" s="100"/>
      <c r="I93" s="101"/>
      <c r="J93" s="100"/>
      <c r="K93" s="101"/>
      <c r="L93" s="101"/>
      <c r="M93" s="101"/>
      <c r="N93" s="101"/>
      <c r="P93" s="101"/>
      <c r="Q93" s="101"/>
      <c r="R93" s="104"/>
      <c r="S93" s="101"/>
      <c r="T93" s="117"/>
      <c r="U93" s="101"/>
      <c r="V93" s="62"/>
      <c r="W93" s="101"/>
      <c r="X93" s="117"/>
      <c r="Y93" s="117"/>
      <c r="Z93" s="62"/>
      <c r="AA93" s="117"/>
      <c r="AB93" s="117"/>
      <c r="AC93" s="117"/>
      <c r="AD93" s="62"/>
      <c r="AE93" s="117"/>
      <c r="AF93" s="117"/>
      <c r="AG93" s="62"/>
      <c r="AH93" s="117"/>
      <c r="AI93" s="117"/>
      <c r="AJ93" s="62"/>
      <c r="AK93" s="117"/>
      <c r="AL93" s="117"/>
      <c r="AM93" s="62"/>
      <c r="AN93" s="62"/>
      <c r="AO93" s="62"/>
      <c r="AP93" s="62"/>
      <c r="AQ93" s="62"/>
      <c r="AR93" s="62"/>
      <c r="AS93" s="62"/>
      <c r="AT93" s="62"/>
      <c r="AU93" s="21"/>
    </row>
    <row r="94" spans="1:47" ht="12" x14ac:dyDescent="0.2">
      <c r="A94" s="21"/>
      <c r="B94" s="21"/>
      <c r="C94" s="21"/>
      <c r="D94" s="21"/>
      <c r="E94" s="21"/>
      <c r="F94" s="21"/>
      <c r="G94" s="21"/>
      <c r="H94" s="100"/>
      <c r="I94" s="101"/>
      <c r="J94" s="100"/>
      <c r="K94" s="101"/>
      <c r="L94" s="101"/>
      <c r="M94" s="101"/>
      <c r="N94" s="101"/>
      <c r="P94" s="101"/>
      <c r="Q94" s="101"/>
      <c r="R94" s="104"/>
      <c r="S94" s="101"/>
      <c r="T94" s="117"/>
      <c r="U94" s="101"/>
      <c r="V94" s="62"/>
      <c r="W94" s="101"/>
      <c r="X94" s="117"/>
      <c r="Y94" s="117"/>
      <c r="Z94" s="62"/>
      <c r="AA94" s="117"/>
      <c r="AB94" s="117"/>
      <c r="AC94" s="117"/>
      <c r="AD94" s="62"/>
      <c r="AE94" s="117"/>
      <c r="AF94" s="117"/>
      <c r="AG94" s="62"/>
      <c r="AH94" s="117"/>
      <c r="AI94" s="117"/>
      <c r="AJ94" s="62"/>
      <c r="AK94" s="117"/>
      <c r="AL94" s="117"/>
      <c r="AM94" s="62"/>
      <c r="AN94" s="62"/>
      <c r="AO94" s="62"/>
      <c r="AP94" s="62"/>
      <c r="AQ94" s="62"/>
      <c r="AR94" s="62"/>
      <c r="AS94" s="62"/>
      <c r="AT94" s="62"/>
      <c r="AU94" s="21"/>
    </row>
    <row r="95" spans="1:47" ht="12" x14ac:dyDescent="0.2">
      <c r="A95" s="21"/>
      <c r="B95" s="21"/>
      <c r="C95" s="21"/>
      <c r="D95" s="21"/>
      <c r="E95" s="21"/>
      <c r="F95" s="21"/>
      <c r="G95" s="21"/>
      <c r="H95" s="100"/>
      <c r="I95" s="101"/>
      <c r="J95" s="100"/>
      <c r="K95" s="101"/>
      <c r="L95" s="101"/>
      <c r="M95" s="101"/>
      <c r="N95" s="101"/>
      <c r="P95" s="101"/>
      <c r="Q95" s="101"/>
      <c r="R95" s="104"/>
      <c r="S95" s="101"/>
      <c r="T95" s="117"/>
      <c r="U95" s="101"/>
      <c r="V95" s="62"/>
      <c r="W95" s="101"/>
      <c r="X95" s="117"/>
      <c r="Y95" s="117"/>
      <c r="Z95" s="62"/>
      <c r="AA95" s="117"/>
      <c r="AB95" s="117"/>
      <c r="AC95" s="117"/>
      <c r="AD95" s="62"/>
      <c r="AE95" s="117"/>
      <c r="AF95" s="117"/>
      <c r="AG95" s="62"/>
      <c r="AH95" s="117"/>
      <c r="AI95" s="117"/>
      <c r="AJ95" s="62"/>
      <c r="AK95" s="117"/>
      <c r="AL95" s="117"/>
      <c r="AM95" s="62"/>
      <c r="AN95" s="62"/>
      <c r="AO95" s="62"/>
      <c r="AP95" s="62"/>
      <c r="AQ95" s="62"/>
      <c r="AR95" s="62"/>
      <c r="AS95" s="62"/>
      <c r="AT95" s="62"/>
      <c r="AU95" s="21"/>
    </row>
    <row r="96" spans="1:47" ht="12" x14ac:dyDescent="0.2">
      <c r="A96" s="21"/>
      <c r="B96" s="21"/>
      <c r="C96" s="21"/>
      <c r="D96" s="21"/>
      <c r="E96" s="21"/>
      <c r="F96" s="21"/>
      <c r="G96" s="21"/>
      <c r="H96" s="100"/>
      <c r="I96" s="101"/>
      <c r="J96" s="100"/>
      <c r="K96" s="101"/>
      <c r="L96" s="101"/>
      <c r="M96" s="101"/>
      <c r="N96" s="101"/>
      <c r="P96" s="101"/>
      <c r="Q96" s="101"/>
      <c r="R96" s="104"/>
      <c r="S96" s="101"/>
      <c r="T96" s="117"/>
      <c r="U96" s="101"/>
      <c r="V96" s="62"/>
      <c r="W96" s="101"/>
      <c r="X96" s="117"/>
      <c r="Y96" s="117"/>
      <c r="Z96" s="62"/>
      <c r="AA96" s="117"/>
      <c r="AB96" s="117"/>
      <c r="AC96" s="117"/>
      <c r="AD96" s="62"/>
      <c r="AE96" s="117"/>
      <c r="AF96" s="117"/>
      <c r="AG96" s="62"/>
      <c r="AH96" s="117"/>
      <c r="AI96" s="117"/>
      <c r="AJ96" s="62"/>
      <c r="AK96" s="117"/>
      <c r="AL96" s="117"/>
      <c r="AM96" s="62"/>
      <c r="AN96" s="62"/>
      <c r="AO96" s="62"/>
      <c r="AP96" s="62"/>
      <c r="AQ96" s="62"/>
      <c r="AR96" s="62"/>
      <c r="AS96" s="62"/>
      <c r="AT96" s="62"/>
      <c r="AU96" s="21"/>
    </row>
    <row r="97" spans="1:47" ht="12" x14ac:dyDescent="0.2">
      <c r="A97" s="21"/>
      <c r="B97" s="21"/>
      <c r="C97" s="21"/>
      <c r="D97" s="21"/>
      <c r="E97" s="21"/>
      <c r="F97" s="21"/>
      <c r="G97" s="21"/>
      <c r="H97" s="100"/>
      <c r="I97" s="101"/>
      <c r="J97" s="100"/>
      <c r="K97" s="101"/>
      <c r="L97" s="101"/>
      <c r="M97" s="101"/>
      <c r="N97" s="101"/>
      <c r="P97" s="101"/>
      <c r="Q97" s="101"/>
      <c r="R97" s="104"/>
      <c r="S97" s="101"/>
      <c r="T97" s="117"/>
      <c r="U97" s="101"/>
      <c r="V97" s="62"/>
      <c r="W97" s="101"/>
      <c r="X97" s="117"/>
      <c r="Y97" s="117"/>
      <c r="Z97" s="62"/>
      <c r="AA97" s="117"/>
      <c r="AB97" s="117"/>
      <c r="AC97" s="117"/>
      <c r="AD97" s="62"/>
      <c r="AE97" s="117"/>
      <c r="AF97" s="117"/>
      <c r="AG97" s="62"/>
      <c r="AH97" s="117"/>
      <c r="AI97" s="117"/>
      <c r="AJ97" s="62"/>
      <c r="AK97" s="117"/>
      <c r="AL97" s="117"/>
      <c r="AM97" s="62"/>
      <c r="AN97" s="62"/>
      <c r="AO97" s="62"/>
      <c r="AP97" s="62"/>
      <c r="AQ97" s="62"/>
      <c r="AR97" s="62"/>
      <c r="AS97" s="62"/>
      <c r="AT97" s="62"/>
      <c r="AU97" s="21"/>
    </row>
    <row r="98" spans="1:47" ht="12" x14ac:dyDescent="0.2">
      <c r="A98" s="21"/>
      <c r="B98" s="21"/>
      <c r="C98" s="21"/>
      <c r="D98" s="21"/>
      <c r="E98" s="21"/>
      <c r="F98" s="21"/>
      <c r="G98" s="21"/>
      <c r="H98" s="100"/>
      <c r="I98" s="101"/>
      <c r="J98" s="100"/>
      <c r="K98" s="101"/>
      <c r="L98" s="101"/>
      <c r="M98" s="101"/>
      <c r="N98" s="101"/>
      <c r="P98" s="101"/>
      <c r="Q98" s="101"/>
      <c r="R98" s="104"/>
      <c r="S98" s="101"/>
      <c r="T98" s="117"/>
      <c r="U98" s="101"/>
      <c r="V98" s="62"/>
      <c r="W98" s="101"/>
      <c r="X98" s="117"/>
      <c r="Y98" s="117"/>
      <c r="Z98" s="62"/>
      <c r="AA98" s="117"/>
      <c r="AB98" s="117"/>
      <c r="AC98" s="117"/>
      <c r="AD98" s="62"/>
      <c r="AE98" s="117"/>
      <c r="AF98" s="117"/>
      <c r="AG98" s="62"/>
      <c r="AH98" s="117"/>
      <c r="AI98" s="117"/>
      <c r="AJ98" s="62"/>
      <c r="AK98" s="117"/>
      <c r="AL98" s="117"/>
      <c r="AM98" s="62"/>
      <c r="AN98" s="62"/>
      <c r="AO98" s="62"/>
      <c r="AP98" s="62"/>
      <c r="AQ98" s="62"/>
      <c r="AR98" s="62"/>
      <c r="AS98" s="62"/>
      <c r="AT98" s="62"/>
      <c r="AU98" s="21"/>
    </row>
    <row r="99" spans="1:47" ht="12" x14ac:dyDescent="0.2">
      <c r="A99" s="21"/>
      <c r="B99" s="21"/>
      <c r="C99" s="21"/>
      <c r="D99" s="21"/>
      <c r="E99" s="21"/>
      <c r="F99" s="21"/>
      <c r="G99" s="21"/>
      <c r="H99" s="100"/>
      <c r="I99" s="101"/>
      <c r="J99" s="100"/>
      <c r="K99" s="101"/>
      <c r="L99" s="101"/>
      <c r="M99" s="101"/>
      <c r="N99" s="101"/>
      <c r="P99" s="101"/>
      <c r="Q99" s="101"/>
      <c r="R99" s="104"/>
      <c r="S99" s="101"/>
      <c r="T99" s="117"/>
      <c r="U99" s="101"/>
      <c r="V99" s="62"/>
      <c r="W99" s="101"/>
      <c r="X99" s="117"/>
      <c r="Y99" s="117"/>
      <c r="Z99" s="62"/>
      <c r="AA99" s="117"/>
      <c r="AB99" s="117"/>
      <c r="AC99" s="117"/>
      <c r="AD99" s="62"/>
      <c r="AE99" s="117"/>
      <c r="AF99" s="117"/>
      <c r="AG99" s="62"/>
      <c r="AH99" s="117"/>
      <c r="AI99" s="117"/>
      <c r="AJ99" s="62"/>
      <c r="AK99" s="117"/>
      <c r="AL99" s="117"/>
      <c r="AM99" s="62"/>
      <c r="AN99" s="62"/>
      <c r="AO99" s="62"/>
      <c r="AP99" s="62"/>
      <c r="AQ99" s="62"/>
      <c r="AR99" s="62"/>
      <c r="AS99" s="62"/>
      <c r="AT99" s="62"/>
      <c r="AU99" s="21"/>
    </row>
    <row r="100" spans="1:47" ht="12" x14ac:dyDescent="0.2">
      <c r="A100" s="21"/>
      <c r="B100" s="21"/>
      <c r="C100" s="21"/>
      <c r="D100" s="21"/>
      <c r="E100" s="21"/>
      <c r="F100" s="21"/>
      <c r="G100" s="21"/>
      <c r="H100" s="100"/>
      <c r="I100" s="101"/>
      <c r="J100" s="100"/>
      <c r="K100" s="101"/>
      <c r="L100" s="101"/>
      <c r="M100" s="101"/>
      <c r="N100" s="101"/>
      <c r="P100" s="101"/>
      <c r="Q100" s="101"/>
      <c r="R100" s="104"/>
      <c r="S100" s="101"/>
      <c r="T100" s="117"/>
      <c r="U100" s="101"/>
      <c r="V100" s="62"/>
      <c r="W100" s="101"/>
      <c r="X100" s="117"/>
      <c r="Y100" s="117"/>
      <c r="Z100" s="62"/>
      <c r="AA100" s="117"/>
      <c r="AB100" s="117"/>
      <c r="AC100" s="117"/>
      <c r="AD100" s="62"/>
      <c r="AE100" s="117"/>
      <c r="AF100" s="117"/>
      <c r="AG100" s="62"/>
      <c r="AH100" s="117"/>
      <c r="AI100" s="117"/>
      <c r="AJ100" s="62"/>
      <c r="AK100" s="117"/>
      <c r="AL100" s="117"/>
      <c r="AM100" s="62"/>
      <c r="AN100" s="62"/>
      <c r="AO100" s="62"/>
      <c r="AP100" s="62"/>
      <c r="AQ100" s="62"/>
      <c r="AR100" s="62"/>
      <c r="AS100" s="62"/>
      <c r="AT100" s="62"/>
      <c r="AU100" s="21"/>
    </row>
    <row r="101" spans="1:47" ht="12" x14ac:dyDescent="0.2">
      <c r="A101" s="21"/>
      <c r="B101" s="21"/>
      <c r="C101" s="21"/>
      <c r="D101" s="21"/>
      <c r="E101" s="21"/>
      <c r="F101" s="21"/>
      <c r="G101" s="21"/>
      <c r="H101" s="100"/>
      <c r="I101" s="101"/>
      <c r="J101" s="100"/>
      <c r="K101" s="101"/>
      <c r="L101" s="101"/>
      <c r="M101" s="101"/>
      <c r="N101" s="101"/>
      <c r="P101" s="101"/>
      <c r="Q101" s="101"/>
      <c r="R101" s="104"/>
      <c r="S101" s="101"/>
      <c r="T101" s="117"/>
      <c r="U101" s="101"/>
      <c r="V101" s="62"/>
      <c r="W101" s="101"/>
      <c r="X101" s="117"/>
      <c r="Y101" s="117"/>
      <c r="Z101" s="62"/>
      <c r="AA101" s="117"/>
      <c r="AB101" s="117"/>
      <c r="AC101" s="117"/>
      <c r="AD101" s="62"/>
      <c r="AE101" s="117"/>
      <c r="AF101" s="117"/>
      <c r="AG101" s="62"/>
      <c r="AH101" s="117"/>
      <c r="AI101" s="117"/>
      <c r="AJ101" s="62"/>
      <c r="AK101" s="117"/>
      <c r="AL101" s="117"/>
      <c r="AM101" s="62"/>
      <c r="AN101" s="62"/>
      <c r="AO101" s="62"/>
      <c r="AP101" s="62"/>
      <c r="AQ101" s="62"/>
      <c r="AR101" s="62"/>
      <c r="AS101" s="62"/>
      <c r="AT101" s="62"/>
      <c r="AU101" s="21"/>
    </row>
    <row r="102" spans="1:47" ht="12" x14ac:dyDescent="0.2">
      <c r="A102" s="21"/>
      <c r="B102" s="21"/>
      <c r="C102" s="21"/>
      <c r="D102" s="21"/>
      <c r="E102" s="21"/>
      <c r="F102" s="21"/>
      <c r="G102" s="21"/>
      <c r="H102" s="100"/>
      <c r="I102" s="101"/>
      <c r="J102" s="100"/>
      <c r="K102" s="101"/>
      <c r="L102" s="101"/>
      <c r="M102" s="101"/>
      <c r="N102" s="101"/>
      <c r="P102" s="101"/>
      <c r="Q102" s="101"/>
      <c r="R102" s="104"/>
      <c r="S102" s="101"/>
      <c r="T102" s="117"/>
      <c r="U102" s="101"/>
      <c r="V102" s="62"/>
      <c r="W102" s="101"/>
      <c r="X102" s="117"/>
      <c r="Y102" s="117"/>
      <c r="Z102" s="62"/>
      <c r="AA102" s="117"/>
      <c r="AB102" s="117"/>
      <c r="AC102" s="117"/>
      <c r="AD102" s="62"/>
      <c r="AE102" s="117"/>
      <c r="AF102" s="117"/>
      <c r="AG102" s="62"/>
      <c r="AH102" s="117"/>
      <c r="AI102" s="117"/>
      <c r="AJ102" s="62"/>
      <c r="AK102" s="117"/>
      <c r="AL102" s="117"/>
      <c r="AM102" s="62"/>
      <c r="AN102" s="62"/>
      <c r="AO102" s="62"/>
      <c r="AP102" s="62"/>
      <c r="AQ102" s="62"/>
      <c r="AR102" s="62"/>
      <c r="AS102" s="62"/>
      <c r="AT102" s="62"/>
      <c r="AU102" s="21"/>
    </row>
    <row r="103" spans="1:47" ht="12" x14ac:dyDescent="0.2">
      <c r="A103" s="21"/>
      <c r="B103" s="21"/>
      <c r="C103" s="21"/>
      <c r="D103" s="21"/>
      <c r="E103" s="21"/>
      <c r="F103" s="21"/>
      <c r="G103" s="21"/>
      <c r="H103" s="100"/>
      <c r="I103" s="101"/>
      <c r="J103" s="100"/>
      <c r="K103" s="101"/>
      <c r="L103" s="101"/>
      <c r="M103" s="101"/>
      <c r="N103" s="101"/>
      <c r="P103" s="101"/>
      <c r="Q103" s="101"/>
      <c r="R103" s="104"/>
      <c r="S103" s="101"/>
      <c r="T103" s="117"/>
      <c r="U103" s="101"/>
      <c r="V103" s="62"/>
      <c r="W103" s="101"/>
      <c r="X103" s="117"/>
      <c r="Y103" s="117"/>
      <c r="Z103" s="62"/>
      <c r="AA103" s="117"/>
      <c r="AB103" s="117"/>
      <c r="AC103" s="117"/>
      <c r="AD103" s="62"/>
      <c r="AE103" s="117"/>
      <c r="AF103" s="117"/>
      <c r="AG103" s="62"/>
      <c r="AH103" s="117"/>
      <c r="AI103" s="117"/>
      <c r="AJ103" s="62"/>
      <c r="AK103" s="117"/>
      <c r="AL103" s="117"/>
      <c r="AM103" s="62"/>
      <c r="AN103" s="62"/>
      <c r="AO103" s="62"/>
      <c r="AP103" s="62"/>
      <c r="AQ103" s="62"/>
      <c r="AR103" s="62"/>
      <c r="AS103" s="62"/>
      <c r="AT103" s="62"/>
      <c r="AU103" s="21"/>
    </row>
    <row r="104" spans="1:47" ht="12" x14ac:dyDescent="0.2">
      <c r="A104" s="21"/>
      <c r="B104" s="21"/>
      <c r="C104" s="21"/>
      <c r="D104" s="21"/>
      <c r="E104" s="21"/>
      <c r="F104" s="21"/>
      <c r="G104" s="21"/>
      <c r="H104" s="100"/>
      <c r="I104" s="101"/>
      <c r="J104" s="100"/>
      <c r="K104" s="101"/>
      <c r="L104" s="101"/>
      <c r="M104" s="101"/>
      <c r="N104" s="101"/>
      <c r="P104" s="101"/>
      <c r="Q104" s="101"/>
      <c r="R104" s="104"/>
      <c r="S104" s="101"/>
      <c r="T104" s="117"/>
      <c r="U104" s="101"/>
      <c r="V104" s="62"/>
      <c r="W104" s="101"/>
      <c r="X104" s="117"/>
      <c r="Y104" s="117"/>
      <c r="Z104" s="62"/>
      <c r="AA104" s="117"/>
      <c r="AB104" s="117"/>
      <c r="AC104" s="117"/>
      <c r="AD104" s="62"/>
      <c r="AE104" s="117"/>
      <c r="AF104" s="117"/>
      <c r="AG104" s="62"/>
      <c r="AH104" s="117"/>
      <c r="AI104" s="117"/>
      <c r="AJ104" s="62"/>
      <c r="AK104" s="117"/>
      <c r="AL104" s="117"/>
      <c r="AM104" s="62"/>
      <c r="AN104" s="62"/>
      <c r="AO104" s="62"/>
      <c r="AP104" s="62"/>
      <c r="AQ104" s="62"/>
      <c r="AR104" s="62"/>
      <c r="AS104" s="62"/>
      <c r="AT104" s="62"/>
      <c r="AU104" s="21"/>
    </row>
    <row r="105" spans="1:47" ht="12" x14ac:dyDescent="0.2">
      <c r="A105" s="21"/>
      <c r="B105" s="21"/>
      <c r="C105" s="21"/>
      <c r="D105" s="21"/>
      <c r="E105" s="21"/>
      <c r="F105" s="21"/>
      <c r="G105" s="21"/>
      <c r="H105" s="100"/>
      <c r="I105" s="101"/>
      <c r="J105" s="100"/>
      <c r="K105" s="101"/>
      <c r="L105" s="101"/>
      <c r="M105" s="101"/>
      <c r="N105" s="101"/>
      <c r="P105" s="101"/>
      <c r="Q105" s="101"/>
      <c r="R105" s="104"/>
      <c r="S105" s="101"/>
      <c r="T105" s="117"/>
      <c r="U105" s="101"/>
      <c r="V105" s="62"/>
      <c r="W105" s="101"/>
      <c r="X105" s="117"/>
      <c r="Y105" s="117"/>
      <c r="Z105" s="62"/>
      <c r="AA105" s="117"/>
      <c r="AB105" s="117"/>
      <c r="AC105" s="117"/>
      <c r="AD105" s="62"/>
      <c r="AE105" s="117"/>
      <c r="AF105" s="117"/>
      <c r="AG105" s="62"/>
      <c r="AH105" s="117"/>
      <c r="AI105" s="117"/>
      <c r="AJ105" s="62"/>
      <c r="AK105" s="117"/>
      <c r="AL105" s="117"/>
      <c r="AM105" s="62"/>
      <c r="AN105" s="62"/>
      <c r="AO105" s="62"/>
      <c r="AP105" s="62"/>
      <c r="AQ105" s="62"/>
      <c r="AR105" s="62"/>
      <c r="AS105" s="62"/>
      <c r="AT105" s="62"/>
      <c r="AU105" s="21"/>
    </row>
    <row r="106" spans="1:47" ht="12" x14ac:dyDescent="0.2">
      <c r="A106" s="21"/>
      <c r="B106" s="21"/>
      <c r="C106" s="21"/>
      <c r="D106" s="21"/>
      <c r="E106" s="21"/>
      <c r="F106" s="21"/>
      <c r="G106" s="21"/>
      <c r="H106" s="100"/>
      <c r="I106" s="101"/>
      <c r="J106" s="100"/>
      <c r="K106" s="101"/>
      <c r="L106" s="101"/>
      <c r="M106" s="101"/>
      <c r="N106" s="101"/>
      <c r="P106" s="101"/>
      <c r="Q106" s="101"/>
      <c r="R106" s="104"/>
      <c r="S106" s="101"/>
      <c r="T106" s="117"/>
      <c r="U106" s="101"/>
      <c r="V106" s="62"/>
      <c r="W106" s="101"/>
      <c r="X106" s="117"/>
      <c r="Y106" s="117"/>
      <c r="Z106" s="62"/>
      <c r="AA106" s="117"/>
      <c r="AB106" s="117"/>
      <c r="AC106" s="117"/>
      <c r="AD106" s="62"/>
      <c r="AE106" s="117"/>
      <c r="AF106" s="117"/>
      <c r="AG106" s="62"/>
      <c r="AH106" s="117"/>
      <c r="AI106" s="117"/>
      <c r="AJ106" s="62"/>
      <c r="AK106" s="117"/>
      <c r="AL106" s="117"/>
      <c r="AM106" s="62"/>
      <c r="AN106" s="62"/>
      <c r="AO106" s="62"/>
      <c r="AP106" s="62"/>
      <c r="AQ106" s="62"/>
      <c r="AR106" s="62"/>
      <c r="AS106" s="62"/>
      <c r="AT106" s="62"/>
      <c r="AU106" s="21"/>
    </row>
    <row r="107" spans="1:47" ht="12" x14ac:dyDescent="0.2">
      <c r="A107" s="21"/>
      <c r="B107" s="21"/>
      <c r="C107" s="21"/>
      <c r="D107" s="21"/>
      <c r="E107" s="21"/>
      <c r="F107" s="21"/>
      <c r="G107" s="21"/>
      <c r="H107" s="100"/>
      <c r="I107" s="101"/>
      <c r="J107" s="100"/>
      <c r="K107" s="101"/>
      <c r="L107" s="101"/>
      <c r="M107" s="101"/>
      <c r="N107" s="101"/>
      <c r="P107" s="101"/>
      <c r="Q107" s="101"/>
      <c r="R107" s="104"/>
      <c r="S107" s="101"/>
      <c r="T107" s="117"/>
      <c r="U107" s="101"/>
      <c r="V107" s="62"/>
      <c r="W107" s="101"/>
      <c r="X107" s="117"/>
      <c r="Y107" s="117"/>
      <c r="Z107" s="62"/>
      <c r="AA107" s="117"/>
      <c r="AB107" s="117"/>
      <c r="AC107" s="117"/>
      <c r="AD107" s="62"/>
      <c r="AE107" s="117"/>
      <c r="AF107" s="117"/>
      <c r="AG107" s="62"/>
      <c r="AH107" s="117"/>
      <c r="AI107" s="117"/>
      <c r="AJ107" s="62"/>
      <c r="AK107" s="117"/>
      <c r="AL107" s="117"/>
      <c r="AM107" s="62"/>
      <c r="AN107" s="62"/>
      <c r="AO107" s="62"/>
      <c r="AP107" s="62"/>
      <c r="AQ107" s="62"/>
      <c r="AR107" s="62"/>
      <c r="AS107" s="62"/>
      <c r="AT107" s="62"/>
      <c r="AU107" s="21"/>
    </row>
    <row r="108" spans="1:47" ht="12" x14ac:dyDescent="0.2">
      <c r="A108" s="21"/>
      <c r="B108" s="21"/>
      <c r="C108" s="21"/>
      <c r="D108" s="21"/>
      <c r="E108" s="21"/>
      <c r="F108" s="21"/>
      <c r="G108" s="21"/>
      <c r="H108" s="100"/>
      <c r="I108" s="101"/>
      <c r="J108" s="100"/>
      <c r="K108" s="101"/>
      <c r="L108" s="101"/>
      <c r="M108" s="101"/>
      <c r="N108" s="101"/>
      <c r="P108" s="101"/>
      <c r="Q108" s="101"/>
      <c r="R108" s="104"/>
      <c r="S108" s="101"/>
      <c r="T108" s="117"/>
      <c r="U108" s="101"/>
      <c r="V108" s="62"/>
      <c r="W108" s="101"/>
      <c r="X108" s="117"/>
      <c r="Y108" s="117"/>
      <c r="Z108" s="62"/>
      <c r="AA108" s="117"/>
      <c r="AB108" s="117"/>
      <c r="AC108" s="117"/>
      <c r="AD108" s="62"/>
      <c r="AE108" s="117"/>
      <c r="AF108" s="117"/>
      <c r="AG108" s="62"/>
      <c r="AH108" s="117"/>
      <c r="AI108" s="117"/>
      <c r="AJ108" s="62"/>
      <c r="AK108" s="117"/>
      <c r="AL108" s="117"/>
      <c r="AM108" s="62"/>
      <c r="AN108" s="62"/>
      <c r="AO108" s="62"/>
      <c r="AP108" s="62"/>
      <c r="AQ108" s="62"/>
      <c r="AR108" s="62"/>
      <c r="AS108" s="62"/>
      <c r="AT108" s="62"/>
      <c r="AU108" s="21"/>
    </row>
    <row r="109" spans="1:47" ht="12" x14ac:dyDescent="0.2">
      <c r="A109" s="21"/>
      <c r="B109" s="21"/>
      <c r="C109" s="21"/>
      <c r="D109" s="21"/>
      <c r="E109" s="21"/>
      <c r="F109" s="21"/>
      <c r="G109" s="21"/>
      <c r="H109" s="100"/>
      <c r="I109" s="101"/>
      <c r="J109" s="100"/>
      <c r="K109" s="101"/>
      <c r="L109" s="101"/>
      <c r="M109" s="101"/>
      <c r="N109" s="101"/>
      <c r="P109" s="101"/>
      <c r="Q109" s="101"/>
      <c r="R109" s="104"/>
      <c r="S109" s="101"/>
      <c r="T109" s="117"/>
      <c r="U109" s="101"/>
      <c r="V109" s="62"/>
      <c r="W109" s="101"/>
      <c r="X109" s="117"/>
      <c r="Y109" s="117"/>
      <c r="Z109" s="62"/>
      <c r="AA109" s="117"/>
      <c r="AB109" s="117"/>
      <c r="AC109" s="117"/>
      <c r="AD109" s="62"/>
      <c r="AE109" s="117"/>
      <c r="AF109" s="117"/>
      <c r="AG109" s="62"/>
      <c r="AH109" s="117"/>
      <c r="AI109" s="117"/>
      <c r="AJ109" s="62"/>
      <c r="AK109" s="117"/>
      <c r="AL109" s="117"/>
      <c r="AM109" s="62"/>
      <c r="AN109" s="62"/>
      <c r="AO109" s="62"/>
      <c r="AP109" s="62"/>
      <c r="AQ109" s="62"/>
      <c r="AR109" s="62"/>
      <c r="AS109" s="62"/>
      <c r="AT109" s="62"/>
      <c r="AU109" s="21"/>
    </row>
    <row r="110" spans="1:47" ht="12" x14ac:dyDescent="0.2">
      <c r="A110" s="21"/>
      <c r="B110" s="21"/>
      <c r="C110" s="21"/>
      <c r="D110" s="21"/>
      <c r="E110" s="21"/>
      <c r="F110" s="21"/>
      <c r="G110" s="21"/>
      <c r="H110" s="100"/>
      <c r="I110" s="101"/>
      <c r="J110" s="100"/>
      <c r="K110" s="101"/>
      <c r="L110" s="101"/>
      <c r="M110" s="101"/>
      <c r="N110" s="101"/>
      <c r="P110" s="101"/>
      <c r="Q110" s="101"/>
      <c r="R110" s="104"/>
      <c r="S110" s="101"/>
      <c r="T110" s="117"/>
      <c r="U110" s="101"/>
      <c r="V110" s="62"/>
      <c r="W110" s="101"/>
      <c r="X110" s="117"/>
      <c r="Y110" s="117"/>
      <c r="Z110" s="62"/>
      <c r="AA110" s="117"/>
      <c r="AB110" s="117"/>
      <c r="AC110" s="117"/>
      <c r="AD110" s="62"/>
      <c r="AE110" s="117"/>
      <c r="AF110" s="117"/>
      <c r="AG110" s="62"/>
      <c r="AH110" s="117"/>
      <c r="AI110" s="117"/>
      <c r="AJ110" s="62"/>
      <c r="AK110" s="117"/>
      <c r="AL110" s="117"/>
      <c r="AM110" s="62"/>
      <c r="AN110" s="62"/>
      <c r="AO110" s="62"/>
      <c r="AP110" s="62"/>
      <c r="AQ110" s="62"/>
      <c r="AR110" s="62"/>
      <c r="AS110" s="62"/>
      <c r="AT110" s="62"/>
      <c r="AU110" s="21"/>
    </row>
    <row r="111" spans="1:47" ht="12" x14ac:dyDescent="0.2">
      <c r="A111" s="21"/>
      <c r="B111" s="21"/>
      <c r="C111" s="21"/>
      <c r="D111" s="21"/>
      <c r="E111" s="21"/>
      <c r="F111" s="21"/>
      <c r="G111" s="21"/>
      <c r="H111" s="100"/>
      <c r="I111" s="101"/>
      <c r="J111" s="100"/>
      <c r="K111" s="101"/>
      <c r="L111" s="101"/>
      <c r="M111" s="101"/>
      <c r="N111" s="101"/>
      <c r="P111" s="101"/>
      <c r="Q111" s="101"/>
      <c r="R111" s="104"/>
      <c r="S111" s="101"/>
      <c r="T111" s="117"/>
      <c r="U111" s="101"/>
      <c r="V111" s="62"/>
      <c r="W111" s="101"/>
      <c r="X111" s="117"/>
      <c r="Y111" s="117"/>
      <c r="Z111" s="62"/>
      <c r="AA111" s="117"/>
      <c r="AB111" s="117"/>
      <c r="AC111" s="117"/>
      <c r="AD111" s="62"/>
      <c r="AE111" s="117"/>
      <c r="AF111" s="117"/>
      <c r="AG111" s="62"/>
      <c r="AH111" s="117"/>
      <c r="AI111" s="117"/>
      <c r="AJ111" s="62"/>
      <c r="AK111" s="117"/>
      <c r="AL111" s="117"/>
      <c r="AM111" s="62"/>
      <c r="AN111" s="62"/>
      <c r="AO111" s="62"/>
      <c r="AP111" s="62"/>
      <c r="AQ111" s="62"/>
      <c r="AR111" s="62"/>
      <c r="AS111" s="62"/>
      <c r="AT111" s="62"/>
      <c r="AU111" s="21"/>
    </row>
    <row r="112" spans="1:47" ht="12" x14ac:dyDescent="0.2">
      <c r="A112" s="21"/>
      <c r="B112" s="21"/>
      <c r="C112" s="21"/>
      <c r="D112" s="21"/>
      <c r="E112" s="21"/>
      <c r="F112" s="21"/>
      <c r="G112" s="21"/>
      <c r="H112" s="100"/>
      <c r="I112" s="101"/>
      <c r="J112" s="100"/>
      <c r="K112" s="101"/>
      <c r="L112" s="101"/>
      <c r="M112" s="101"/>
      <c r="N112" s="101"/>
      <c r="P112" s="101"/>
      <c r="Q112" s="101"/>
      <c r="R112" s="104"/>
      <c r="S112" s="101"/>
      <c r="T112" s="117"/>
      <c r="U112" s="101"/>
      <c r="V112" s="62"/>
      <c r="W112" s="101"/>
      <c r="X112" s="117"/>
      <c r="Y112" s="117"/>
      <c r="Z112" s="62"/>
      <c r="AA112" s="117"/>
      <c r="AB112" s="117"/>
      <c r="AC112" s="117"/>
      <c r="AD112" s="62"/>
      <c r="AE112" s="117"/>
      <c r="AF112" s="117"/>
      <c r="AG112" s="62"/>
      <c r="AH112" s="117"/>
      <c r="AI112" s="117"/>
      <c r="AJ112" s="62"/>
      <c r="AK112" s="117"/>
      <c r="AL112" s="117"/>
      <c r="AM112" s="62"/>
      <c r="AN112" s="62"/>
      <c r="AO112" s="62"/>
      <c r="AP112" s="62"/>
      <c r="AQ112" s="62"/>
      <c r="AR112" s="62"/>
      <c r="AS112" s="62"/>
      <c r="AT112" s="62"/>
      <c r="AU112" s="21"/>
    </row>
    <row r="113" spans="1:47" ht="12" x14ac:dyDescent="0.2">
      <c r="A113" s="21"/>
      <c r="B113" s="21"/>
      <c r="C113" s="21"/>
      <c r="D113" s="21"/>
      <c r="E113" s="21"/>
      <c r="F113" s="21"/>
      <c r="G113" s="21"/>
      <c r="H113" s="100"/>
      <c r="I113" s="101"/>
      <c r="J113" s="100"/>
      <c r="K113" s="101"/>
      <c r="L113" s="101"/>
      <c r="M113" s="101"/>
      <c r="N113" s="101"/>
      <c r="P113" s="101"/>
      <c r="Q113" s="101"/>
      <c r="R113" s="104"/>
      <c r="S113" s="101"/>
      <c r="T113" s="117"/>
      <c r="U113" s="101"/>
      <c r="V113" s="62"/>
      <c r="W113" s="101"/>
      <c r="X113" s="117"/>
      <c r="Y113" s="117"/>
      <c r="Z113" s="62"/>
      <c r="AA113" s="117"/>
      <c r="AB113" s="117"/>
      <c r="AC113" s="117"/>
      <c r="AD113" s="62"/>
      <c r="AE113" s="117"/>
      <c r="AF113" s="117"/>
      <c r="AG113" s="62"/>
      <c r="AH113" s="117"/>
      <c r="AI113" s="117"/>
      <c r="AJ113" s="62"/>
      <c r="AK113" s="117"/>
      <c r="AL113" s="117"/>
      <c r="AM113" s="62"/>
      <c r="AN113" s="62"/>
      <c r="AO113" s="62"/>
      <c r="AP113" s="62"/>
      <c r="AQ113" s="62"/>
      <c r="AR113" s="62"/>
      <c r="AS113" s="62"/>
      <c r="AT113" s="62"/>
      <c r="AU113" s="21"/>
    </row>
    <row r="114" spans="1:47" ht="12" x14ac:dyDescent="0.2">
      <c r="A114" s="21"/>
      <c r="B114" s="21"/>
      <c r="C114" s="21"/>
      <c r="D114" s="21"/>
      <c r="E114" s="21"/>
      <c r="F114" s="21"/>
      <c r="G114" s="21"/>
      <c r="H114" s="100"/>
      <c r="I114" s="101"/>
      <c r="J114" s="100"/>
      <c r="K114" s="101"/>
      <c r="L114" s="101"/>
      <c r="M114" s="101"/>
      <c r="N114" s="101"/>
      <c r="P114" s="101"/>
      <c r="Q114" s="101"/>
      <c r="R114" s="104"/>
      <c r="S114" s="101"/>
      <c r="T114" s="117"/>
      <c r="U114" s="101"/>
      <c r="V114" s="62"/>
      <c r="W114" s="101"/>
      <c r="X114" s="117"/>
      <c r="Y114" s="117"/>
      <c r="Z114" s="62"/>
      <c r="AA114" s="117"/>
      <c r="AB114" s="117"/>
      <c r="AC114" s="117"/>
      <c r="AD114" s="62"/>
      <c r="AE114" s="117"/>
      <c r="AF114" s="117"/>
      <c r="AG114" s="62"/>
      <c r="AH114" s="117"/>
      <c r="AI114" s="117"/>
      <c r="AJ114" s="62"/>
      <c r="AK114" s="117"/>
      <c r="AL114" s="117"/>
      <c r="AM114" s="62"/>
      <c r="AN114" s="62"/>
      <c r="AO114" s="62"/>
      <c r="AP114" s="62"/>
      <c r="AQ114" s="62"/>
      <c r="AR114" s="62"/>
      <c r="AS114" s="62"/>
      <c r="AT114" s="62"/>
      <c r="AU114" s="21"/>
    </row>
    <row r="115" spans="1:47" ht="12" x14ac:dyDescent="0.2">
      <c r="A115" s="21"/>
      <c r="B115" s="21"/>
      <c r="C115" s="21"/>
      <c r="D115" s="21"/>
      <c r="E115" s="21"/>
      <c r="F115" s="21"/>
      <c r="G115" s="21"/>
      <c r="H115" s="100"/>
      <c r="I115" s="101"/>
      <c r="J115" s="100"/>
      <c r="K115" s="101"/>
      <c r="L115" s="101"/>
      <c r="M115" s="101"/>
      <c r="N115" s="101"/>
      <c r="P115" s="101"/>
      <c r="Q115" s="101"/>
      <c r="R115" s="104"/>
      <c r="S115" s="101"/>
      <c r="T115" s="117"/>
      <c r="U115" s="101"/>
      <c r="V115" s="62"/>
      <c r="W115" s="101"/>
      <c r="X115" s="117"/>
      <c r="Y115" s="117"/>
      <c r="Z115" s="62"/>
      <c r="AA115" s="117"/>
      <c r="AB115" s="117"/>
      <c r="AC115" s="117"/>
      <c r="AD115" s="62"/>
      <c r="AE115" s="117"/>
      <c r="AF115" s="117"/>
      <c r="AG115" s="62"/>
      <c r="AH115" s="117"/>
      <c r="AI115" s="117"/>
      <c r="AJ115" s="62"/>
      <c r="AK115" s="117"/>
      <c r="AL115" s="117"/>
      <c r="AM115" s="62"/>
      <c r="AN115" s="62"/>
      <c r="AO115" s="62"/>
      <c r="AP115" s="62"/>
      <c r="AQ115" s="62"/>
      <c r="AR115" s="62"/>
      <c r="AS115" s="62"/>
      <c r="AT115" s="62"/>
      <c r="AU115" s="21"/>
    </row>
    <row r="116" spans="1:47" ht="12" x14ac:dyDescent="0.2">
      <c r="A116" s="21"/>
      <c r="B116" s="21"/>
      <c r="C116" s="21"/>
      <c r="D116" s="21"/>
      <c r="E116" s="21"/>
      <c r="F116" s="21"/>
      <c r="G116" s="21"/>
      <c r="H116" s="100"/>
      <c r="I116" s="101"/>
      <c r="J116" s="100"/>
      <c r="K116" s="101"/>
      <c r="L116" s="101"/>
      <c r="M116" s="101"/>
      <c r="N116" s="101"/>
      <c r="P116" s="101"/>
      <c r="Q116" s="101"/>
      <c r="R116" s="104"/>
      <c r="S116" s="101"/>
      <c r="T116" s="117"/>
      <c r="U116" s="101"/>
      <c r="V116" s="62"/>
      <c r="W116" s="101"/>
      <c r="X116" s="117"/>
      <c r="Y116" s="117"/>
      <c r="Z116" s="62"/>
      <c r="AA116" s="117"/>
      <c r="AB116" s="117"/>
      <c r="AC116" s="117"/>
      <c r="AD116" s="62"/>
      <c r="AE116" s="117"/>
      <c r="AF116" s="117"/>
      <c r="AG116" s="62"/>
      <c r="AH116" s="117"/>
      <c r="AI116" s="117"/>
      <c r="AJ116" s="62"/>
      <c r="AK116" s="117"/>
      <c r="AL116" s="117"/>
      <c r="AM116" s="62"/>
      <c r="AN116" s="62"/>
      <c r="AO116" s="62"/>
      <c r="AP116" s="62"/>
      <c r="AQ116" s="62"/>
      <c r="AR116" s="62"/>
      <c r="AS116" s="62"/>
      <c r="AT116" s="62"/>
      <c r="AU116" s="21"/>
    </row>
    <row r="117" spans="1:47" ht="12" x14ac:dyDescent="0.2">
      <c r="A117" s="21"/>
      <c r="B117" s="21"/>
      <c r="C117" s="21"/>
      <c r="D117" s="21"/>
      <c r="E117" s="21"/>
      <c r="F117" s="21"/>
      <c r="G117" s="21"/>
      <c r="H117" s="100"/>
      <c r="I117" s="101"/>
      <c r="J117" s="100"/>
      <c r="K117" s="101"/>
      <c r="L117" s="101"/>
      <c r="M117" s="101"/>
      <c r="N117" s="101"/>
      <c r="P117" s="101"/>
      <c r="Q117" s="101"/>
      <c r="R117" s="104"/>
      <c r="S117" s="101"/>
      <c r="T117" s="117"/>
      <c r="U117" s="101"/>
      <c r="V117" s="62"/>
      <c r="W117" s="101"/>
      <c r="X117" s="117"/>
      <c r="Y117" s="117"/>
      <c r="Z117" s="62"/>
      <c r="AA117" s="117"/>
      <c r="AB117" s="117"/>
      <c r="AC117" s="117"/>
      <c r="AD117" s="62"/>
      <c r="AE117" s="117"/>
      <c r="AF117" s="117"/>
      <c r="AG117" s="62"/>
      <c r="AH117" s="117"/>
      <c r="AI117" s="117"/>
      <c r="AJ117" s="62"/>
      <c r="AK117" s="117"/>
      <c r="AL117" s="117"/>
      <c r="AM117" s="62"/>
      <c r="AN117" s="62"/>
      <c r="AO117" s="62"/>
      <c r="AP117" s="62"/>
      <c r="AQ117" s="62"/>
      <c r="AR117" s="62"/>
      <c r="AS117" s="62"/>
      <c r="AT117" s="62"/>
      <c r="AU117" s="21"/>
    </row>
    <row r="118" spans="1:47" ht="12" x14ac:dyDescent="0.2">
      <c r="A118" s="21"/>
      <c r="B118" s="21"/>
      <c r="C118" s="21"/>
      <c r="D118" s="21"/>
      <c r="E118" s="21"/>
      <c r="F118" s="21"/>
      <c r="G118" s="21"/>
      <c r="H118" s="100"/>
      <c r="I118" s="101"/>
      <c r="J118" s="100"/>
      <c r="K118" s="101"/>
      <c r="L118" s="101"/>
      <c r="M118" s="101"/>
      <c r="N118" s="101"/>
      <c r="P118" s="101"/>
      <c r="Q118" s="101"/>
      <c r="R118" s="104"/>
      <c r="S118" s="101"/>
      <c r="T118" s="117"/>
      <c r="U118" s="101"/>
      <c r="V118" s="62"/>
      <c r="W118" s="101"/>
      <c r="X118" s="117"/>
      <c r="Y118" s="117"/>
      <c r="Z118" s="62"/>
      <c r="AA118" s="117"/>
      <c r="AB118" s="117"/>
      <c r="AC118" s="117"/>
      <c r="AD118" s="62"/>
      <c r="AE118" s="117"/>
      <c r="AF118" s="117"/>
      <c r="AG118" s="62"/>
      <c r="AH118" s="117"/>
      <c r="AI118" s="117"/>
      <c r="AJ118" s="62"/>
      <c r="AK118" s="117"/>
      <c r="AL118" s="117"/>
      <c r="AM118" s="62"/>
      <c r="AN118" s="62"/>
      <c r="AO118" s="62"/>
      <c r="AP118" s="62"/>
      <c r="AQ118" s="62"/>
      <c r="AR118" s="62"/>
      <c r="AS118" s="62"/>
      <c r="AT118" s="62"/>
      <c r="AU118" s="21"/>
    </row>
    <row r="119" spans="1:47" ht="12" x14ac:dyDescent="0.2">
      <c r="A119" s="21"/>
      <c r="B119" s="21"/>
      <c r="C119" s="21"/>
      <c r="D119" s="21"/>
      <c r="E119" s="21"/>
      <c r="F119" s="21"/>
      <c r="G119" s="21"/>
      <c r="H119" s="100"/>
      <c r="I119" s="101"/>
      <c r="J119" s="100"/>
      <c r="K119" s="101"/>
      <c r="L119" s="101"/>
      <c r="M119" s="101"/>
      <c r="N119" s="101"/>
      <c r="P119" s="101"/>
      <c r="Q119" s="101"/>
      <c r="R119" s="104"/>
      <c r="S119" s="101"/>
      <c r="T119" s="117"/>
      <c r="U119" s="101"/>
      <c r="V119" s="62"/>
      <c r="W119" s="101"/>
      <c r="X119" s="117"/>
      <c r="Y119" s="117"/>
      <c r="Z119" s="62"/>
      <c r="AA119" s="117"/>
      <c r="AB119" s="117"/>
      <c r="AC119" s="117"/>
      <c r="AD119" s="62"/>
      <c r="AE119" s="117"/>
      <c r="AF119" s="117"/>
      <c r="AG119" s="62"/>
      <c r="AH119" s="117"/>
      <c r="AI119" s="117"/>
      <c r="AJ119" s="62"/>
      <c r="AK119" s="117"/>
      <c r="AL119" s="117"/>
      <c r="AM119" s="62"/>
      <c r="AN119" s="62"/>
      <c r="AO119" s="62"/>
      <c r="AP119" s="62"/>
      <c r="AQ119" s="62"/>
      <c r="AR119" s="62"/>
      <c r="AS119" s="62"/>
      <c r="AT119" s="62"/>
      <c r="AU119" s="21"/>
    </row>
    <row r="120" spans="1:47" ht="12" x14ac:dyDescent="0.2">
      <c r="A120" s="21"/>
      <c r="B120" s="21"/>
      <c r="C120" s="21"/>
      <c r="D120" s="21"/>
      <c r="E120" s="21"/>
      <c r="F120" s="21"/>
      <c r="G120" s="21"/>
      <c r="H120" s="100"/>
      <c r="I120" s="101"/>
      <c r="J120" s="100"/>
      <c r="K120" s="101"/>
      <c r="L120" s="101"/>
      <c r="M120" s="101"/>
      <c r="N120" s="101"/>
      <c r="P120" s="101"/>
      <c r="Q120" s="101"/>
      <c r="R120" s="104"/>
      <c r="S120" s="101"/>
      <c r="T120" s="117"/>
      <c r="U120" s="101"/>
      <c r="V120" s="62"/>
      <c r="W120" s="101"/>
      <c r="X120" s="117"/>
      <c r="Y120" s="117"/>
      <c r="Z120" s="62"/>
      <c r="AA120" s="117"/>
      <c r="AB120" s="117"/>
      <c r="AC120" s="117"/>
      <c r="AD120" s="62"/>
      <c r="AE120" s="117"/>
      <c r="AF120" s="117"/>
      <c r="AG120" s="62"/>
      <c r="AH120" s="117"/>
      <c r="AI120" s="117"/>
      <c r="AJ120" s="62"/>
      <c r="AK120" s="117"/>
      <c r="AL120" s="117"/>
      <c r="AM120" s="62"/>
      <c r="AN120" s="62"/>
      <c r="AO120" s="62"/>
      <c r="AP120" s="62"/>
      <c r="AQ120" s="62"/>
      <c r="AR120" s="62"/>
      <c r="AS120" s="62"/>
      <c r="AT120" s="62"/>
      <c r="AU120" s="21"/>
    </row>
    <row r="121" spans="1:47" ht="12" x14ac:dyDescent="0.2">
      <c r="A121" s="21"/>
      <c r="B121" s="21"/>
      <c r="C121" s="21"/>
      <c r="D121" s="21"/>
      <c r="E121" s="21"/>
      <c r="F121" s="21"/>
      <c r="G121" s="21"/>
      <c r="H121" s="100"/>
      <c r="I121" s="101"/>
      <c r="J121" s="100"/>
      <c r="K121" s="101"/>
      <c r="L121" s="101"/>
      <c r="M121" s="101"/>
      <c r="N121" s="101"/>
      <c r="P121" s="101"/>
      <c r="Q121" s="101"/>
      <c r="R121" s="104"/>
      <c r="S121" s="101"/>
      <c r="T121" s="117"/>
      <c r="U121" s="101"/>
      <c r="V121" s="62"/>
      <c r="W121" s="101"/>
      <c r="X121" s="117"/>
      <c r="Y121" s="117"/>
      <c r="Z121" s="62"/>
      <c r="AA121" s="117"/>
      <c r="AB121" s="117"/>
      <c r="AC121" s="117"/>
      <c r="AD121" s="62"/>
      <c r="AE121" s="117"/>
      <c r="AF121" s="117"/>
      <c r="AG121" s="62"/>
      <c r="AH121" s="117"/>
      <c r="AI121" s="117"/>
      <c r="AJ121" s="62"/>
      <c r="AK121" s="117"/>
      <c r="AL121" s="117"/>
      <c r="AM121" s="62"/>
      <c r="AN121" s="62"/>
      <c r="AO121" s="62"/>
      <c r="AP121" s="62"/>
      <c r="AQ121" s="62"/>
      <c r="AR121" s="62"/>
      <c r="AS121" s="62"/>
      <c r="AT121" s="62"/>
      <c r="AU121" s="21"/>
    </row>
    <row r="122" spans="1:47" ht="12" x14ac:dyDescent="0.2">
      <c r="A122" s="21"/>
      <c r="B122" s="21"/>
      <c r="C122" s="21"/>
      <c r="D122" s="21"/>
      <c r="E122" s="21"/>
      <c r="F122" s="21"/>
      <c r="G122" s="21"/>
      <c r="H122" s="100"/>
      <c r="I122" s="101"/>
      <c r="J122" s="100"/>
      <c r="K122" s="101"/>
      <c r="L122" s="101"/>
      <c r="M122" s="101"/>
      <c r="N122" s="101"/>
      <c r="P122" s="101"/>
      <c r="Q122" s="101"/>
      <c r="R122" s="104"/>
      <c r="S122" s="101"/>
      <c r="T122" s="117"/>
      <c r="U122" s="101"/>
      <c r="V122" s="62"/>
      <c r="W122" s="101"/>
      <c r="X122" s="117"/>
      <c r="Y122" s="117"/>
      <c r="Z122" s="62"/>
      <c r="AA122" s="117"/>
      <c r="AB122" s="117"/>
      <c r="AC122" s="117"/>
      <c r="AD122" s="62"/>
      <c r="AE122" s="117"/>
      <c r="AF122" s="117"/>
      <c r="AG122" s="62"/>
      <c r="AH122" s="117"/>
      <c r="AI122" s="117"/>
      <c r="AJ122" s="62"/>
      <c r="AK122" s="117"/>
      <c r="AL122" s="117"/>
      <c r="AM122" s="62"/>
      <c r="AN122" s="62"/>
      <c r="AO122" s="62"/>
      <c r="AP122" s="62"/>
      <c r="AQ122" s="62"/>
      <c r="AR122" s="62"/>
      <c r="AS122" s="62"/>
      <c r="AT122" s="62"/>
      <c r="AU122" s="21"/>
    </row>
    <row r="123" spans="1:47" ht="12" x14ac:dyDescent="0.2">
      <c r="A123" s="21"/>
      <c r="B123" s="21"/>
      <c r="C123" s="21"/>
      <c r="D123" s="21"/>
      <c r="E123" s="21"/>
      <c r="F123" s="21"/>
      <c r="G123" s="21"/>
      <c r="H123" s="100"/>
      <c r="I123" s="101"/>
      <c r="J123" s="100"/>
      <c r="K123" s="101"/>
      <c r="L123" s="101"/>
      <c r="M123" s="101"/>
      <c r="N123" s="101"/>
      <c r="P123" s="101"/>
      <c r="Q123" s="101"/>
      <c r="R123" s="104"/>
      <c r="S123" s="101"/>
      <c r="T123" s="117"/>
      <c r="U123" s="101"/>
      <c r="V123" s="62"/>
      <c r="W123" s="101"/>
      <c r="X123" s="117"/>
      <c r="Y123" s="117"/>
      <c r="Z123" s="62"/>
      <c r="AA123" s="117"/>
      <c r="AB123" s="117"/>
      <c r="AC123" s="117"/>
      <c r="AD123" s="62"/>
      <c r="AE123" s="117"/>
      <c r="AF123" s="117"/>
      <c r="AG123" s="62"/>
      <c r="AH123" s="117"/>
      <c r="AI123" s="117"/>
      <c r="AJ123" s="62"/>
      <c r="AK123" s="117"/>
      <c r="AL123" s="117"/>
      <c r="AM123" s="62"/>
      <c r="AN123" s="62"/>
      <c r="AO123" s="62"/>
      <c r="AP123" s="62"/>
      <c r="AQ123" s="62"/>
      <c r="AR123" s="62"/>
      <c r="AS123" s="62"/>
      <c r="AT123" s="62"/>
      <c r="AU123" s="21"/>
    </row>
    <row r="124" spans="1:47" ht="12" x14ac:dyDescent="0.2">
      <c r="A124" s="21"/>
      <c r="B124" s="21"/>
      <c r="C124" s="21"/>
      <c r="D124" s="21"/>
      <c r="E124" s="21"/>
      <c r="F124" s="21"/>
      <c r="G124" s="21"/>
      <c r="H124" s="100"/>
      <c r="I124" s="101"/>
      <c r="J124" s="100"/>
      <c r="K124" s="101"/>
      <c r="L124" s="101"/>
      <c r="M124" s="101"/>
      <c r="N124" s="101"/>
      <c r="P124" s="101"/>
      <c r="Q124" s="101"/>
      <c r="R124" s="104"/>
      <c r="S124" s="101"/>
      <c r="T124" s="117"/>
      <c r="U124" s="101"/>
      <c r="V124" s="62"/>
      <c r="W124" s="101"/>
      <c r="X124" s="117"/>
      <c r="Y124" s="117"/>
      <c r="Z124" s="62"/>
      <c r="AA124" s="117"/>
      <c r="AB124" s="117"/>
      <c r="AC124" s="117"/>
      <c r="AD124" s="62"/>
      <c r="AE124" s="117"/>
      <c r="AF124" s="117"/>
      <c r="AG124" s="62"/>
      <c r="AH124" s="117"/>
      <c r="AI124" s="117"/>
      <c r="AJ124" s="62"/>
      <c r="AK124" s="117"/>
      <c r="AL124" s="117"/>
      <c r="AM124" s="62"/>
      <c r="AN124" s="62"/>
      <c r="AO124" s="62"/>
      <c r="AP124" s="62"/>
      <c r="AQ124" s="62"/>
      <c r="AR124" s="62"/>
      <c r="AS124" s="62"/>
      <c r="AT124" s="62"/>
      <c r="AU124" s="21"/>
    </row>
    <row r="125" spans="1:47" ht="12" x14ac:dyDescent="0.2">
      <c r="A125" s="21"/>
      <c r="B125" s="21"/>
      <c r="C125" s="21"/>
      <c r="D125" s="21"/>
      <c r="E125" s="21"/>
      <c r="F125" s="21"/>
      <c r="G125" s="21"/>
      <c r="H125" s="100"/>
      <c r="I125" s="101"/>
      <c r="J125" s="100"/>
      <c r="K125" s="101"/>
      <c r="L125" s="101"/>
      <c r="M125" s="101"/>
      <c r="N125" s="101"/>
      <c r="P125" s="101"/>
      <c r="Q125" s="101"/>
      <c r="R125" s="104"/>
      <c r="S125" s="101"/>
      <c r="T125" s="117"/>
      <c r="U125" s="101"/>
      <c r="V125" s="62"/>
      <c r="W125" s="101"/>
      <c r="X125" s="117"/>
      <c r="Y125" s="117"/>
      <c r="Z125" s="62"/>
      <c r="AA125" s="117"/>
      <c r="AB125" s="117"/>
      <c r="AC125" s="117"/>
      <c r="AD125" s="62"/>
      <c r="AE125" s="117"/>
      <c r="AF125" s="117"/>
      <c r="AG125" s="62"/>
      <c r="AH125" s="117"/>
      <c r="AI125" s="117"/>
      <c r="AJ125" s="62"/>
      <c r="AK125" s="117"/>
      <c r="AL125" s="117"/>
      <c r="AM125" s="62"/>
      <c r="AN125" s="62"/>
      <c r="AO125" s="62"/>
      <c r="AP125" s="62"/>
      <c r="AQ125" s="62"/>
      <c r="AR125" s="62"/>
      <c r="AS125" s="62"/>
      <c r="AT125" s="62"/>
      <c r="AU125" s="21"/>
    </row>
    <row r="126" spans="1:47" ht="12" x14ac:dyDescent="0.2">
      <c r="A126" s="21"/>
      <c r="B126" s="21"/>
      <c r="C126" s="21"/>
      <c r="D126" s="21"/>
      <c r="E126" s="21"/>
      <c r="F126" s="21"/>
      <c r="G126" s="21"/>
      <c r="H126" s="100"/>
      <c r="I126" s="101"/>
      <c r="J126" s="100"/>
      <c r="K126" s="101"/>
      <c r="L126" s="101"/>
      <c r="M126" s="101"/>
      <c r="N126" s="101"/>
      <c r="P126" s="101"/>
      <c r="Q126" s="101"/>
      <c r="R126" s="104"/>
      <c r="S126" s="101"/>
      <c r="T126" s="117"/>
      <c r="U126" s="101"/>
      <c r="V126" s="62"/>
      <c r="W126" s="101"/>
      <c r="X126" s="117"/>
      <c r="Y126" s="117"/>
      <c r="Z126" s="62"/>
      <c r="AA126" s="117"/>
      <c r="AB126" s="117"/>
      <c r="AC126" s="117"/>
      <c r="AD126" s="62"/>
      <c r="AE126" s="117"/>
      <c r="AF126" s="117"/>
      <c r="AG126" s="62"/>
      <c r="AH126" s="117"/>
      <c r="AI126" s="117"/>
      <c r="AJ126" s="62"/>
      <c r="AK126" s="117"/>
      <c r="AL126" s="117"/>
      <c r="AM126" s="62"/>
      <c r="AN126" s="62"/>
      <c r="AO126" s="62"/>
      <c r="AP126" s="62"/>
      <c r="AQ126" s="62"/>
      <c r="AR126" s="62"/>
      <c r="AS126" s="62"/>
      <c r="AT126" s="62"/>
      <c r="AU126" s="21"/>
    </row>
    <row r="127" spans="1:47" ht="12" x14ac:dyDescent="0.2">
      <c r="A127" s="21"/>
      <c r="B127" s="21"/>
      <c r="C127" s="21"/>
      <c r="D127" s="21"/>
      <c r="E127" s="21"/>
      <c r="F127" s="21"/>
      <c r="G127" s="21"/>
      <c r="H127" s="100"/>
      <c r="I127" s="101"/>
      <c r="J127" s="100"/>
      <c r="K127" s="101"/>
      <c r="L127" s="101"/>
      <c r="M127" s="101"/>
      <c r="N127" s="101"/>
      <c r="P127" s="101"/>
      <c r="Q127" s="101"/>
      <c r="R127" s="104"/>
      <c r="S127" s="101"/>
      <c r="T127" s="117"/>
      <c r="U127" s="101"/>
      <c r="V127" s="62"/>
      <c r="W127" s="101"/>
      <c r="X127" s="117"/>
      <c r="Y127" s="117"/>
      <c r="Z127" s="62"/>
      <c r="AA127" s="117"/>
      <c r="AB127" s="117"/>
      <c r="AC127" s="117"/>
      <c r="AD127" s="62"/>
      <c r="AE127" s="117"/>
      <c r="AF127" s="117"/>
      <c r="AG127" s="62"/>
      <c r="AH127" s="117"/>
      <c r="AI127" s="117"/>
      <c r="AJ127" s="62"/>
      <c r="AK127" s="117"/>
      <c r="AL127" s="117"/>
      <c r="AM127" s="62"/>
      <c r="AN127" s="62"/>
      <c r="AO127" s="62"/>
      <c r="AP127" s="62"/>
      <c r="AQ127" s="62"/>
      <c r="AR127" s="62"/>
      <c r="AS127" s="62"/>
      <c r="AT127" s="62"/>
      <c r="AU127" s="21"/>
    </row>
    <row r="128" spans="1:47" ht="12" x14ac:dyDescent="0.2">
      <c r="A128" s="21"/>
      <c r="B128" s="21"/>
      <c r="C128" s="21"/>
      <c r="D128" s="21"/>
      <c r="E128" s="21"/>
      <c r="F128" s="21"/>
      <c r="G128" s="21"/>
      <c r="H128" s="100"/>
      <c r="I128" s="101"/>
      <c r="J128" s="100"/>
      <c r="K128" s="101"/>
      <c r="L128" s="101"/>
      <c r="M128" s="101"/>
      <c r="N128" s="101"/>
      <c r="P128" s="101"/>
      <c r="Q128" s="101"/>
      <c r="R128" s="104"/>
      <c r="S128" s="101"/>
      <c r="T128" s="117"/>
      <c r="U128" s="101"/>
      <c r="V128" s="62"/>
      <c r="W128" s="101"/>
      <c r="X128" s="117"/>
      <c r="Y128" s="117"/>
      <c r="Z128" s="62"/>
      <c r="AA128" s="117"/>
      <c r="AB128" s="117"/>
      <c r="AC128" s="117"/>
      <c r="AD128" s="62"/>
      <c r="AE128" s="117"/>
      <c r="AF128" s="117"/>
      <c r="AG128" s="62"/>
      <c r="AH128" s="117"/>
      <c r="AI128" s="117"/>
      <c r="AJ128" s="62"/>
      <c r="AK128" s="117"/>
      <c r="AL128" s="117"/>
      <c r="AM128" s="62"/>
      <c r="AN128" s="62"/>
      <c r="AO128" s="62"/>
      <c r="AP128" s="62"/>
      <c r="AQ128" s="62"/>
      <c r="AR128" s="62"/>
      <c r="AS128" s="62"/>
      <c r="AT128" s="62"/>
      <c r="AU128" s="21"/>
    </row>
    <row r="129" spans="1:47" ht="12" x14ac:dyDescent="0.2">
      <c r="A129" s="21"/>
      <c r="B129" s="21"/>
      <c r="C129" s="21"/>
      <c r="D129" s="21"/>
      <c r="E129" s="21"/>
      <c r="F129" s="21"/>
      <c r="G129" s="21"/>
      <c r="H129" s="100"/>
      <c r="I129" s="101"/>
      <c r="J129" s="100"/>
      <c r="K129" s="101"/>
      <c r="L129" s="101"/>
      <c r="M129" s="101"/>
      <c r="N129" s="101"/>
      <c r="P129" s="101"/>
      <c r="Q129" s="101"/>
      <c r="R129" s="104"/>
      <c r="S129" s="101"/>
      <c r="T129" s="117"/>
      <c r="U129" s="101"/>
      <c r="V129" s="62"/>
      <c r="W129" s="101"/>
      <c r="X129" s="117"/>
      <c r="Y129" s="117"/>
      <c r="Z129" s="62"/>
      <c r="AA129" s="117"/>
      <c r="AB129" s="117"/>
      <c r="AC129" s="117"/>
      <c r="AD129" s="62"/>
      <c r="AE129" s="117"/>
      <c r="AF129" s="117"/>
      <c r="AG129" s="62"/>
      <c r="AH129" s="117"/>
      <c r="AI129" s="117"/>
      <c r="AJ129" s="62"/>
      <c r="AK129" s="117"/>
      <c r="AL129" s="117"/>
      <c r="AM129" s="62"/>
      <c r="AN129" s="62"/>
      <c r="AO129" s="62"/>
      <c r="AP129" s="62"/>
      <c r="AQ129" s="62"/>
      <c r="AR129" s="62"/>
      <c r="AS129" s="62"/>
      <c r="AT129" s="62"/>
      <c r="AU129" s="21"/>
    </row>
    <row r="130" spans="1:47" ht="12" x14ac:dyDescent="0.2">
      <c r="A130" s="21"/>
      <c r="B130" s="21"/>
      <c r="C130" s="21"/>
      <c r="D130" s="21"/>
      <c r="E130" s="21"/>
      <c r="F130" s="21"/>
      <c r="G130" s="21"/>
      <c r="H130" s="100"/>
      <c r="I130" s="101"/>
      <c r="J130" s="100"/>
      <c r="K130" s="101"/>
      <c r="L130" s="101"/>
      <c r="M130" s="101"/>
      <c r="N130" s="101"/>
      <c r="P130" s="101"/>
      <c r="Q130" s="101"/>
      <c r="R130" s="104"/>
      <c r="S130" s="101"/>
      <c r="T130" s="117"/>
      <c r="U130" s="101"/>
      <c r="V130" s="62"/>
      <c r="W130" s="101"/>
      <c r="X130" s="117"/>
      <c r="Y130" s="117"/>
      <c r="Z130" s="62"/>
      <c r="AA130" s="117"/>
      <c r="AB130" s="117"/>
      <c r="AC130" s="117"/>
      <c r="AD130" s="62"/>
      <c r="AE130" s="117"/>
      <c r="AF130" s="117"/>
      <c r="AG130" s="62"/>
      <c r="AH130" s="117"/>
      <c r="AI130" s="117"/>
      <c r="AJ130" s="62"/>
      <c r="AK130" s="117"/>
      <c r="AL130" s="117"/>
      <c r="AM130" s="62"/>
      <c r="AN130" s="62"/>
      <c r="AO130" s="62"/>
      <c r="AP130" s="62"/>
      <c r="AQ130" s="62"/>
      <c r="AR130" s="62"/>
      <c r="AS130" s="62"/>
      <c r="AT130" s="62"/>
      <c r="AU130" s="21"/>
    </row>
    <row r="131" spans="1:47" ht="12" x14ac:dyDescent="0.2">
      <c r="A131" s="21"/>
      <c r="B131" s="21"/>
      <c r="C131" s="21"/>
      <c r="D131" s="21"/>
      <c r="E131" s="21"/>
      <c r="F131" s="21"/>
      <c r="G131" s="21"/>
      <c r="H131" s="100"/>
      <c r="I131" s="101"/>
      <c r="J131" s="100"/>
      <c r="K131" s="101"/>
      <c r="L131" s="101"/>
      <c r="M131" s="101"/>
      <c r="N131" s="101"/>
      <c r="P131" s="101"/>
      <c r="Q131" s="101"/>
      <c r="R131" s="104"/>
      <c r="S131" s="101"/>
      <c r="T131" s="117"/>
      <c r="U131" s="101"/>
      <c r="V131" s="62"/>
      <c r="W131" s="101"/>
      <c r="X131" s="117"/>
      <c r="Y131" s="117"/>
      <c r="Z131" s="62"/>
      <c r="AA131" s="117"/>
      <c r="AB131" s="117"/>
      <c r="AC131" s="117"/>
      <c r="AD131" s="62"/>
      <c r="AE131" s="117"/>
      <c r="AF131" s="117"/>
      <c r="AG131" s="62"/>
      <c r="AH131" s="117"/>
      <c r="AI131" s="117"/>
      <c r="AJ131" s="62"/>
      <c r="AK131" s="117"/>
      <c r="AL131" s="117"/>
      <c r="AM131" s="62"/>
      <c r="AN131" s="62"/>
      <c r="AO131" s="62"/>
      <c r="AP131" s="62"/>
      <c r="AQ131" s="62"/>
      <c r="AR131" s="62"/>
      <c r="AS131" s="62"/>
      <c r="AT131" s="62"/>
      <c r="AU131" s="21"/>
    </row>
    <row r="132" spans="1:47" ht="12" x14ac:dyDescent="0.2">
      <c r="A132" s="21"/>
      <c r="B132" s="21"/>
      <c r="C132" s="21"/>
      <c r="D132" s="21"/>
      <c r="E132" s="21"/>
      <c r="F132" s="21"/>
      <c r="G132" s="21"/>
      <c r="H132" s="100"/>
      <c r="I132" s="101"/>
      <c r="J132" s="100"/>
      <c r="K132" s="101"/>
      <c r="L132" s="101"/>
      <c r="M132" s="101"/>
      <c r="N132" s="101"/>
      <c r="P132" s="101"/>
      <c r="Q132" s="101"/>
      <c r="R132" s="104"/>
      <c r="S132" s="101"/>
      <c r="T132" s="117"/>
      <c r="U132" s="101"/>
      <c r="V132" s="62"/>
      <c r="W132" s="101"/>
      <c r="X132" s="117"/>
      <c r="Y132" s="117"/>
      <c r="Z132" s="62"/>
      <c r="AA132" s="117"/>
      <c r="AB132" s="117"/>
      <c r="AC132" s="117"/>
      <c r="AD132" s="62"/>
      <c r="AE132" s="117"/>
      <c r="AF132" s="117"/>
      <c r="AG132" s="62"/>
      <c r="AH132" s="117"/>
      <c r="AI132" s="117"/>
      <c r="AJ132" s="62"/>
      <c r="AK132" s="117"/>
      <c r="AL132" s="117"/>
      <c r="AM132" s="62"/>
      <c r="AN132" s="62"/>
      <c r="AO132" s="62"/>
      <c r="AP132" s="62"/>
      <c r="AQ132" s="62"/>
      <c r="AR132" s="62"/>
      <c r="AS132" s="62"/>
      <c r="AT132" s="62"/>
      <c r="AU132" s="21"/>
    </row>
    <row r="133" spans="1:47" ht="12" x14ac:dyDescent="0.2">
      <c r="A133" s="21"/>
      <c r="B133" s="21"/>
      <c r="C133" s="21"/>
      <c r="D133" s="21"/>
      <c r="E133" s="21"/>
      <c r="F133" s="21"/>
      <c r="G133" s="21"/>
      <c r="H133" s="100"/>
      <c r="I133" s="101"/>
      <c r="J133" s="100"/>
      <c r="K133" s="101"/>
      <c r="L133" s="101"/>
      <c r="M133" s="101"/>
      <c r="N133" s="101"/>
      <c r="P133" s="101"/>
      <c r="Q133" s="101"/>
      <c r="R133" s="104"/>
      <c r="S133" s="101"/>
      <c r="T133" s="117"/>
      <c r="U133" s="101"/>
      <c r="V133" s="62"/>
      <c r="W133" s="101"/>
      <c r="X133" s="117"/>
      <c r="Y133" s="117"/>
      <c r="Z133" s="62"/>
      <c r="AA133" s="117"/>
      <c r="AB133" s="117"/>
      <c r="AC133" s="117"/>
      <c r="AD133" s="62"/>
      <c r="AE133" s="117"/>
      <c r="AF133" s="117"/>
      <c r="AG133" s="62"/>
      <c r="AH133" s="117"/>
      <c r="AI133" s="117"/>
      <c r="AJ133" s="62"/>
      <c r="AK133" s="117"/>
      <c r="AL133" s="117"/>
      <c r="AM133" s="62"/>
      <c r="AN133" s="62"/>
      <c r="AO133" s="62"/>
      <c r="AP133" s="62"/>
      <c r="AQ133" s="62"/>
      <c r="AR133" s="62"/>
      <c r="AS133" s="62"/>
      <c r="AT133" s="62"/>
      <c r="AU133" s="21"/>
    </row>
    <row r="134" spans="1:47" ht="12" x14ac:dyDescent="0.2">
      <c r="A134" s="21"/>
      <c r="B134" s="21"/>
      <c r="C134" s="21"/>
      <c r="D134" s="21"/>
      <c r="E134" s="21"/>
      <c r="F134" s="21"/>
      <c r="G134" s="21"/>
      <c r="H134" s="100"/>
      <c r="I134" s="101"/>
      <c r="J134" s="100"/>
      <c r="K134" s="101"/>
      <c r="L134" s="101"/>
      <c r="M134" s="101"/>
      <c r="N134" s="101"/>
      <c r="P134" s="101"/>
      <c r="Q134" s="101"/>
      <c r="R134" s="104"/>
      <c r="S134" s="101"/>
      <c r="T134" s="117"/>
      <c r="U134" s="101"/>
      <c r="V134" s="62"/>
      <c r="W134" s="101"/>
      <c r="X134" s="117"/>
      <c r="Y134" s="117"/>
      <c r="Z134" s="62"/>
      <c r="AA134" s="117"/>
      <c r="AB134" s="117"/>
      <c r="AC134" s="117"/>
      <c r="AD134" s="62"/>
      <c r="AE134" s="117"/>
      <c r="AF134" s="117"/>
      <c r="AG134" s="62"/>
      <c r="AH134" s="117"/>
      <c r="AI134" s="117"/>
      <c r="AJ134" s="62"/>
      <c r="AK134" s="117"/>
      <c r="AL134" s="117"/>
      <c r="AM134" s="62"/>
      <c r="AN134" s="62"/>
      <c r="AO134" s="62"/>
      <c r="AP134" s="62"/>
      <c r="AQ134" s="62"/>
      <c r="AR134" s="62"/>
      <c r="AS134" s="62"/>
      <c r="AT134" s="62"/>
      <c r="AU134" s="21"/>
    </row>
    <row r="135" spans="1:47" ht="12" x14ac:dyDescent="0.2">
      <c r="A135" s="21"/>
      <c r="B135" s="21"/>
      <c r="C135" s="21"/>
      <c r="D135" s="21"/>
      <c r="E135" s="21"/>
      <c r="F135" s="21"/>
      <c r="G135" s="21"/>
      <c r="H135" s="100"/>
      <c r="I135" s="101"/>
      <c r="J135" s="100"/>
      <c r="K135" s="101"/>
      <c r="L135" s="101"/>
      <c r="M135" s="101"/>
      <c r="N135" s="101"/>
      <c r="P135" s="101"/>
      <c r="Q135" s="101"/>
      <c r="R135" s="104"/>
      <c r="S135" s="101"/>
      <c r="T135" s="117"/>
      <c r="U135" s="101"/>
      <c r="V135" s="62"/>
      <c r="W135" s="101"/>
      <c r="X135" s="117"/>
      <c r="Y135" s="117"/>
      <c r="Z135" s="62"/>
      <c r="AA135" s="117"/>
      <c r="AB135" s="117"/>
      <c r="AC135" s="117"/>
      <c r="AD135" s="62"/>
      <c r="AE135" s="117"/>
      <c r="AF135" s="117"/>
      <c r="AG135" s="62"/>
      <c r="AH135" s="117"/>
      <c r="AI135" s="117"/>
      <c r="AJ135" s="62"/>
      <c r="AK135" s="117"/>
      <c r="AL135" s="117"/>
      <c r="AM135" s="62"/>
      <c r="AN135" s="62"/>
      <c r="AO135" s="62"/>
      <c r="AP135" s="62"/>
      <c r="AQ135" s="62"/>
      <c r="AR135" s="62"/>
      <c r="AS135" s="62"/>
      <c r="AT135" s="62"/>
      <c r="AU135" s="21"/>
    </row>
    <row r="136" spans="1:47" ht="12" x14ac:dyDescent="0.2">
      <c r="A136" s="21"/>
      <c r="B136" s="21"/>
      <c r="C136" s="21"/>
      <c r="D136" s="21"/>
      <c r="E136" s="21"/>
      <c r="F136" s="21"/>
      <c r="G136" s="21"/>
      <c r="H136" s="100"/>
      <c r="I136" s="101"/>
      <c r="J136" s="100"/>
      <c r="K136" s="101"/>
      <c r="L136" s="101"/>
      <c r="M136" s="101"/>
      <c r="N136" s="101"/>
      <c r="P136" s="101"/>
      <c r="Q136" s="101"/>
      <c r="R136" s="104"/>
      <c r="S136" s="101"/>
      <c r="T136" s="117"/>
      <c r="U136" s="101"/>
      <c r="V136" s="62"/>
      <c r="W136" s="101"/>
      <c r="X136" s="117"/>
      <c r="Y136" s="117"/>
      <c r="Z136" s="62"/>
      <c r="AA136" s="117"/>
      <c r="AB136" s="117"/>
      <c r="AC136" s="117"/>
      <c r="AD136" s="62"/>
      <c r="AE136" s="117"/>
      <c r="AF136" s="117"/>
      <c r="AG136" s="62"/>
      <c r="AH136" s="117"/>
      <c r="AI136" s="117"/>
      <c r="AJ136" s="62"/>
      <c r="AK136" s="117"/>
      <c r="AL136" s="117"/>
      <c r="AM136" s="62"/>
      <c r="AN136" s="62"/>
      <c r="AO136" s="62"/>
      <c r="AP136" s="62"/>
      <c r="AQ136" s="62"/>
      <c r="AR136" s="62"/>
      <c r="AS136" s="62"/>
      <c r="AT136" s="62"/>
      <c r="AU136" s="21"/>
    </row>
    <row r="137" spans="1:47" ht="12" x14ac:dyDescent="0.2">
      <c r="A137" s="21"/>
      <c r="B137" s="21"/>
      <c r="C137" s="21"/>
      <c r="D137" s="21"/>
      <c r="E137" s="21"/>
      <c r="F137" s="21"/>
      <c r="G137" s="21"/>
      <c r="H137" s="100"/>
      <c r="I137" s="101"/>
      <c r="J137" s="100"/>
      <c r="K137" s="101"/>
      <c r="L137" s="101"/>
      <c r="M137" s="101"/>
      <c r="N137" s="101"/>
      <c r="P137" s="101"/>
      <c r="Q137" s="101"/>
      <c r="R137" s="104"/>
      <c r="S137" s="101"/>
      <c r="T137" s="117"/>
      <c r="U137" s="101"/>
      <c r="V137" s="62"/>
      <c r="W137" s="101"/>
      <c r="X137" s="117"/>
      <c r="Y137" s="117"/>
      <c r="Z137" s="62"/>
      <c r="AA137" s="117"/>
      <c r="AB137" s="117"/>
      <c r="AC137" s="117"/>
      <c r="AD137" s="62"/>
      <c r="AE137" s="117"/>
      <c r="AF137" s="117"/>
      <c r="AG137" s="62"/>
      <c r="AH137" s="117"/>
      <c r="AI137" s="117"/>
      <c r="AJ137" s="62"/>
      <c r="AK137" s="117"/>
      <c r="AL137" s="117"/>
      <c r="AM137" s="62"/>
      <c r="AN137" s="62"/>
      <c r="AO137" s="62"/>
      <c r="AP137" s="62"/>
      <c r="AQ137" s="62"/>
      <c r="AR137" s="62"/>
      <c r="AS137" s="62"/>
      <c r="AT137" s="62"/>
      <c r="AU137" s="21"/>
    </row>
    <row r="138" spans="1:47" ht="12" x14ac:dyDescent="0.2">
      <c r="A138" s="21"/>
      <c r="B138" s="21"/>
      <c r="C138" s="21"/>
      <c r="D138" s="21"/>
      <c r="E138" s="21"/>
      <c r="F138" s="21"/>
      <c r="G138" s="21"/>
      <c r="H138" s="100"/>
      <c r="I138" s="101"/>
      <c r="J138" s="100"/>
      <c r="K138" s="101"/>
      <c r="L138" s="101"/>
      <c r="M138" s="101"/>
      <c r="N138" s="101"/>
      <c r="P138" s="101"/>
      <c r="Q138" s="101"/>
      <c r="R138" s="104"/>
      <c r="S138" s="101"/>
      <c r="T138" s="117"/>
      <c r="U138" s="101"/>
      <c r="V138" s="62"/>
      <c r="W138" s="101"/>
      <c r="X138" s="117"/>
      <c r="Y138" s="117"/>
      <c r="Z138" s="62"/>
      <c r="AA138" s="117"/>
      <c r="AB138" s="117"/>
      <c r="AC138" s="117"/>
      <c r="AD138" s="62"/>
      <c r="AE138" s="117"/>
      <c r="AF138" s="117"/>
      <c r="AG138" s="62"/>
      <c r="AH138" s="117"/>
      <c r="AI138" s="117"/>
      <c r="AJ138" s="62"/>
      <c r="AK138" s="117"/>
      <c r="AL138" s="117"/>
      <c r="AM138" s="62"/>
      <c r="AN138" s="62"/>
      <c r="AO138" s="62"/>
      <c r="AP138" s="62"/>
      <c r="AQ138" s="62"/>
      <c r="AR138" s="62"/>
      <c r="AS138" s="62"/>
      <c r="AT138" s="62"/>
      <c r="AU138" s="21"/>
    </row>
    <row r="139" spans="1:47" ht="12" x14ac:dyDescent="0.2">
      <c r="A139" s="21"/>
      <c r="B139" s="21"/>
      <c r="C139" s="21"/>
      <c r="D139" s="21"/>
      <c r="E139" s="21"/>
      <c r="F139" s="21"/>
      <c r="G139" s="21"/>
      <c r="H139" s="100"/>
      <c r="I139" s="101"/>
      <c r="J139" s="100"/>
      <c r="K139" s="101"/>
      <c r="L139" s="101"/>
      <c r="M139" s="101"/>
      <c r="N139" s="101"/>
      <c r="P139" s="101"/>
      <c r="Q139" s="101"/>
      <c r="R139" s="104"/>
      <c r="S139" s="101"/>
      <c r="T139" s="117"/>
      <c r="U139" s="101"/>
      <c r="V139" s="62"/>
      <c r="W139" s="101"/>
      <c r="X139" s="117"/>
      <c r="Y139" s="117"/>
      <c r="Z139" s="62"/>
      <c r="AA139" s="117"/>
      <c r="AB139" s="117"/>
      <c r="AC139" s="117"/>
      <c r="AD139" s="62"/>
      <c r="AE139" s="117"/>
      <c r="AF139" s="117"/>
      <c r="AG139" s="62"/>
      <c r="AH139" s="117"/>
      <c r="AI139" s="117"/>
      <c r="AJ139" s="62"/>
      <c r="AK139" s="117"/>
      <c r="AL139" s="117"/>
      <c r="AM139" s="62"/>
      <c r="AN139" s="62"/>
      <c r="AO139" s="62"/>
      <c r="AP139" s="62"/>
      <c r="AQ139" s="62"/>
      <c r="AR139" s="62"/>
      <c r="AS139" s="62"/>
      <c r="AT139" s="62"/>
      <c r="AU139" s="21"/>
    </row>
    <row r="140" spans="1:47" ht="12" x14ac:dyDescent="0.2">
      <c r="A140" s="21"/>
      <c r="B140" s="21"/>
      <c r="C140" s="21"/>
      <c r="D140" s="21"/>
      <c r="E140" s="21"/>
      <c r="F140" s="21"/>
      <c r="G140" s="21"/>
      <c r="H140" s="100"/>
      <c r="I140" s="101"/>
      <c r="J140" s="100"/>
      <c r="K140" s="101"/>
      <c r="L140" s="101"/>
      <c r="M140" s="101"/>
      <c r="N140" s="101"/>
      <c r="P140" s="101"/>
      <c r="Q140" s="101"/>
      <c r="R140" s="104"/>
      <c r="S140" s="101"/>
      <c r="T140" s="117"/>
      <c r="U140" s="101"/>
      <c r="V140" s="62"/>
      <c r="W140" s="101"/>
      <c r="X140" s="117"/>
      <c r="Y140" s="117"/>
      <c r="Z140" s="62"/>
      <c r="AA140" s="117"/>
      <c r="AB140" s="117"/>
      <c r="AC140" s="117"/>
      <c r="AD140" s="62"/>
      <c r="AE140" s="117"/>
      <c r="AF140" s="117"/>
      <c r="AG140" s="62"/>
      <c r="AH140" s="117"/>
      <c r="AI140" s="117"/>
      <c r="AJ140" s="62"/>
      <c r="AK140" s="117"/>
      <c r="AL140" s="117"/>
      <c r="AM140" s="62"/>
      <c r="AN140" s="62"/>
      <c r="AO140" s="62"/>
      <c r="AP140" s="62"/>
      <c r="AQ140" s="62"/>
      <c r="AR140" s="62"/>
      <c r="AS140" s="62"/>
      <c r="AT140" s="62"/>
      <c r="AU140" s="21"/>
    </row>
    <row r="141" spans="1:47" ht="12" x14ac:dyDescent="0.2">
      <c r="A141" s="21"/>
      <c r="B141" s="21"/>
      <c r="C141" s="21"/>
      <c r="D141" s="21"/>
      <c r="E141" s="21"/>
      <c r="F141" s="21"/>
      <c r="G141" s="21"/>
      <c r="H141" s="100"/>
      <c r="I141" s="101"/>
      <c r="J141" s="100"/>
      <c r="K141" s="101"/>
      <c r="L141" s="101"/>
      <c r="M141" s="101"/>
      <c r="N141" s="101"/>
      <c r="P141" s="101"/>
      <c r="Q141" s="101"/>
      <c r="R141" s="104"/>
      <c r="S141" s="101"/>
      <c r="T141" s="117"/>
      <c r="U141" s="101"/>
      <c r="V141" s="62"/>
      <c r="W141" s="101"/>
      <c r="X141" s="117"/>
      <c r="Y141" s="117"/>
      <c r="Z141" s="62"/>
      <c r="AA141" s="117"/>
      <c r="AB141" s="117"/>
      <c r="AC141" s="117"/>
      <c r="AD141" s="62"/>
      <c r="AE141" s="117"/>
      <c r="AF141" s="117"/>
      <c r="AG141" s="62"/>
      <c r="AH141" s="117"/>
      <c r="AI141" s="117"/>
      <c r="AJ141" s="62"/>
      <c r="AK141" s="117"/>
      <c r="AL141" s="117"/>
      <c r="AM141" s="62"/>
      <c r="AN141" s="62"/>
      <c r="AO141" s="62"/>
      <c r="AP141" s="62"/>
      <c r="AQ141" s="62"/>
      <c r="AR141" s="62"/>
      <c r="AS141" s="62"/>
      <c r="AT141" s="62"/>
      <c r="AU141" s="21"/>
    </row>
    <row r="142" spans="1:47" ht="12" x14ac:dyDescent="0.2">
      <c r="A142" s="21"/>
      <c r="B142" s="21"/>
      <c r="C142" s="21"/>
      <c r="D142" s="21"/>
      <c r="E142" s="21"/>
      <c r="F142" s="21"/>
      <c r="G142" s="21"/>
      <c r="H142" s="100"/>
      <c r="I142" s="101"/>
      <c r="J142" s="100"/>
      <c r="K142" s="101"/>
      <c r="L142" s="101"/>
      <c r="M142" s="101"/>
      <c r="N142" s="101"/>
      <c r="P142" s="101"/>
      <c r="Q142" s="101"/>
      <c r="R142" s="104"/>
      <c r="S142" s="101"/>
      <c r="T142" s="117"/>
      <c r="U142" s="101"/>
      <c r="V142" s="62"/>
      <c r="W142" s="101"/>
      <c r="X142" s="117"/>
      <c r="Y142" s="117"/>
      <c r="Z142" s="62"/>
      <c r="AA142" s="117"/>
      <c r="AB142" s="117"/>
      <c r="AC142" s="117"/>
      <c r="AD142" s="62"/>
      <c r="AE142" s="117"/>
      <c r="AF142" s="117"/>
      <c r="AG142" s="62"/>
      <c r="AH142" s="117"/>
      <c r="AI142" s="117"/>
      <c r="AJ142" s="62"/>
      <c r="AK142" s="117"/>
      <c r="AL142" s="117"/>
      <c r="AM142" s="62"/>
      <c r="AN142" s="62"/>
      <c r="AO142" s="62"/>
      <c r="AP142" s="62"/>
      <c r="AQ142" s="62"/>
      <c r="AR142" s="62"/>
      <c r="AS142" s="62"/>
      <c r="AT142" s="62"/>
      <c r="AU142" s="21"/>
    </row>
    <row r="143" spans="1:47" ht="12" x14ac:dyDescent="0.2">
      <c r="A143" s="21"/>
      <c r="B143" s="21"/>
      <c r="C143" s="21"/>
      <c r="D143" s="21"/>
      <c r="E143" s="21"/>
      <c r="F143" s="21"/>
      <c r="G143" s="21"/>
      <c r="H143" s="100"/>
      <c r="I143" s="101"/>
      <c r="J143" s="100"/>
      <c r="K143" s="101"/>
      <c r="L143" s="101"/>
      <c r="M143" s="101"/>
      <c r="N143" s="101"/>
      <c r="P143" s="101"/>
      <c r="Q143" s="101"/>
      <c r="R143" s="104"/>
      <c r="S143" s="101"/>
      <c r="T143" s="117"/>
      <c r="U143" s="101"/>
      <c r="V143" s="62"/>
      <c r="W143" s="101"/>
      <c r="X143" s="117"/>
      <c r="Y143" s="117"/>
      <c r="Z143" s="62"/>
      <c r="AA143" s="117"/>
      <c r="AB143" s="117"/>
      <c r="AC143" s="117"/>
      <c r="AD143" s="62"/>
      <c r="AE143" s="117"/>
      <c r="AF143" s="117"/>
      <c r="AG143" s="62"/>
      <c r="AH143" s="117"/>
      <c r="AI143" s="117"/>
      <c r="AJ143" s="62"/>
      <c r="AK143" s="117"/>
      <c r="AL143" s="117"/>
      <c r="AM143" s="62"/>
      <c r="AN143" s="62"/>
      <c r="AO143" s="62"/>
      <c r="AP143" s="62"/>
      <c r="AQ143" s="62"/>
      <c r="AR143" s="62"/>
      <c r="AS143" s="62"/>
      <c r="AT143" s="62"/>
      <c r="AU143" s="21"/>
    </row>
    <row r="144" spans="1:47" ht="12" x14ac:dyDescent="0.2">
      <c r="A144" s="21"/>
      <c r="B144" s="21"/>
      <c r="C144" s="21"/>
      <c r="D144" s="21"/>
      <c r="E144" s="21"/>
      <c r="F144" s="21"/>
      <c r="G144" s="21"/>
      <c r="H144" s="100"/>
      <c r="I144" s="101"/>
      <c r="J144" s="100"/>
      <c r="K144" s="101"/>
      <c r="L144" s="101"/>
      <c r="M144" s="101"/>
      <c r="N144" s="101"/>
      <c r="P144" s="101"/>
      <c r="Q144" s="101"/>
      <c r="R144" s="104"/>
      <c r="S144" s="101"/>
      <c r="T144" s="117"/>
      <c r="U144" s="101"/>
      <c r="V144" s="62"/>
      <c r="W144" s="101"/>
      <c r="X144" s="117"/>
      <c r="Y144" s="117"/>
      <c r="Z144" s="62"/>
      <c r="AA144" s="117"/>
      <c r="AB144" s="117"/>
      <c r="AC144" s="117"/>
      <c r="AD144" s="62"/>
      <c r="AE144" s="117"/>
      <c r="AF144" s="117"/>
      <c r="AG144" s="62"/>
      <c r="AH144" s="117"/>
      <c r="AI144" s="117"/>
      <c r="AJ144" s="62"/>
      <c r="AK144" s="117"/>
      <c r="AL144" s="117"/>
      <c r="AM144" s="62"/>
      <c r="AN144" s="62"/>
      <c r="AO144" s="62"/>
      <c r="AP144" s="62"/>
      <c r="AQ144" s="62"/>
      <c r="AR144" s="62"/>
      <c r="AS144" s="62"/>
      <c r="AT144" s="62"/>
      <c r="AU144" s="21"/>
    </row>
    <row r="145" spans="1:47" ht="12" x14ac:dyDescent="0.2">
      <c r="A145" s="21"/>
      <c r="B145" s="21"/>
      <c r="C145" s="21"/>
      <c r="D145" s="21"/>
      <c r="E145" s="21"/>
      <c r="F145" s="21"/>
      <c r="G145" s="21"/>
      <c r="H145" s="100"/>
      <c r="I145" s="101"/>
      <c r="J145" s="100"/>
      <c r="K145" s="101"/>
      <c r="L145" s="101"/>
      <c r="M145" s="101"/>
      <c r="N145" s="101"/>
      <c r="P145" s="101"/>
      <c r="Q145" s="101"/>
      <c r="R145" s="104"/>
      <c r="S145" s="101"/>
      <c r="T145" s="117"/>
      <c r="U145" s="101"/>
      <c r="V145" s="62"/>
      <c r="W145" s="101"/>
      <c r="X145" s="117"/>
      <c r="Y145" s="117"/>
      <c r="Z145" s="62"/>
      <c r="AA145" s="117"/>
      <c r="AB145" s="117"/>
      <c r="AC145" s="117"/>
      <c r="AD145" s="62"/>
      <c r="AE145" s="117"/>
      <c r="AF145" s="117"/>
      <c r="AG145" s="62"/>
      <c r="AH145" s="117"/>
      <c r="AI145" s="117"/>
      <c r="AJ145" s="62"/>
      <c r="AK145" s="117"/>
      <c r="AL145" s="117"/>
      <c r="AM145" s="62"/>
      <c r="AN145" s="62"/>
      <c r="AO145" s="62"/>
      <c r="AP145" s="62"/>
      <c r="AQ145" s="62"/>
      <c r="AR145" s="62"/>
      <c r="AS145" s="62"/>
      <c r="AT145" s="62"/>
      <c r="AU145" s="21"/>
    </row>
    <row r="146" spans="1:47" ht="12" x14ac:dyDescent="0.2">
      <c r="A146" s="21"/>
      <c r="B146" s="21"/>
      <c r="C146" s="21"/>
      <c r="D146" s="21"/>
      <c r="E146" s="21"/>
      <c r="F146" s="21"/>
      <c r="G146" s="21"/>
      <c r="H146" s="100"/>
      <c r="I146" s="101"/>
      <c r="J146" s="100"/>
      <c r="K146" s="101"/>
      <c r="L146" s="101"/>
      <c r="M146" s="101"/>
      <c r="N146" s="101"/>
      <c r="P146" s="101"/>
      <c r="Q146" s="101"/>
      <c r="R146" s="104"/>
      <c r="S146" s="101"/>
      <c r="T146" s="117"/>
      <c r="U146" s="101"/>
      <c r="V146" s="62"/>
      <c r="W146" s="101"/>
      <c r="X146" s="117"/>
      <c r="Y146" s="117"/>
      <c r="Z146" s="62"/>
      <c r="AA146" s="117"/>
      <c r="AB146" s="117"/>
      <c r="AC146" s="117"/>
      <c r="AD146" s="62"/>
      <c r="AE146" s="117"/>
      <c r="AF146" s="117"/>
      <c r="AG146" s="62"/>
      <c r="AH146" s="117"/>
      <c r="AI146" s="117"/>
      <c r="AJ146" s="62"/>
      <c r="AK146" s="117"/>
      <c r="AL146" s="117"/>
      <c r="AM146" s="62"/>
      <c r="AN146" s="62"/>
      <c r="AO146" s="62"/>
      <c r="AP146" s="62"/>
      <c r="AQ146" s="62"/>
      <c r="AR146" s="62"/>
      <c r="AS146" s="62"/>
      <c r="AT146" s="62"/>
      <c r="AU146" s="21"/>
    </row>
    <row r="147" spans="1:47" ht="12" x14ac:dyDescent="0.2">
      <c r="A147" s="21"/>
      <c r="B147" s="21"/>
      <c r="C147" s="21"/>
      <c r="D147" s="21"/>
      <c r="E147" s="21"/>
      <c r="F147" s="21"/>
      <c r="G147" s="21"/>
      <c r="H147" s="100"/>
      <c r="I147" s="101"/>
      <c r="J147" s="100"/>
      <c r="K147" s="101"/>
      <c r="L147" s="101"/>
      <c r="M147" s="101"/>
      <c r="N147" s="101"/>
      <c r="P147" s="101"/>
      <c r="Q147" s="101"/>
      <c r="R147" s="104"/>
      <c r="S147" s="101"/>
      <c r="T147" s="117"/>
      <c r="U147" s="101"/>
      <c r="V147" s="62"/>
      <c r="W147" s="101"/>
      <c r="X147" s="117"/>
      <c r="Y147" s="117"/>
      <c r="Z147" s="62"/>
      <c r="AA147" s="117"/>
      <c r="AB147" s="117"/>
      <c r="AC147" s="117"/>
      <c r="AD147" s="62"/>
      <c r="AE147" s="117"/>
      <c r="AF147" s="117"/>
      <c r="AG147" s="62"/>
      <c r="AH147" s="117"/>
      <c r="AI147" s="117"/>
      <c r="AJ147" s="62"/>
      <c r="AK147" s="117"/>
      <c r="AL147" s="117"/>
      <c r="AM147" s="62"/>
      <c r="AN147" s="62"/>
      <c r="AO147" s="62"/>
      <c r="AP147" s="62"/>
      <c r="AQ147" s="62"/>
      <c r="AR147" s="62"/>
      <c r="AS147" s="62"/>
      <c r="AT147" s="62"/>
      <c r="AU147" s="21"/>
    </row>
    <row r="148" spans="1:47" ht="12" x14ac:dyDescent="0.2">
      <c r="A148" s="21"/>
      <c r="B148" s="21"/>
      <c r="C148" s="21"/>
      <c r="D148" s="21"/>
      <c r="E148" s="21"/>
      <c r="F148" s="21"/>
      <c r="G148" s="21"/>
      <c r="H148" s="100"/>
      <c r="I148" s="101"/>
      <c r="J148" s="100"/>
      <c r="K148" s="101"/>
      <c r="L148" s="101"/>
      <c r="M148" s="101"/>
      <c r="N148" s="101"/>
      <c r="P148" s="101"/>
      <c r="Q148" s="101"/>
      <c r="R148" s="104"/>
      <c r="S148" s="101"/>
      <c r="T148" s="117"/>
      <c r="U148" s="101"/>
      <c r="V148" s="62"/>
      <c r="W148" s="101"/>
      <c r="X148" s="117"/>
      <c r="Y148" s="117"/>
      <c r="Z148" s="62"/>
      <c r="AA148" s="117"/>
      <c r="AB148" s="117"/>
      <c r="AC148" s="117"/>
      <c r="AD148" s="62"/>
      <c r="AE148" s="117"/>
      <c r="AF148" s="117"/>
      <c r="AG148" s="62"/>
      <c r="AH148" s="117"/>
      <c r="AI148" s="117"/>
      <c r="AJ148" s="62"/>
      <c r="AK148" s="117"/>
      <c r="AL148" s="117"/>
      <c r="AM148" s="62"/>
      <c r="AN148" s="62"/>
      <c r="AO148" s="62"/>
      <c r="AP148" s="62"/>
      <c r="AQ148" s="62"/>
      <c r="AR148" s="62"/>
      <c r="AS148" s="62"/>
      <c r="AT148" s="62"/>
      <c r="AU148" s="21"/>
    </row>
    <row r="149" spans="1:47" ht="12" x14ac:dyDescent="0.2">
      <c r="A149" s="21"/>
      <c r="B149" s="21"/>
      <c r="C149" s="21"/>
      <c r="D149" s="21"/>
      <c r="E149" s="21"/>
      <c r="F149" s="21"/>
      <c r="G149" s="21"/>
      <c r="H149" s="100"/>
      <c r="I149" s="101"/>
      <c r="J149" s="100"/>
      <c r="K149" s="101"/>
      <c r="L149" s="101"/>
      <c r="M149" s="101"/>
      <c r="N149" s="101"/>
      <c r="P149" s="101"/>
      <c r="Q149" s="101"/>
      <c r="R149" s="104"/>
      <c r="S149" s="101"/>
      <c r="T149" s="117"/>
      <c r="U149" s="101"/>
      <c r="V149" s="62"/>
      <c r="W149" s="101"/>
      <c r="X149" s="117"/>
      <c r="Y149" s="117"/>
      <c r="Z149" s="62"/>
      <c r="AA149" s="117"/>
      <c r="AB149" s="117"/>
      <c r="AC149" s="117"/>
      <c r="AD149" s="62"/>
      <c r="AE149" s="117"/>
      <c r="AF149" s="117"/>
      <c r="AG149" s="62"/>
      <c r="AH149" s="117"/>
      <c r="AI149" s="117"/>
      <c r="AJ149" s="62"/>
      <c r="AK149" s="117"/>
      <c r="AL149" s="117"/>
      <c r="AM149" s="62"/>
      <c r="AN149" s="62"/>
      <c r="AO149" s="62"/>
      <c r="AP149" s="62"/>
      <c r="AQ149" s="62"/>
      <c r="AR149" s="62"/>
      <c r="AS149" s="62"/>
      <c r="AT149" s="62"/>
      <c r="AU149" s="21"/>
    </row>
    <row r="150" spans="1:47" ht="12" x14ac:dyDescent="0.2">
      <c r="A150" s="21"/>
      <c r="B150" s="21"/>
      <c r="C150" s="21"/>
      <c r="D150" s="21"/>
      <c r="E150" s="21"/>
      <c r="F150" s="21"/>
      <c r="G150" s="21"/>
      <c r="H150" s="100"/>
      <c r="I150" s="101"/>
      <c r="J150" s="100"/>
      <c r="K150" s="101"/>
      <c r="L150" s="101"/>
      <c r="M150" s="101"/>
      <c r="N150" s="101"/>
      <c r="P150" s="101"/>
      <c r="Q150" s="101"/>
      <c r="R150" s="104"/>
      <c r="S150" s="101"/>
      <c r="T150" s="117"/>
      <c r="U150" s="101"/>
      <c r="V150" s="62"/>
      <c r="W150" s="101"/>
      <c r="X150" s="117"/>
      <c r="Y150" s="117"/>
      <c r="Z150" s="62"/>
      <c r="AA150" s="117"/>
      <c r="AB150" s="117"/>
      <c r="AC150" s="117"/>
      <c r="AD150" s="62"/>
      <c r="AE150" s="117"/>
      <c r="AF150" s="117"/>
      <c r="AG150" s="62"/>
      <c r="AH150" s="117"/>
      <c r="AI150" s="117"/>
      <c r="AJ150" s="62"/>
      <c r="AK150" s="117"/>
      <c r="AL150" s="117"/>
      <c r="AM150" s="62"/>
      <c r="AN150" s="62"/>
      <c r="AO150" s="62"/>
      <c r="AP150" s="62"/>
      <c r="AQ150" s="62"/>
      <c r="AR150" s="62"/>
      <c r="AS150" s="62"/>
      <c r="AT150" s="62"/>
      <c r="AU150" s="21"/>
    </row>
    <row r="151" spans="1:47" ht="12" x14ac:dyDescent="0.2">
      <c r="A151" s="21"/>
      <c r="B151" s="21"/>
      <c r="C151" s="21"/>
      <c r="D151" s="21"/>
      <c r="E151" s="21"/>
      <c r="F151" s="21"/>
      <c r="G151" s="21"/>
      <c r="H151" s="100"/>
      <c r="I151" s="101"/>
      <c r="J151" s="100"/>
      <c r="K151" s="101"/>
      <c r="L151" s="101"/>
      <c r="M151" s="101"/>
      <c r="N151" s="101"/>
      <c r="P151" s="101"/>
      <c r="Q151" s="101"/>
      <c r="R151" s="104"/>
      <c r="S151" s="101"/>
      <c r="T151" s="117"/>
      <c r="U151" s="101"/>
      <c r="V151" s="62"/>
      <c r="W151" s="101"/>
      <c r="X151" s="117"/>
      <c r="Y151" s="117"/>
      <c r="Z151" s="62"/>
      <c r="AA151" s="117"/>
      <c r="AB151" s="117"/>
      <c r="AC151" s="117"/>
      <c r="AD151" s="62"/>
      <c r="AE151" s="117"/>
      <c r="AF151" s="117"/>
      <c r="AG151" s="62"/>
      <c r="AH151" s="117"/>
      <c r="AI151" s="117"/>
      <c r="AJ151" s="62"/>
      <c r="AK151" s="117"/>
      <c r="AL151" s="117"/>
      <c r="AM151" s="62"/>
      <c r="AN151" s="62"/>
      <c r="AO151" s="62"/>
      <c r="AP151" s="62"/>
      <c r="AQ151" s="62"/>
      <c r="AR151" s="62"/>
      <c r="AS151" s="62"/>
      <c r="AT151" s="62"/>
      <c r="AU151" s="21"/>
    </row>
    <row r="152" spans="1:47" ht="12" x14ac:dyDescent="0.2">
      <c r="A152" s="21"/>
      <c r="B152" s="21"/>
      <c r="C152" s="21"/>
      <c r="D152" s="21"/>
      <c r="E152" s="21"/>
      <c r="F152" s="21"/>
      <c r="G152" s="21"/>
      <c r="H152" s="100"/>
      <c r="I152" s="101"/>
      <c r="J152" s="100"/>
      <c r="K152" s="101"/>
      <c r="L152" s="101"/>
      <c r="M152" s="101"/>
      <c r="N152" s="101"/>
      <c r="P152" s="101"/>
      <c r="Q152" s="101"/>
      <c r="R152" s="104"/>
      <c r="S152" s="101"/>
      <c r="T152" s="117"/>
      <c r="U152" s="101"/>
      <c r="V152" s="62"/>
      <c r="W152" s="101"/>
      <c r="X152" s="117"/>
      <c r="Y152" s="117"/>
      <c r="Z152" s="62"/>
      <c r="AA152" s="117"/>
      <c r="AB152" s="117"/>
      <c r="AC152" s="117"/>
      <c r="AD152" s="62"/>
      <c r="AE152" s="117"/>
      <c r="AF152" s="117"/>
      <c r="AG152" s="62"/>
      <c r="AH152" s="117"/>
      <c r="AI152" s="117"/>
      <c r="AJ152" s="62"/>
      <c r="AK152" s="117"/>
      <c r="AL152" s="117"/>
      <c r="AM152" s="62"/>
      <c r="AN152" s="62"/>
      <c r="AO152" s="62"/>
      <c r="AP152" s="62"/>
      <c r="AQ152" s="62"/>
      <c r="AR152" s="62"/>
      <c r="AS152" s="62"/>
      <c r="AT152" s="62"/>
      <c r="AU152" s="21"/>
    </row>
    <row r="153" spans="1:47" ht="12" x14ac:dyDescent="0.2">
      <c r="A153" s="21"/>
      <c r="B153" s="21"/>
      <c r="C153" s="21"/>
      <c r="D153" s="21"/>
      <c r="E153" s="21"/>
      <c r="F153" s="21"/>
      <c r="G153" s="21"/>
      <c r="H153" s="100"/>
      <c r="I153" s="101"/>
      <c r="J153" s="100"/>
      <c r="K153" s="101"/>
      <c r="L153" s="101"/>
      <c r="M153" s="101"/>
      <c r="N153" s="101"/>
      <c r="P153" s="101"/>
      <c r="Q153" s="101"/>
      <c r="R153" s="104"/>
      <c r="S153" s="101"/>
      <c r="T153" s="117"/>
      <c r="U153" s="101"/>
      <c r="V153" s="62"/>
      <c r="W153" s="101"/>
      <c r="X153" s="117"/>
      <c r="Y153" s="117"/>
      <c r="Z153" s="62"/>
      <c r="AA153" s="117"/>
      <c r="AB153" s="117"/>
      <c r="AC153" s="117"/>
      <c r="AD153" s="62"/>
      <c r="AE153" s="117"/>
      <c r="AF153" s="117"/>
      <c r="AG153" s="62"/>
      <c r="AH153" s="117"/>
      <c r="AI153" s="117"/>
      <c r="AJ153" s="62"/>
      <c r="AK153" s="117"/>
      <c r="AL153" s="117"/>
      <c r="AM153" s="62"/>
      <c r="AN153" s="62"/>
      <c r="AO153" s="62"/>
      <c r="AP153" s="62"/>
      <c r="AQ153" s="62"/>
      <c r="AR153" s="62"/>
      <c r="AS153" s="62"/>
      <c r="AT153" s="62"/>
      <c r="AU153" s="21"/>
    </row>
    <row r="154" spans="1:47" ht="12" x14ac:dyDescent="0.2">
      <c r="A154" s="21"/>
      <c r="B154" s="21"/>
      <c r="C154" s="21"/>
      <c r="D154" s="21"/>
      <c r="E154" s="21"/>
      <c r="F154" s="21"/>
      <c r="G154" s="21"/>
      <c r="H154" s="100"/>
      <c r="I154" s="101"/>
      <c r="J154" s="100"/>
      <c r="K154" s="101"/>
      <c r="L154" s="101"/>
      <c r="M154" s="101"/>
      <c r="N154" s="101"/>
      <c r="P154" s="101"/>
      <c r="Q154" s="101"/>
      <c r="R154" s="104"/>
      <c r="S154" s="101"/>
      <c r="T154" s="117"/>
      <c r="U154" s="101"/>
      <c r="V154" s="62"/>
      <c r="W154" s="101"/>
      <c r="X154" s="117"/>
      <c r="Y154" s="117"/>
      <c r="Z154" s="62"/>
      <c r="AA154" s="117"/>
      <c r="AB154" s="117"/>
      <c r="AC154" s="117"/>
      <c r="AD154" s="62"/>
      <c r="AE154" s="117"/>
      <c r="AF154" s="117"/>
      <c r="AG154" s="62"/>
      <c r="AH154" s="117"/>
      <c r="AI154" s="117"/>
      <c r="AJ154" s="62"/>
      <c r="AK154" s="117"/>
      <c r="AL154" s="117"/>
      <c r="AM154" s="62"/>
      <c r="AN154" s="62"/>
      <c r="AO154" s="62"/>
      <c r="AP154" s="62"/>
      <c r="AQ154" s="62"/>
      <c r="AR154" s="62"/>
      <c r="AS154" s="62"/>
      <c r="AT154" s="62"/>
      <c r="AU154" s="21"/>
    </row>
    <row r="155" spans="1:47" ht="12" x14ac:dyDescent="0.2">
      <c r="A155" s="21"/>
      <c r="B155" s="21"/>
      <c r="C155" s="21"/>
      <c r="D155" s="21"/>
      <c r="E155" s="21"/>
      <c r="F155" s="21"/>
      <c r="G155" s="21"/>
      <c r="H155" s="100"/>
      <c r="I155" s="101"/>
      <c r="J155" s="100"/>
      <c r="K155" s="101"/>
      <c r="L155" s="101"/>
      <c r="M155" s="101"/>
      <c r="N155" s="101"/>
      <c r="P155" s="101"/>
      <c r="Q155" s="101"/>
      <c r="R155" s="104"/>
      <c r="S155" s="101"/>
      <c r="T155" s="117"/>
      <c r="U155" s="101"/>
      <c r="V155" s="62"/>
      <c r="W155" s="101"/>
      <c r="X155" s="117"/>
      <c r="Y155" s="117"/>
      <c r="Z155" s="62"/>
      <c r="AA155" s="117"/>
      <c r="AB155" s="117"/>
      <c r="AC155" s="117"/>
      <c r="AD155" s="62"/>
      <c r="AE155" s="117"/>
      <c r="AF155" s="117"/>
      <c r="AG155" s="62"/>
      <c r="AH155" s="117"/>
      <c r="AI155" s="117"/>
      <c r="AJ155" s="62"/>
      <c r="AK155" s="117"/>
      <c r="AL155" s="117"/>
      <c r="AM155" s="62"/>
      <c r="AN155" s="62"/>
      <c r="AO155" s="62"/>
      <c r="AP155" s="62"/>
      <c r="AQ155" s="62"/>
      <c r="AR155" s="62"/>
      <c r="AS155" s="62"/>
      <c r="AT155" s="62"/>
      <c r="AU155" s="21"/>
    </row>
    <row r="156" spans="1:47" ht="12" x14ac:dyDescent="0.2">
      <c r="A156" s="21"/>
      <c r="B156" s="21"/>
      <c r="C156" s="21"/>
      <c r="D156" s="21"/>
      <c r="E156" s="21"/>
      <c r="F156" s="21"/>
      <c r="G156" s="21"/>
      <c r="H156" s="100"/>
      <c r="I156" s="101"/>
      <c r="J156" s="100"/>
      <c r="K156" s="101"/>
      <c r="L156" s="101"/>
      <c r="M156" s="101"/>
      <c r="N156" s="101"/>
      <c r="P156" s="101"/>
      <c r="Q156" s="101"/>
      <c r="R156" s="104"/>
      <c r="S156" s="101"/>
      <c r="T156" s="117"/>
      <c r="U156" s="101"/>
      <c r="V156" s="62"/>
      <c r="W156" s="101"/>
      <c r="X156" s="117"/>
      <c r="Y156" s="117"/>
      <c r="Z156" s="62"/>
      <c r="AA156" s="117"/>
      <c r="AB156" s="117"/>
      <c r="AC156" s="117"/>
      <c r="AD156" s="62"/>
      <c r="AE156" s="117"/>
      <c r="AF156" s="117"/>
      <c r="AG156" s="62"/>
      <c r="AH156" s="117"/>
      <c r="AI156" s="117"/>
      <c r="AJ156" s="62"/>
      <c r="AK156" s="117"/>
      <c r="AL156" s="117"/>
      <c r="AM156" s="62"/>
      <c r="AN156" s="62"/>
      <c r="AO156" s="62"/>
      <c r="AP156" s="62"/>
      <c r="AQ156" s="62"/>
      <c r="AR156" s="62"/>
      <c r="AS156" s="62"/>
      <c r="AT156" s="62"/>
      <c r="AU156" s="21"/>
    </row>
    <row r="157" spans="1:47" ht="12" x14ac:dyDescent="0.2">
      <c r="A157" s="21"/>
      <c r="B157" s="21"/>
      <c r="C157" s="21"/>
      <c r="D157" s="21"/>
      <c r="E157" s="21"/>
      <c r="F157" s="21"/>
      <c r="G157" s="21"/>
      <c r="H157" s="100"/>
      <c r="I157" s="101"/>
      <c r="J157" s="100"/>
      <c r="K157" s="101"/>
      <c r="L157" s="101"/>
      <c r="M157" s="101"/>
      <c r="N157" s="101"/>
      <c r="P157" s="101"/>
      <c r="Q157" s="101"/>
      <c r="R157" s="104"/>
      <c r="S157" s="101"/>
      <c r="T157" s="117"/>
      <c r="U157" s="101"/>
      <c r="V157" s="62"/>
      <c r="W157" s="101"/>
      <c r="X157" s="117"/>
      <c r="Y157" s="117"/>
      <c r="Z157" s="62"/>
      <c r="AA157" s="117"/>
      <c r="AB157" s="117"/>
      <c r="AC157" s="117"/>
      <c r="AD157" s="62"/>
      <c r="AE157" s="117"/>
      <c r="AF157" s="117"/>
      <c r="AG157" s="62"/>
      <c r="AH157" s="117"/>
      <c r="AI157" s="117"/>
      <c r="AJ157" s="62"/>
      <c r="AK157" s="117"/>
      <c r="AL157" s="117"/>
      <c r="AM157" s="62"/>
      <c r="AN157" s="62"/>
      <c r="AO157" s="62"/>
      <c r="AP157" s="62"/>
      <c r="AQ157" s="62"/>
      <c r="AR157" s="62"/>
      <c r="AS157" s="62"/>
      <c r="AT157" s="62"/>
      <c r="AU157" s="21"/>
    </row>
    <row r="158" spans="1:47" ht="12" x14ac:dyDescent="0.2">
      <c r="A158" s="21"/>
      <c r="B158" s="21"/>
      <c r="C158" s="21"/>
      <c r="D158" s="21"/>
      <c r="E158" s="21"/>
      <c r="F158" s="21"/>
      <c r="G158" s="21"/>
      <c r="H158" s="100"/>
      <c r="I158" s="101"/>
      <c r="J158" s="100"/>
      <c r="K158" s="101"/>
      <c r="L158" s="101"/>
      <c r="M158" s="101"/>
      <c r="N158" s="101"/>
      <c r="P158" s="101"/>
      <c r="Q158" s="101"/>
      <c r="R158" s="104"/>
      <c r="S158" s="101"/>
      <c r="T158" s="117"/>
      <c r="U158" s="101"/>
      <c r="V158" s="62"/>
      <c r="W158" s="101"/>
      <c r="X158" s="117"/>
      <c r="Y158" s="117"/>
      <c r="Z158" s="62"/>
      <c r="AA158" s="117"/>
      <c r="AB158" s="117"/>
      <c r="AC158" s="117"/>
      <c r="AD158" s="62"/>
      <c r="AE158" s="117"/>
      <c r="AF158" s="117"/>
      <c r="AG158" s="62"/>
      <c r="AH158" s="117"/>
      <c r="AI158" s="117"/>
      <c r="AJ158" s="62"/>
      <c r="AK158" s="117"/>
      <c r="AL158" s="117"/>
      <c r="AM158" s="62"/>
      <c r="AN158" s="62"/>
      <c r="AO158" s="62"/>
      <c r="AP158" s="62"/>
      <c r="AQ158" s="62"/>
      <c r="AR158" s="62"/>
      <c r="AS158" s="62"/>
      <c r="AT158" s="62"/>
      <c r="AU158" s="21"/>
    </row>
    <row r="159" spans="1:47" ht="12" x14ac:dyDescent="0.2">
      <c r="A159" s="21"/>
      <c r="B159" s="21"/>
      <c r="C159" s="21"/>
      <c r="D159" s="21"/>
      <c r="E159" s="21"/>
      <c r="F159" s="21"/>
      <c r="G159" s="21"/>
      <c r="H159" s="100"/>
      <c r="I159" s="101"/>
      <c r="J159" s="100"/>
      <c r="K159" s="101"/>
      <c r="L159" s="101"/>
      <c r="M159" s="101"/>
      <c r="N159" s="101"/>
      <c r="P159" s="101"/>
      <c r="Q159" s="101"/>
      <c r="R159" s="104"/>
      <c r="S159" s="101"/>
      <c r="T159" s="117"/>
      <c r="U159" s="101"/>
      <c r="V159" s="62"/>
      <c r="W159" s="101"/>
      <c r="X159" s="117"/>
      <c r="Y159" s="117"/>
      <c r="Z159" s="62"/>
      <c r="AA159" s="117"/>
      <c r="AB159" s="117"/>
      <c r="AC159" s="117"/>
      <c r="AD159" s="62"/>
      <c r="AE159" s="117"/>
      <c r="AF159" s="117"/>
      <c r="AG159" s="62"/>
      <c r="AH159" s="117"/>
      <c r="AI159" s="117"/>
      <c r="AJ159" s="62"/>
      <c r="AK159" s="117"/>
      <c r="AL159" s="117"/>
      <c r="AM159" s="62"/>
      <c r="AN159" s="62"/>
      <c r="AO159" s="62"/>
      <c r="AP159" s="62"/>
      <c r="AQ159" s="62"/>
      <c r="AR159" s="62"/>
      <c r="AS159" s="62"/>
      <c r="AT159" s="62"/>
      <c r="AU159" s="21"/>
    </row>
    <row r="160" spans="1:47" ht="12" x14ac:dyDescent="0.2">
      <c r="A160" s="21"/>
      <c r="B160" s="21"/>
      <c r="C160" s="21"/>
      <c r="D160" s="21"/>
      <c r="E160" s="21"/>
      <c r="F160" s="21"/>
      <c r="G160" s="21"/>
      <c r="H160" s="100"/>
      <c r="I160" s="101"/>
      <c r="J160" s="100"/>
      <c r="K160" s="101"/>
      <c r="L160" s="101"/>
      <c r="M160" s="101"/>
      <c r="N160" s="101"/>
      <c r="P160" s="101"/>
      <c r="Q160" s="101"/>
      <c r="R160" s="104"/>
      <c r="S160" s="101"/>
      <c r="T160" s="117"/>
      <c r="U160" s="101"/>
      <c r="V160" s="62"/>
      <c r="W160" s="101"/>
      <c r="X160" s="117"/>
      <c r="Y160" s="117"/>
      <c r="Z160" s="62"/>
      <c r="AA160" s="117"/>
      <c r="AB160" s="117"/>
      <c r="AC160" s="117"/>
      <c r="AD160" s="62"/>
      <c r="AE160" s="117"/>
      <c r="AF160" s="117"/>
      <c r="AG160" s="62"/>
      <c r="AH160" s="117"/>
      <c r="AI160" s="117"/>
      <c r="AJ160" s="62"/>
      <c r="AK160" s="117"/>
      <c r="AL160" s="117"/>
      <c r="AM160" s="62"/>
      <c r="AN160" s="62"/>
      <c r="AO160" s="62"/>
      <c r="AP160" s="62"/>
      <c r="AQ160" s="62"/>
      <c r="AR160" s="62"/>
      <c r="AS160" s="62"/>
      <c r="AT160" s="62"/>
      <c r="AU160" s="21"/>
    </row>
    <row r="161" spans="1:47" ht="12" x14ac:dyDescent="0.2">
      <c r="A161" s="21"/>
      <c r="B161" s="21"/>
      <c r="C161" s="21"/>
      <c r="D161" s="21"/>
      <c r="E161" s="21"/>
      <c r="F161" s="21"/>
      <c r="G161" s="21"/>
      <c r="H161" s="100"/>
      <c r="I161" s="101"/>
      <c r="J161" s="100"/>
      <c r="K161" s="101"/>
      <c r="L161" s="101"/>
      <c r="M161" s="101"/>
      <c r="N161" s="101"/>
      <c r="P161" s="101"/>
      <c r="Q161" s="101"/>
      <c r="R161" s="104"/>
      <c r="S161" s="101"/>
      <c r="T161" s="117"/>
      <c r="U161" s="101"/>
      <c r="V161" s="62"/>
      <c r="W161" s="101"/>
      <c r="X161" s="117"/>
      <c r="Y161" s="117"/>
      <c r="Z161" s="62"/>
      <c r="AA161" s="117"/>
      <c r="AB161" s="117"/>
      <c r="AC161" s="117"/>
      <c r="AD161" s="62"/>
      <c r="AE161" s="117"/>
      <c r="AF161" s="117"/>
      <c r="AG161" s="62"/>
      <c r="AH161" s="117"/>
      <c r="AI161" s="117"/>
      <c r="AJ161" s="62"/>
      <c r="AK161" s="117"/>
      <c r="AL161" s="117"/>
      <c r="AM161" s="62"/>
      <c r="AN161" s="62"/>
      <c r="AO161" s="62"/>
      <c r="AP161" s="62"/>
      <c r="AQ161" s="62"/>
      <c r="AR161" s="62"/>
      <c r="AS161" s="62"/>
      <c r="AT161" s="62"/>
      <c r="AU161" s="21"/>
    </row>
    <row r="162" spans="1:47" ht="12" x14ac:dyDescent="0.2">
      <c r="A162" s="21"/>
      <c r="B162" s="21"/>
      <c r="C162" s="21"/>
      <c r="D162" s="21"/>
      <c r="E162" s="21"/>
      <c r="F162" s="21"/>
      <c r="G162" s="21"/>
      <c r="H162" s="100"/>
      <c r="I162" s="101"/>
      <c r="J162" s="100"/>
      <c r="K162" s="101"/>
      <c r="L162" s="101"/>
      <c r="M162" s="101"/>
      <c r="N162" s="101"/>
      <c r="P162" s="101"/>
      <c r="Q162" s="101"/>
      <c r="R162" s="104"/>
      <c r="S162" s="101"/>
      <c r="T162" s="117"/>
      <c r="U162" s="101"/>
      <c r="V162" s="62"/>
      <c r="W162" s="101"/>
      <c r="X162" s="117"/>
      <c r="Y162" s="117"/>
      <c r="Z162" s="62"/>
      <c r="AA162" s="117"/>
      <c r="AB162" s="117"/>
      <c r="AC162" s="117"/>
      <c r="AD162" s="62"/>
      <c r="AE162" s="117"/>
      <c r="AF162" s="117"/>
      <c r="AG162" s="62"/>
      <c r="AH162" s="117"/>
      <c r="AI162" s="117"/>
      <c r="AJ162" s="62"/>
      <c r="AK162" s="117"/>
      <c r="AL162" s="117"/>
      <c r="AM162" s="62"/>
      <c r="AN162" s="62"/>
      <c r="AO162" s="62"/>
      <c r="AP162" s="62"/>
      <c r="AQ162" s="62"/>
      <c r="AR162" s="62"/>
      <c r="AS162" s="62"/>
      <c r="AT162" s="62"/>
      <c r="AU162" s="21"/>
    </row>
  </sheetData>
  <mergeCells count="2">
    <mergeCell ref="A4:B4"/>
    <mergeCell ref="A5:F5"/>
  </mergeCells>
  <phoneticPr fontId="3" type="noConversion"/>
  <pageMargins left="0.52" right="0.39" top="0.91" bottom="1" header="0.42" footer="0.5"/>
  <pageSetup scale="39" orientation="landscape" r:id="rId1"/>
  <headerFooter alignWithMargins="0">
    <oddHeader>&amp;L&amp;"Arial,Bold"&amp;12Homeland Security and Emergency Management Division&amp;R&amp;"Arial,Bold"&amp;12 Justice System Appropriations Subcommittee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V175"/>
  <sheetViews>
    <sheetView view="pageBreakPreview" zoomScale="60" zoomScaleNormal="70" workbookViewId="0">
      <selection activeCell="AO5" sqref="AO5"/>
    </sheetView>
  </sheetViews>
  <sheetFormatPr defaultColWidth="9.140625" defaultRowHeight="12" x14ac:dyDescent="0.2"/>
  <cols>
    <col min="1" max="1" width="2.140625" style="77" customWidth="1"/>
    <col min="2" max="2" width="24.42578125" style="77" customWidth="1"/>
    <col min="3" max="3" width="0.7109375" style="77" customWidth="1"/>
    <col min="4" max="4" width="17.140625" style="78" customWidth="1"/>
    <col min="5" max="5" width="1.140625" style="77" customWidth="1"/>
    <col min="6" max="6" width="18.28515625" style="79" customWidth="1"/>
    <col min="7" max="7" width="1" style="80" customWidth="1"/>
    <col min="8" max="8" width="41.7109375" style="79" customWidth="1"/>
    <col min="9" max="9" width="29.140625" style="80" hidden="1" customWidth="1"/>
    <col min="10" max="10" width="12.7109375" style="24" customWidth="1"/>
    <col min="11" max="11" width="1.28515625" style="21" customWidth="1"/>
    <col min="12" max="12" width="12.5703125" style="24" customWidth="1"/>
    <col min="13" max="13" width="1" style="21" customWidth="1"/>
    <col min="14" max="14" width="16" style="21" customWidth="1"/>
    <col min="15" max="15" width="0.5703125" style="21" customWidth="1"/>
    <col min="16" max="16" width="9.42578125" style="21" bestFit="1" customWidth="1"/>
    <col min="17" max="17" width="22" style="24" bestFit="1" customWidth="1"/>
    <col min="18" max="18" width="10.42578125" style="21" hidden="1" customWidth="1"/>
    <col min="19" max="19" width="0.85546875" style="21" hidden="1" customWidth="1"/>
    <col min="20" max="20" width="14" style="49" hidden="1" customWidth="1"/>
    <col min="21" max="21" width="0.85546875" style="21" hidden="1" customWidth="1"/>
    <col min="22" max="22" width="8.42578125" style="127" hidden="1" customWidth="1"/>
    <col min="23" max="23" width="1.7109375" style="21" hidden="1" customWidth="1"/>
    <col min="24" max="24" width="9.28515625" style="127" hidden="1" customWidth="1"/>
    <col min="25" max="25" width="10.42578125" style="127" hidden="1" customWidth="1"/>
    <col min="26" max="26" width="0.85546875" style="127" hidden="1" customWidth="1"/>
    <col min="27" max="27" width="14" style="197" hidden="1" customWidth="1"/>
    <col min="28" max="28" width="0.85546875" style="127" hidden="1" customWidth="1"/>
    <col min="29" max="29" width="8.42578125" style="127" hidden="1" customWidth="1"/>
    <col min="30" max="30" width="1.7109375" style="127" hidden="1" customWidth="1"/>
    <col min="31" max="31" width="9.28515625" style="127" hidden="1" customWidth="1"/>
    <col min="32" max="32" width="10" style="127" hidden="1" customWidth="1"/>
    <col min="33" max="33" width="1.7109375" style="127" hidden="1" customWidth="1"/>
    <col min="34" max="34" width="9.28515625" style="127" hidden="1" customWidth="1"/>
    <col min="35" max="35" width="10" style="127" hidden="1" customWidth="1"/>
    <col min="36" max="36" width="1.7109375" style="127" hidden="1" customWidth="1"/>
    <col min="37" max="37" width="9.28515625" style="127" hidden="1" customWidth="1"/>
    <col min="38" max="38" width="10" style="127" hidden="1" customWidth="1"/>
    <col min="39" max="39" width="1.7109375" style="127" hidden="1" customWidth="1"/>
    <col min="40" max="40" width="9.28515625" style="23" hidden="1" customWidth="1"/>
    <col min="41" max="41" width="1.140625" style="21" customWidth="1"/>
    <col min="42" max="42" width="10" style="127" customWidth="1"/>
    <col min="43" max="43" width="1.7109375" style="127" customWidth="1"/>
    <col min="44" max="45" width="9.28515625" style="127" customWidth="1"/>
    <col min="46" max="46" width="1.42578125" style="127" customWidth="1"/>
    <col min="47" max="47" width="9.28515625" style="127" customWidth="1"/>
    <col min="48" max="48" width="18.85546875" style="24" customWidth="1"/>
    <col min="49" max="49" width="1" style="21" customWidth="1"/>
    <col min="50" max="50" width="28" style="24" customWidth="1"/>
    <col min="51" max="277" width="9.140625" style="21"/>
    <col min="278" max="278" width="2.140625" style="21" customWidth="1"/>
    <col min="279" max="279" width="14" style="21" customWidth="1"/>
    <col min="280" max="280" width="0.7109375" style="21" customWidth="1"/>
    <col min="281" max="281" width="17.140625" style="21" customWidth="1"/>
    <col min="282" max="282" width="1.140625" style="21" customWidth="1"/>
    <col min="283" max="283" width="18.28515625" style="21" customWidth="1"/>
    <col min="284" max="284" width="1" style="21" customWidth="1"/>
    <col min="285" max="285" width="39.7109375" style="21" customWidth="1"/>
    <col min="286" max="286" width="1" style="21" customWidth="1"/>
    <col min="287" max="287" width="12.7109375" style="21" customWidth="1"/>
    <col min="288" max="288" width="1.28515625" style="21" customWidth="1"/>
    <col min="289" max="289" width="11.42578125" style="21" customWidth="1"/>
    <col min="290" max="290" width="1" style="21" customWidth="1"/>
    <col min="291" max="291" width="10.42578125" style="21" customWidth="1"/>
    <col min="292" max="292" width="0.85546875" style="21" customWidth="1"/>
    <col min="293" max="293" width="14" style="21" customWidth="1"/>
    <col min="294" max="294" width="0.85546875" style="21" customWidth="1"/>
    <col min="295" max="295" width="8.42578125" style="21" customWidth="1"/>
    <col min="296" max="296" width="1.7109375" style="21" customWidth="1"/>
    <col min="297" max="297" width="9.28515625" style="21" customWidth="1"/>
    <col min="298" max="298" width="16" style="21" customWidth="1"/>
    <col min="299" max="299" width="0.5703125" style="21" customWidth="1"/>
    <col min="300" max="300" width="9.42578125" style="21" bestFit="1" customWidth="1"/>
    <col min="301" max="301" width="1.140625" style="21" customWidth="1"/>
    <col min="302" max="533" width="9.140625" style="21"/>
    <col min="534" max="534" width="2.140625" style="21" customWidth="1"/>
    <col min="535" max="535" width="14" style="21" customWidth="1"/>
    <col min="536" max="536" width="0.7109375" style="21" customWidth="1"/>
    <col min="537" max="537" width="17.140625" style="21" customWidth="1"/>
    <col min="538" max="538" width="1.140625" style="21" customWidth="1"/>
    <col min="539" max="539" width="18.28515625" style="21" customWidth="1"/>
    <col min="540" max="540" width="1" style="21" customWidth="1"/>
    <col min="541" max="541" width="39.7109375" style="21" customWidth="1"/>
    <col min="542" max="542" width="1" style="21" customWidth="1"/>
    <col min="543" max="543" width="12.7109375" style="21" customWidth="1"/>
    <col min="544" max="544" width="1.28515625" style="21" customWidth="1"/>
    <col min="545" max="545" width="11.42578125" style="21" customWidth="1"/>
    <col min="546" max="546" width="1" style="21" customWidth="1"/>
    <col min="547" max="547" width="10.42578125" style="21" customWidth="1"/>
    <col min="548" max="548" width="0.85546875" style="21" customWidth="1"/>
    <col min="549" max="549" width="14" style="21" customWidth="1"/>
    <col min="550" max="550" width="0.85546875" style="21" customWidth="1"/>
    <col min="551" max="551" width="8.42578125" style="21" customWidth="1"/>
    <col min="552" max="552" width="1.7109375" style="21" customWidth="1"/>
    <col min="553" max="553" width="9.28515625" style="21" customWidth="1"/>
    <col min="554" max="554" width="16" style="21" customWidth="1"/>
    <col min="555" max="555" width="0.5703125" style="21" customWidth="1"/>
    <col min="556" max="556" width="9.42578125" style="21" bestFit="1" customWidth="1"/>
    <col min="557" max="557" width="1.140625" style="21" customWidth="1"/>
    <col min="558" max="789" width="9.140625" style="21"/>
    <col min="790" max="790" width="2.140625" style="21" customWidth="1"/>
    <col min="791" max="791" width="14" style="21" customWidth="1"/>
    <col min="792" max="792" width="0.7109375" style="21" customWidth="1"/>
    <col min="793" max="793" width="17.140625" style="21" customWidth="1"/>
    <col min="794" max="794" width="1.140625" style="21" customWidth="1"/>
    <col min="795" max="795" width="18.28515625" style="21" customWidth="1"/>
    <col min="796" max="796" width="1" style="21" customWidth="1"/>
    <col min="797" max="797" width="39.7109375" style="21" customWidth="1"/>
    <col min="798" max="798" width="1" style="21" customWidth="1"/>
    <col min="799" max="799" width="12.7109375" style="21" customWidth="1"/>
    <col min="800" max="800" width="1.28515625" style="21" customWidth="1"/>
    <col min="801" max="801" width="11.42578125" style="21" customWidth="1"/>
    <col min="802" max="802" width="1" style="21" customWidth="1"/>
    <col min="803" max="803" width="10.42578125" style="21" customWidth="1"/>
    <col min="804" max="804" width="0.85546875" style="21" customWidth="1"/>
    <col min="805" max="805" width="14" style="21" customWidth="1"/>
    <col min="806" max="806" width="0.85546875" style="21" customWidth="1"/>
    <col min="807" max="807" width="8.42578125" style="21" customWidth="1"/>
    <col min="808" max="808" width="1.7109375" style="21" customWidth="1"/>
    <col min="809" max="809" width="9.28515625" style="21" customWidth="1"/>
    <col min="810" max="810" width="16" style="21" customWidth="1"/>
    <col min="811" max="811" width="0.5703125" style="21" customWidth="1"/>
    <col min="812" max="812" width="9.42578125" style="21" bestFit="1" customWidth="1"/>
    <col min="813" max="813" width="1.140625" style="21" customWidth="1"/>
    <col min="814" max="1045" width="9.140625" style="21"/>
    <col min="1046" max="1046" width="2.140625" style="21" customWidth="1"/>
    <col min="1047" max="1047" width="14" style="21" customWidth="1"/>
    <col min="1048" max="1048" width="0.7109375" style="21" customWidth="1"/>
    <col min="1049" max="1049" width="17.140625" style="21" customWidth="1"/>
    <col min="1050" max="1050" width="1.140625" style="21" customWidth="1"/>
    <col min="1051" max="1051" width="18.28515625" style="21" customWidth="1"/>
    <col min="1052" max="1052" width="1" style="21" customWidth="1"/>
    <col min="1053" max="1053" width="39.7109375" style="21" customWidth="1"/>
    <col min="1054" max="1054" width="1" style="21" customWidth="1"/>
    <col min="1055" max="1055" width="12.7109375" style="21" customWidth="1"/>
    <col min="1056" max="1056" width="1.28515625" style="21" customWidth="1"/>
    <col min="1057" max="1057" width="11.42578125" style="21" customWidth="1"/>
    <col min="1058" max="1058" width="1" style="21" customWidth="1"/>
    <col min="1059" max="1059" width="10.42578125" style="21" customWidth="1"/>
    <col min="1060" max="1060" width="0.85546875" style="21" customWidth="1"/>
    <col min="1061" max="1061" width="14" style="21" customWidth="1"/>
    <col min="1062" max="1062" width="0.85546875" style="21" customWidth="1"/>
    <col min="1063" max="1063" width="8.42578125" style="21" customWidth="1"/>
    <col min="1064" max="1064" width="1.7109375" style="21" customWidth="1"/>
    <col min="1065" max="1065" width="9.28515625" style="21" customWidth="1"/>
    <col min="1066" max="1066" width="16" style="21" customWidth="1"/>
    <col min="1067" max="1067" width="0.5703125" style="21" customWidth="1"/>
    <col min="1068" max="1068" width="9.42578125" style="21" bestFit="1" customWidth="1"/>
    <col min="1069" max="1069" width="1.140625" style="21" customWidth="1"/>
    <col min="1070" max="1301" width="9.140625" style="21"/>
    <col min="1302" max="1302" width="2.140625" style="21" customWidth="1"/>
    <col min="1303" max="1303" width="14" style="21" customWidth="1"/>
    <col min="1304" max="1304" width="0.7109375" style="21" customWidth="1"/>
    <col min="1305" max="1305" width="17.140625" style="21" customWidth="1"/>
    <col min="1306" max="1306" width="1.140625" style="21" customWidth="1"/>
    <col min="1307" max="1307" width="18.28515625" style="21" customWidth="1"/>
    <col min="1308" max="1308" width="1" style="21" customWidth="1"/>
    <col min="1309" max="1309" width="39.7109375" style="21" customWidth="1"/>
    <col min="1310" max="1310" width="1" style="21" customWidth="1"/>
    <col min="1311" max="1311" width="12.7109375" style="21" customWidth="1"/>
    <col min="1312" max="1312" width="1.28515625" style="21" customWidth="1"/>
    <col min="1313" max="1313" width="11.42578125" style="21" customWidth="1"/>
    <col min="1314" max="1314" width="1" style="21" customWidth="1"/>
    <col min="1315" max="1315" width="10.42578125" style="21" customWidth="1"/>
    <col min="1316" max="1316" width="0.85546875" style="21" customWidth="1"/>
    <col min="1317" max="1317" width="14" style="21" customWidth="1"/>
    <col min="1318" max="1318" width="0.85546875" style="21" customWidth="1"/>
    <col min="1319" max="1319" width="8.42578125" style="21" customWidth="1"/>
    <col min="1320" max="1320" width="1.7109375" style="21" customWidth="1"/>
    <col min="1321" max="1321" width="9.28515625" style="21" customWidth="1"/>
    <col min="1322" max="1322" width="16" style="21" customWidth="1"/>
    <col min="1323" max="1323" width="0.5703125" style="21" customWidth="1"/>
    <col min="1324" max="1324" width="9.42578125" style="21" bestFit="1" customWidth="1"/>
    <col min="1325" max="1325" width="1.140625" style="21" customWidth="1"/>
    <col min="1326" max="1557" width="9.140625" style="21"/>
    <col min="1558" max="1558" width="2.140625" style="21" customWidth="1"/>
    <col min="1559" max="1559" width="14" style="21" customWidth="1"/>
    <col min="1560" max="1560" width="0.7109375" style="21" customWidth="1"/>
    <col min="1561" max="1561" width="17.140625" style="21" customWidth="1"/>
    <col min="1562" max="1562" width="1.140625" style="21" customWidth="1"/>
    <col min="1563" max="1563" width="18.28515625" style="21" customWidth="1"/>
    <col min="1564" max="1564" width="1" style="21" customWidth="1"/>
    <col min="1565" max="1565" width="39.7109375" style="21" customWidth="1"/>
    <col min="1566" max="1566" width="1" style="21" customWidth="1"/>
    <col min="1567" max="1567" width="12.7109375" style="21" customWidth="1"/>
    <col min="1568" max="1568" width="1.28515625" style="21" customWidth="1"/>
    <col min="1569" max="1569" width="11.42578125" style="21" customWidth="1"/>
    <col min="1570" max="1570" width="1" style="21" customWidth="1"/>
    <col min="1571" max="1571" width="10.42578125" style="21" customWidth="1"/>
    <col min="1572" max="1572" width="0.85546875" style="21" customWidth="1"/>
    <col min="1573" max="1573" width="14" style="21" customWidth="1"/>
    <col min="1574" max="1574" width="0.85546875" style="21" customWidth="1"/>
    <col min="1575" max="1575" width="8.42578125" style="21" customWidth="1"/>
    <col min="1576" max="1576" width="1.7109375" style="21" customWidth="1"/>
    <col min="1577" max="1577" width="9.28515625" style="21" customWidth="1"/>
    <col min="1578" max="1578" width="16" style="21" customWidth="1"/>
    <col min="1579" max="1579" width="0.5703125" style="21" customWidth="1"/>
    <col min="1580" max="1580" width="9.42578125" style="21" bestFit="1" customWidth="1"/>
    <col min="1581" max="1581" width="1.140625" style="21" customWidth="1"/>
    <col min="1582" max="1813" width="9.140625" style="21"/>
    <col min="1814" max="1814" width="2.140625" style="21" customWidth="1"/>
    <col min="1815" max="1815" width="14" style="21" customWidth="1"/>
    <col min="1816" max="1816" width="0.7109375" style="21" customWidth="1"/>
    <col min="1817" max="1817" width="17.140625" style="21" customWidth="1"/>
    <col min="1818" max="1818" width="1.140625" style="21" customWidth="1"/>
    <col min="1819" max="1819" width="18.28515625" style="21" customWidth="1"/>
    <col min="1820" max="1820" width="1" style="21" customWidth="1"/>
    <col min="1821" max="1821" width="39.7109375" style="21" customWidth="1"/>
    <col min="1822" max="1822" width="1" style="21" customWidth="1"/>
    <col min="1823" max="1823" width="12.7109375" style="21" customWidth="1"/>
    <col min="1824" max="1824" width="1.28515625" style="21" customWidth="1"/>
    <col min="1825" max="1825" width="11.42578125" style="21" customWidth="1"/>
    <col min="1826" max="1826" width="1" style="21" customWidth="1"/>
    <col min="1827" max="1827" width="10.42578125" style="21" customWidth="1"/>
    <col min="1828" max="1828" width="0.85546875" style="21" customWidth="1"/>
    <col min="1829" max="1829" width="14" style="21" customWidth="1"/>
    <col min="1830" max="1830" width="0.85546875" style="21" customWidth="1"/>
    <col min="1831" max="1831" width="8.42578125" style="21" customWidth="1"/>
    <col min="1832" max="1832" width="1.7109375" style="21" customWidth="1"/>
    <col min="1833" max="1833" width="9.28515625" style="21" customWidth="1"/>
    <col min="1834" max="1834" width="16" style="21" customWidth="1"/>
    <col min="1835" max="1835" width="0.5703125" style="21" customWidth="1"/>
    <col min="1836" max="1836" width="9.42578125" style="21" bestFit="1" customWidth="1"/>
    <col min="1837" max="1837" width="1.140625" style="21" customWidth="1"/>
    <col min="1838" max="2069" width="9.140625" style="21"/>
    <col min="2070" max="2070" width="2.140625" style="21" customWidth="1"/>
    <col min="2071" max="2071" width="14" style="21" customWidth="1"/>
    <col min="2072" max="2072" width="0.7109375" style="21" customWidth="1"/>
    <col min="2073" max="2073" width="17.140625" style="21" customWidth="1"/>
    <col min="2074" max="2074" width="1.140625" style="21" customWidth="1"/>
    <col min="2075" max="2075" width="18.28515625" style="21" customWidth="1"/>
    <col min="2076" max="2076" width="1" style="21" customWidth="1"/>
    <col min="2077" max="2077" width="39.7109375" style="21" customWidth="1"/>
    <col min="2078" max="2078" width="1" style="21" customWidth="1"/>
    <col min="2079" max="2079" width="12.7109375" style="21" customWidth="1"/>
    <col min="2080" max="2080" width="1.28515625" style="21" customWidth="1"/>
    <col min="2081" max="2081" width="11.42578125" style="21" customWidth="1"/>
    <col min="2082" max="2082" width="1" style="21" customWidth="1"/>
    <col min="2083" max="2083" width="10.42578125" style="21" customWidth="1"/>
    <col min="2084" max="2084" width="0.85546875" style="21" customWidth="1"/>
    <col min="2085" max="2085" width="14" style="21" customWidth="1"/>
    <col min="2086" max="2086" width="0.85546875" style="21" customWidth="1"/>
    <col min="2087" max="2087" width="8.42578125" style="21" customWidth="1"/>
    <col min="2088" max="2088" width="1.7109375" style="21" customWidth="1"/>
    <col min="2089" max="2089" width="9.28515625" style="21" customWidth="1"/>
    <col min="2090" max="2090" width="16" style="21" customWidth="1"/>
    <col min="2091" max="2091" width="0.5703125" style="21" customWidth="1"/>
    <col min="2092" max="2092" width="9.42578125" style="21" bestFit="1" customWidth="1"/>
    <col min="2093" max="2093" width="1.140625" style="21" customWidth="1"/>
    <col min="2094" max="2325" width="9.140625" style="21"/>
    <col min="2326" max="2326" width="2.140625" style="21" customWidth="1"/>
    <col min="2327" max="2327" width="14" style="21" customWidth="1"/>
    <col min="2328" max="2328" width="0.7109375" style="21" customWidth="1"/>
    <col min="2329" max="2329" width="17.140625" style="21" customWidth="1"/>
    <col min="2330" max="2330" width="1.140625" style="21" customWidth="1"/>
    <col min="2331" max="2331" width="18.28515625" style="21" customWidth="1"/>
    <col min="2332" max="2332" width="1" style="21" customWidth="1"/>
    <col min="2333" max="2333" width="39.7109375" style="21" customWidth="1"/>
    <col min="2334" max="2334" width="1" style="21" customWidth="1"/>
    <col min="2335" max="2335" width="12.7109375" style="21" customWidth="1"/>
    <col min="2336" max="2336" width="1.28515625" style="21" customWidth="1"/>
    <col min="2337" max="2337" width="11.42578125" style="21" customWidth="1"/>
    <col min="2338" max="2338" width="1" style="21" customWidth="1"/>
    <col min="2339" max="2339" width="10.42578125" style="21" customWidth="1"/>
    <col min="2340" max="2340" width="0.85546875" style="21" customWidth="1"/>
    <col min="2341" max="2341" width="14" style="21" customWidth="1"/>
    <col min="2342" max="2342" width="0.85546875" style="21" customWidth="1"/>
    <col min="2343" max="2343" width="8.42578125" style="21" customWidth="1"/>
    <col min="2344" max="2344" width="1.7109375" style="21" customWidth="1"/>
    <col min="2345" max="2345" width="9.28515625" style="21" customWidth="1"/>
    <col min="2346" max="2346" width="16" style="21" customWidth="1"/>
    <col min="2347" max="2347" width="0.5703125" style="21" customWidth="1"/>
    <col min="2348" max="2348" width="9.42578125" style="21" bestFit="1" customWidth="1"/>
    <col min="2349" max="2349" width="1.140625" style="21" customWidth="1"/>
    <col min="2350" max="2581" width="9.140625" style="21"/>
    <col min="2582" max="2582" width="2.140625" style="21" customWidth="1"/>
    <col min="2583" max="2583" width="14" style="21" customWidth="1"/>
    <col min="2584" max="2584" width="0.7109375" style="21" customWidth="1"/>
    <col min="2585" max="2585" width="17.140625" style="21" customWidth="1"/>
    <col min="2586" max="2586" width="1.140625" style="21" customWidth="1"/>
    <col min="2587" max="2587" width="18.28515625" style="21" customWidth="1"/>
    <col min="2588" max="2588" width="1" style="21" customWidth="1"/>
    <col min="2589" max="2589" width="39.7109375" style="21" customWidth="1"/>
    <col min="2590" max="2590" width="1" style="21" customWidth="1"/>
    <col min="2591" max="2591" width="12.7109375" style="21" customWidth="1"/>
    <col min="2592" max="2592" width="1.28515625" style="21" customWidth="1"/>
    <col min="2593" max="2593" width="11.42578125" style="21" customWidth="1"/>
    <col min="2594" max="2594" width="1" style="21" customWidth="1"/>
    <col min="2595" max="2595" width="10.42578125" style="21" customWidth="1"/>
    <col min="2596" max="2596" width="0.85546875" style="21" customWidth="1"/>
    <col min="2597" max="2597" width="14" style="21" customWidth="1"/>
    <col min="2598" max="2598" width="0.85546875" style="21" customWidth="1"/>
    <col min="2599" max="2599" width="8.42578125" style="21" customWidth="1"/>
    <col min="2600" max="2600" width="1.7109375" style="21" customWidth="1"/>
    <col min="2601" max="2601" width="9.28515625" style="21" customWidth="1"/>
    <col min="2602" max="2602" width="16" style="21" customWidth="1"/>
    <col min="2603" max="2603" width="0.5703125" style="21" customWidth="1"/>
    <col min="2604" max="2604" width="9.42578125" style="21" bestFit="1" customWidth="1"/>
    <col min="2605" max="2605" width="1.140625" style="21" customWidth="1"/>
    <col min="2606" max="2837" width="9.140625" style="21"/>
    <col min="2838" max="2838" width="2.140625" style="21" customWidth="1"/>
    <col min="2839" max="2839" width="14" style="21" customWidth="1"/>
    <col min="2840" max="2840" width="0.7109375" style="21" customWidth="1"/>
    <col min="2841" max="2841" width="17.140625" style="21" customWidth="1"/>
    <col min="2842" max="2842" width="1.140625" style="21" customWidth="1"/>
    <col min="2843" max="2843" width="18.28515625" style="21" customWidth="1"/>
    <col min="2844" max="2844" width="1" style="21" customWidth="1"/>
    <col min="2845" max="2845" width="39.7109375" style="21" customWidth="1"/>
    <col min="2846" max="2846" width="1" style="21" customWidth="1"/>
    <col min="2847" max="2847" width="12.7109375" style="21" customWidth="1"/>
    <col min="2848" max="2848" width="1.28515625" style="21" customWidth="1"/>
    <col min="2849" max="2849" width="11.42578125" style="21" customWidth="1"/>
    <col min="2850" max="2850" width="1" style="21" customWidth="1"/>
    <col min="2851" max="2851" width="10.42578125" style="21" customWidth="1"/>
    <col min="2852" max="2852" width="0.85546875" style="21" customWidth="1"/>
    <col min="2853" max="2853" width="14" style="21" customWidth="1"/>
    <col min="2854" max="2854" width="0.85546875" style="21" customWidth="1"/>
    <col min="2855" max="2855" width="8.42578125" style="21" customWidth="1"/>
    <col min="2856" max="2856" width="1.7109375" style="21" customWidth="1"/>
    <col min="2857" max="2857" width="9.28515625" style="21" customWidth="1"/>
    <col min="2858" max="2858" width="16" style="21" customWidth="1"/>
    <col min="2859" max="2859" width="0.5703125" style="21" customWidth="1"/>
    <col min="2860" max="2860" width="9.42578125" style="21" bestFit="1" customWidth="1"/>
    <col min="2861" max="2861" width="1.140625" style="21" customWidth="1"/>
    <col min="2862" max="3093" width="9.140625" style="21"/>
    <col min="3094" max="3094" width="2.140625" style="21" customWidth="1"/>
    <col min="3095" max="3095" width="14" style="21" customWidth="1"/>
    <col min="3096" max="3096" width="0.7109375" style="21" customWidth="1"/>
    <col min="3097" max="3097" width="17.140625" style="21" customWidth="1"/>
    <col min="3098" max="3098" width="1.140625" style="21" customWidth="1"/>
    <col min="3099" max="3099" width="18.28515625" style="21" customWidth="1"/>
    <col min="3100" max="3100" width="1" style="21" customWidth="1"/>
    <col min="3101" max="3101" width="39.7109375" style="21" customWidth="1"/>
    <col min="3102" max="3102" width="1" style="21" customWidth="1"/>
    <col min="3103" max="3103" width="12.7109375" style="21" customWidth="1"/>
    <col min="3104" max="3104" width="1.28515625" style="21" customWidth="1"/>
    <col min="3105" max="3105" width="11.42578125" style="21" customWidth="1"/>
    <col min="3106" max="3106" width="1" style="21" customWidth="1"/>
    <col min="3107" max="3107" width="10.42578125" style="21" customWidth="1"/>
    <col min="3108" max="3108" width="0.85546875" style="21" customWidth="1"/>
    <col min="3109" max="3109" width="14" style="21" customWidth="1"/>
    <col min="3110" max="3110" width="0.85546875" style="21" customWidth="1"/>
    <col min="3111" max="3111" width="8.42578125" style="21" customWidth="1"/>
    <col min="3112" max="3112" width="1.7109375" style="21" customWidth="1"/>
    <col min="3113" max="3113" width="9.28515625" style="21" customWidth="1"/>
    <col min="3114" max="3114" width="16" style="21" customWidth="1"/>
    <col min="3115" max="3115" width="0.5703125" style="21" customWidth="1"/>
    <col min="3116" max="3116" width="9.42578125" style="21" bestFit="1" customWidth="1"/>
    <col min="3117" max="3117" width="1.140625" style="21" customWidth="1"/>
    <col min="3118" max="3349" width="9.140625" style="21"/>
    <col min="3350" max="3350" width="2.140625" style="21" customWidth="1"/>
    <col min="3351" max="3351" width="14" style="21" customWidth="1"/>
    <col min="3352" max="3352" width="0.7109375" style="21" customWidth="1"/>
    <col min="3353" max="3353" width="17.140625" style="21" customWidth="1"/>
    <col min="3354" max="3354" width="1.140625" style="21" customWidth="1"/>
    <col min="3355" max="3355" width="18.28515625" style="21" customWidth="1"/>
    <col min="3356" max="3356" width="1" style="21" customWidth="1"/>
    <col min="3357" max="3357" width="39.7109375" style="21" customWidth="1"/>
    <col min="3358" max="3358" width="1" style="21" customWidth="1"/>
    <col min="3359" max="3359" width="12.7109375" style="21" customWidth="1"/>
    <col min="3360" max="3360" width="1.28515625" style="21" customWidth="1"/>
    <col min="3361" max="3361" width="11.42578125" style="21" customWidth="1"/>
    <col min="3362" max="3362" width="1" style="21" customWidth="1"/>
    <col min="3363" max="3363" width="10.42578125" style="21" customWidth="1"/>
    <col min="3364" max="3364" width="0.85546875" style="21" customWidth="1"/>
    <col min="3365" max="3365" width="14" style="21" customWidth="1"/>
    <col min="3366" max="3366" width="0.85546875" style="21" customWidth="1"/>
    <col min="3367" max="3367" width="8.42578125" style="21" customWidth="1"/>
    <col min="3368" max="3368" width="1.7109375" style="21" customWidth="1"/>
    <col min="3369" max="3369" width="9.28515625" style="21" customWidth="1"/>
    <col min="3370" max="3370" width="16" style="21" customWidth="1"/>
    <col min="3371" max="3371" width="0.5703125" style="21" customWidth="1"/>
    <col min="3372" max="3372" width="9.42578125" style="21" bestFit="1" customWidth="1"/>
    <col min="3373" max="3373" width="1.140625" style="21" customWidth="1"/>
    <col min="3374" max="3605" width="9.140625" style="21"/>
    <col min="3606" max="3606" width="2.140625" style="21" customWidth="1"/>
    <col min="3607" max="3607" width="14" style="21" customWidth="1"/>
    <col min="3608" max="3608" width="0.7109375" style="21" customWidth="1"/>
    <col min="3609" max="3609" width="17.140625" style="21" customWidth="1"/>
    <col min="3610" max="3610" width="1.140625" style="21" customWidth="1"/>
    <col min="3611" max="3611" width="18.28515625" style="21" customWidth="1"/>
    <col min="3612" max="3612" width="1" style="21" customWidth="1"/>
    <col min="3613" max="3613" width="39.7109375" style="21" customWidth="1"/>
    <col min="3614" max="3614" width="1" style="21" customWidth="1"/>
    <col min="3615" max="3615" width="12.7109375" style="21" customWidth="1"/>
    <col min="3616" max="3616" width="1.28515625" style="21" customWidth="1"/>
    <col min="3617" max="3617" width="11.42578125" style="21" customWidth="1"/>
    <col min="3618" max="3618" width="1" style="21" customWidth="1"/>
    <col min="3619" max="3619" width="10.42578125" style="21" customWidth="1"/>
    <col min="3620" max="3620" width="0.85546875" style="21" customWidth="1"/>
    <col min="3621" max="3621" width="14" style="21" customWidth="1"/>
    <col min="3622" max="3622" width="0.85546875" style="21" customWidth="1"/>
    <col min="3623" max="3623" width="8.42578125" style="21" customWidth="1"/>
    <col min="3624" max="3624" width="1.7109375" style="21" customWidth="1"/>
    <col min="3625" max="3625" width="9.28515625" style="21" customWidth="1"/>
    <col min="3626" max="3626" width="16" style="21" customWidth="1"/>
    <col min="3627" max="3627" width="0.5703125" style="21" customWidth="1"/>
    <col min="3628" max="3628" width="9.42578125" style="21" bestFit="1" customWidth="1"/>
    <col min="3629" max="3629" width="1.140625" style="21" customWidth="1"/>
    <col min="3630" max="3861" width="9.140625" style="21"/>
    <col min="3862" max="3862" width="2.140625" style="21" customWidth="1"/>
    <col min="3863" max="3863" width="14" style="21" customWidth="1"/>
    <col min="3864" max="3864" width="0.7109375" style="21" customWidth="1"/>
    <col min="3865" max="3865" width="17.140625" style="21" customWidth="1"/>
    <col min="3866" max="3866" width="1.140625" style="21" customWidth="1"/>
    <col min="3867" max="3867" width="18.28515625" style="21" customWidth="1"/>
    <col min="3868" max="3868" width="1" style="21" customWidth="1"/>
    <col min="3869" max="3869" width="39.7109375" style="21" customWidth="1"/>
    <col min="3870" max="3870" width="1" style="21" customWidth="1"/>
    <col min="3871" max="3871" width="12.7109375" style="21" customWidth="1"/>
    <col min="3872" max="3872" width="1.28515625" style="21" customWidth="1"/>
    <col min="3873" max="3873" width="11.42578125" style="21" customWidth="1"/>
    <col min="3874" max="3874" width="1" style="21" customWidth="1"/>
    <col min="3875" max="3875" width="10.42578125" style="21" customWidth="1"/>
    <col min="3876" max="3876" width="0.85546875" style="21" customWidth="1"/>
    <col min="3877" max="3877" width="14" style="21" customWidth="1"/>
    <col min="3878" max="3878" width="0.85546875" style="21" customWidth="1"/>
    <col min="3879" max="3879" width="8.42578125" style="21" customWidth="1"/>
    <col min="3880" max="3880" width="1.7109375" style="21" customWidth="1"/>
    <col min="3881" max="3881" width="9.28515625" style="21" customWidth="1"/>
    <col min="3882" max="3882" width="16" style="21" customWidth="1"/>
    <col min="3883" max="3883" width="0.5703125" style="21" customWidth="1"/>
    <col min="3884" max="3884" width="9.42578125" style="21" bestFit="1" customWidth="1"/>
    <col min="3885" max="3885" width="1.140625" style="21" customWidth="1"/>
    <col min="3886" max="4117" width="9.140625" style="21"/>
    <col min="4118" max="4118" width="2.140625" style="21" customWidth="1"/>
    <col min="4119" max="4119" width="14" style="21" customWidth="1"/>
    <col min="4120" max="4120" width="0.7109375" style="21" customWidth="1"/>
    <col min="4121" max="4121" width="17.140625" style="21" customWidth="1"/>
    <col min="4122" max="4122" width="1.140625" style="21" customWidth="1"/>
    <col min="4123" max="4123" width="18.28515625" style="21" customWidth="1"/>
    <col min="4124" max="4124" width="1" style="21" customWidth="1"/>
    <col min="4125" max="4125" width="39.7109375" style="21" customWidth="1"/>
    <col min="4126" max="4126" width="1" style="21" customWidth="1"/>
    <col min="4127" max="4127" width="12.7109375" style="21" customWidth="1"/>
    <col min="4128" max="4128" width="1.28515625" style="21" customWidth="1"/>
    <col min="4129" max="4129" width="11.42578125" style="21" customWidth="1"/>
    <col min="4130" max="4130" width="1" style="21" customWidth="1"/>
    <col min="4131" max="4131" width="10.42578125" style="21" customWidth="1"/>
    <col min="4132" max="4132" width="0.85546875" style="21" customWidth="1"/>
    <col min="4133" max="4133" width="14" style="21" customWidth="1"/>
    <col min="4134" max="4134" width="0.85546875" style="21" customWidth="1"/>
    <col min="4135" max="4135" width="8.42578125" style="21" customWidth="1"/>
    <col min="4136" max="4136" width="1.7109375" style="21" customWidth="1"/>
    <col min="4137" max="4137" width="9.28515625" style="21" customWidth="1"/>
    <col min="4138" max="4138" width="16" style="21" customWidth="1"/>
    <col min="4139" max="4139" width="0.5703125" style="21" customWidth="1"/>
    <col min="4140" max="4140" width="9.42578125" style="21" bestFit="1" customWidth="1"/>
    <col min="4141" max="4141" width="1.140625" style="21" customWidth="1"/>
    <col min="4142" max="4373" width="9.140625" style="21"/>
    <col min="4374" max="4374" width="2.140625" style="21" customWidth="1"/>
    <col min="4375" max="4375" width="14" style="21" customWidth="1"/>
    <col min="4376" max="4376" width="0.7109375" style="21" customWidth="1"/>
    <col min="4377" max="4377" width="17.140625" style="21" customWidth="1"/>
    <col min="4378" max="4378" width="1.140625" style="21" customWidth="1"/>
    <col min="4379" max="4379" width="18.28515625" style="21" customWidth="1"/>
    <col min="4380" max="4380" width="1" style="21" customWidth="1"/>
    <col min="4381" max="4381" width="39.7109375" style="21" customWidth="1"/>
    <col min="4382" max="4382" width="1" style="21" customWidth="1"/>
    <col min="4383" max="4383" width="12.7109375" style="21" customWidth="1"/>
    <col min="4384" max="4384" width="1.28515625" style="21" customWidth="1"/>
    <col min="4385" max="4385" width="11.42578125" style="21" customWidth="1"/>
    <col min="4386" max="4386" width="1" style="21" customWidth="1"/>
    <col min="4387" max="4387" width="10.42578125" style="21" customWidth="1"/>
    <col min="4388" max="4388" width="0.85546875" style="21" customWidth="1"/>
    <col min="4389" max="4389" width="14" style="21" customWidth="1"/>
    <col min="4390" max="4390" width="0.85546875" style="21" customWidth="1"/>
    <col min="4391" max="4391" width="8.42578125" style="21" customWidth="1"/>
    <col min="4392" max="4392" width="1.7109375" style="21" customWidth="1"/>
    <col min="4393" max="4393" width="9.28515625" style="21" customWidth="1"/>
    <col min="4394" max="4394" width="16" style="21" customWidth="1"/>
    <col min="4395" max="4395" width="0.5703125" style="21" customWidth="1"/>
    <col min="4396" max="4396" width="9.42578125" style="21" bestFit="1" customWidth="1"/>
    <col min="4397" max="4397" width="1.140625" style="21" customWidth="1"/>
    <col min="4398" max="4629" width="9.140625" style="21"/>
    <col min="4630" max="4630" width="2.140625" style="21" customWidth="1"/>
    <col min="4631" max="4631" width="14" style="21" customWidth="1"/>
    <col min="4632" max="4632" width="0.7109375" style="21" customWidth="1"/>
    <col min="4633" max="4633" width="17.140625" style="21" customWidth="1"/>
    <col min="4634" max="4634" width="1.140625" style="21" customWidth="1"/>
    <col min="4635" max="4635" width="18.28515625" style="21" customWidth="1"/>
    <col min="4636" max="4636" width="1" style="21" customWidth="1"/>
    <col min="4637" max="4637" width="39.7109375" style="21" customWidth="1"/>
    <col min="4638" max="4638" width="1" style="21" customWidth="1"/>
    <col min="4639" max="4639" width="12.7109375" style="21" customWidth="1"/>
    <col min="4640" max="4640" width="1.28515625" style="21" customWidth="1"/>
    <col min="4641" max="4641" width="11.42578125" style="21" customWidth="1"/>
    <col min="4642" max="4642" width="1" style="21" customWidth="1"/>
    <col min="4643" max="4643" width="10.42578125" style="21" customWidth="1"/>
    <col min="4644" max="4644" width="0.85546875" style="21" customWidth="1"/>
    <col min="4645" max="4645" width="14" style="21" customWidth="1"/>
    <col min="4646" max="4646" width="0.85546875" style="21" customWidth="1"/>
    <col min="4647" max="4647" width="8.42578125" style="21" customWidth="1"/>
    <col min="4648" max="4648" width="1.7109375" style="21" customWidth="1"/>
    <col min="4649" max="4649" width="9.28515625" style="21" customWidth="1"/>
    <col min="4650" max="4650" width="16" style="21" customWidth="1"/>
    <col min="4651" max="4651" width="0.5703125" style="21" customWidth="1"/>
    <col min="4652" max="4652" width="9.42578125" style="21" bestFit="1" customWidth="1"/>
    <col min="4653" max="4653" width="1.140625" style="21" customWidth="1"/>
    <col min="4654" max="4885" width="9.140625" style="21"/>
    <col min="4886" max="4886" width="2.140625" style="21" customWidth="1"/>
    <col min="4887" max="4887" width="14" style="21" customWidth="1"/>
    <col min="4888" max="4888" width="0.7109375" style="21" customWidth="1"/>
    <col min="4889" max="4889" width="17.140625" style="21" customWidth="1"/>
    <col min="4890" max="4890" width="1.140625" style="21" customWidth="1"/>
    <col min="4891" max="4891" width="18.28515625" style="21" customWidth="1"/>
    <col min="4892" max="4892" width="1" style="21" customWidth="1"/>
    <col min="4893" max="4893" width="39.7109375" style="21" customWidth="1"/>
    <col min="4894" max="4894" width="1" style="21" customWidth="1"/>
    <col min="4895" max="4895" width="12.7109375" style="21" customWidth="1"/>
    <col min="4896" max="4896" width="1.28515625" style="21" customWidth="1"/>
    <col min="4897" max="4897" width="11.42578125" style="21" customWidth="1"/>
    <col min="4898" max="4898" width="1" style="21" customWidth="1"/>
    <col min="4899" max="4899" width="10.42578125" style="21" customWidth="1"/>
    <col min="4900" max="4900" width="0.85546875" style="21" customWidth="1"/>
    <col min="4901" max="4901" width="14" style="21" customWidth="1"/>
    <col min="4902" max="4902" width="0.85546875" style="21" customWidth="1"/>
    <col min="4903" max="4903" width="8.42578125" style="21" customWidth="1"/>
    <col min="4904" max="4904" width="1.7109375" style="21" customWidth="1"/>
    <col min="4905" max="4905" width="9.28515625" style="21" customWidth="1"/>
    <col min="4906" max="4906" width="16" style="21" customWidth="1"/>
    <col min="4907" max="4907" width="0.5703125" style="21" customWidth="1"/>
    <col min="4908" max="4908" width="9.42578125" style="21" bestFit="1" customWidth="1"/>
    <col min="4909" max="4909" width="1.140625" style="21" customWidth="1"/>
    <col min="4910" max="5141" width="9.140625" style="21"/>
    <col min="5142" max="5142" width="2.140625" style="21" customWidth="1"/>
    <col min="5143" max="5143" width="14" style="21" customWidth="1"/>
    <col min="5144" max="5144" width="0.7109375" style="21" customWidth="1"/>
    <col min="5145" max="5145" width="17.140625" style="21" customWidth="1"/>
    <col min="5146" max="5146" width="1.140625" style="21" customWidth="1"/>
    <col min="5147" max="5147" width="18.28515625" style="21" customWidth="1"/>
    <col min="5148" max="5148" width="1" style="21" customWidth="1"/>
    <col min="5149" max="5149" width="39.7109375" style="21" customWidth="1"/>
    <col min="5150" max="5150" width="1" style="21" customWidth="1"/>
    <col min="5151" max="5151" width="12.7109375" style="21" customWidth="1"/>
    <col min="5152" max="5152" width="1.28515625" style="21" customWidth="1"/>
    <col min="5153" max="5153" width="11.42578125" style="21" customWidth="1"/>
    <col min="5154" max="5154" width="1" style="21" customWidth="1"/>
    <col min="5155" max="5155" width="10.42578125" style="21" customWidth="1"/>
    <col min="5156" max="5156" width="0.85546875" style="21" customWidth="1"/>
    <col min="5157" max="5157" width="14" style="21" customWidth="1"/>
    <col min="5158" max="5158" width="0.85546875" style="21" customWidth="1"/>
    <col min="5159" max="5159" width="8.42578125" style="21" customWidth="1"/>
    <col min="5160" max="5160" width="1.7109375" style="21" customWidth="1"/>
    <col min="5161" max="5161" width="9.28515625" style="21" customWidth="1"/>
    <col min="5162" max="5162" width="16" style="21" customWidth="1"/>
    <col min="5163" max="5163" width="0.5703125" style="21" customWidth="1"/>
    <col min="5164" max="5164" width="9.42578125" style="21" bestFit="1" customWidth="1"/>
    <col min="5165" max="5165" width="1.140625" style="21" customWidth="1"/>
    <col min="5166" max="5397" width="9.140625" style="21"/>
    <col min="5398" max="5398" width="2.140625" style="21" customWidth="1"/>
    <col min="5399" max="5399" width="14" style="21" customWidth="1"/>
    <col min="5400" max="5400" width="0.7109375" style="21" customWidth="1"/>
    <col min="5401" max="5401" width="17.140625" style="21" customWidth="1"/>
    <col min="5402" max="5402" width="1.140625" style="21" customWidth="1"/>
    <col min="5403" max="5403" width="18.28515625" style="21" customWidth="1"/>
    <col min="5404" max="5404" width="1" style="21" customWidth="1"/>
    <col min="5405" max="5405" width="39.7109375" style="21" customWidth="1"/>
    <col min="5406" max="5406" width="1" style="21" customWidth="1"/>
    <col min="5407" max="5407" width="12.7109375" style="21" customWidth="1"/>
    <col min="5408" max="5408" width="1.28515625" style="21" customWidth="1"/>
    <col min="5409" max="5409" width="11.42578125" style="21" customWidth="1"/>
    <col min="5410" max="5410" width="1" style="21" customWidth="1"/>
    <col min="5411" max="5411" width="10.42578125" style="21" customWidth="1"/>
    <col min="5412" max="5412" width="0.85546875" style="21" customWidth="1"/>
    <col min="5413" max="5413" width="14" style="21" customWidth="1"/>
    <col min="5414" max="5414" width="0.85546875" style="21" customWidth="1"/>
    <col min="5415" max="5415" width="8.42578125" style="21" customWidth="1"/>
    <col min="5416" max="5416" width="1.7109375" style="21" customWidth="1"/>
    <col min="5417" max="5417" width="9.28515625" style="21" customWidth="1"/>
    <col min="5418" max="5418" width="16" style="21" customWidth="1"/>
    <col min="5419" max="5419" width="0.5703125" style="21" customWidth="1"/>
    <col min="5420" max="5420" width="9.42578125" style="21" bestFit="1" customWidth="1"/>
    <col min="5421" max="5421" width="1.140625" style="21" customWidth="1"/>
    <col min="5422" max="5653" width="9.140625" style="21"/>
    <col min="5654" max="5654" width="2.140625" style="21" customWidth="1"/>
    <col min="5655" max="5655" width="14" style="21" customWidth="1"/>
    <col min="5656" max="5656" width="0.7109375" style="21" customWidth="1"/>
    <col min="5657" max="5657" width="17.140625" style="21" customWidth="1"/>
    <col min="5658" max="5658" width="1.140625" style="21" customWidth="1"/>
    <col min="5659" max="5659" width="18.28515625" style="21" customWidth="1"/>
    <col min="5660" max="5660" width="1" style="21" customWidth="1"/>
    <col min="5661" max="5661" width="39.7109375" style="21" customWidth="1"/>
    <col min="5662" max="5662" width="1" style="21" customWidth="1"/>
    <col min="5663" max="5663" width="12.7109375" style="21" customWidth="1"/>
    <col min="5664" max="5664" width="1.28515625" style="21" customWidth="1"/>
    <col min="5665" max="5665" width="11.42578125" style="21" customWidth="1"/>
    <col min="5666" max="5666" width="1" style="21" customWidth="1"/>
    <col min="5667" max="5667" width="10.42578125" style="21" customWidth="1"/>
    <col min="5668" max="5668" width="0.85546875" style="21" customWidth="1"/>
    <col min="5669" max="5669" width="14" style="21" customWidth="1"/>
    <col min="5670" max="5670" width="0.85546875" style="21" customWidth="1"/>
    <col min="5671" max="5671" width="8.42578125" style="21" customWidth="1"/>
    <col min="5672" max="5672" width="1.7109375" style="21" customWidth="1"/>
    <col min="5673" max="5673" width="9.28515625" style="21" customWidth="1"/>
    <col min="5674" max="5674" width="16" style="21" customWidth="1"/>
    <col min="5675" max="5675" width="0.5703125" style="21" customWidth="1"/>
    <col min="5676" max="5676" width="9.42578125" style="21" bestFit="1" customWidth="1"/>
    <col min="5677" max="5677" width="1.140625" style="21" customWidth="1"/>
    <col min="5678" max="5909" width="9.140625" style="21"/>
    <col min="5910" max="5910" width="2.140625" style="21" customWidth="1"/>
    <col min="5911" max="5911" width="14" style="21" customWidth="1"/>
    <col min="5912" max="5912" width="0.7109375" style="21" customWidth="1"/>
    <col min="5913" max="5913" width="17.140625" style="21" customWidth="1"/>
    <col min="5914" max="5914" width="1.140625" style="21" customWidth="1"/>
    <col min="5915" max="5915" width="18.28515625" style="21" customWidth="1"/>
    <col min="5916" max="5916" width="1" style="21" customWidth="1"/>
    <col min="5917" max="5917" width="39.7109375" style="21" customWidth="1"/>
    <col min="5918" max="5918" width="1" style="21" customWidth="1"/>
    <col min="5919" max="5919" width="12.7109375" style="21" customWidth="1"/>
    <col min="5920" max="5920" width="1.28515625" style="21" customWidth="1"/>
    <col min="5921" max="5921" width="11.42578125" style="21" customWidth="1"/>
    <col min="5922" max="5922" width="1" style="21" customWidth="1"/>
    <col min="5923" max="5923" width="10.42578125" style="21" customWidth="1"/>
    <col min="5924" max="5924" width="0.85546875" style="21" customWidth="1"/>
    <col min="5925" max="5925" width="14" style="21" customWidth="1"/>
    <col min="5926" max="5926" width="0.85546875" style="21" customWidth="1"/>
    <col min="5927" max="5927" width="8.42578125" style="21" customWidth="1"/>
    <col min="5928" max="5928" width="1.7109375" style="21" customWidth="1"/>
    <col min="5929" max="5929" width="9.28515625" style="21" customWidth="1"/>
    <col min="5930" max="5930" width="16" style="21" customWidth="1"/>
    <col min="5931" max="5931" width="0.5703125" style="21" customWidth="1"/>
    <col min="5932" max="5932" width="9.42578125" style="21" bestFit="1" customWidth="1"/>
    <col min="5933" max="5933" width="1.140625" style="21" customWidth="1"/>
    <col min="5934" max="6165" width="9.140625" style="21"/>
    <col min="6166" max="6166" width="2.140625" style="21" customWidth="1"/>
    <col min="6167" max="6167" width="14" style="21" customWidth="1"/>
    <col min="6168" max="6168" width="0.7109375" style="21" customWidth="1"/>
    <col min="6169" max="6169" width="17.140625" style="21" customWidth="1"/>
    <col min="6170" max="6170" width="1.140625" style="21" customWidth="1"/>
    <col min="6171" max="6171" width="18.28515625" style="21" customWidth="1"/>
    <col min="6172" max="6172" width="1" style="21" customWidth="1"/>
    <col min="6173" max="6173" width="39.7109375" style="21" customWidth="1"/>
    <col min="6174" max="6174" width="1" style="21" customWidth="1"/>
    <col min="6175" max="6175" width="12.7109375" style="21" customWidth="1"/>
    <col min="6176" max="6176" width="1.28515625" style="21" customWidth="1"/>
    <col min="6177" max="6177" width="11.42578125" style="21" customWidth="1"/>
    <col min="6178" max="6178" width="1" style="21" customWidth="1"/>
    <col min="6179" max="6179" width="10.42578125" style="21" customWidth="1"/>
    <col min="6180" max="6180" width="0.85546875" style="21" customWidth="1"/>
    <col min="6181" max="6181" width="14" style="21" customWidth="1"/>
    <col min="6182" max="6182" width="0.85546875" style="21" customWidth="1"/>
    <col min="6183" max="6183" width="8.42578125" style="21" customWidth="1"/>
    <col min="6184" max="6184" width="1.7109375" style="21" customWidth="1"/>
    <col min="6185" max="6185" width="9.28515625" style="21" customWidth="1"/>
    <col min="6186" max="6186" width="16" style="21" customWidth="1"/>
    <col min="6187" max="6187" width="0.5703125" style="21" customWidth="1"/>
    <col min="6188" max="6188" width="9.42578125" style="21" bestFit="1" customWidth="1"/>
    <col min="6189" max="6189" width="1.140625" style="21" customWidth="1"/>
    <col min="6190" max="6421" width="9.140625" style="21"/>
    <col min="6422" max="6422" width="2.140625" style="21" customWidth="1"/>
    <col min="6423" max="6423" width="14" style="21" customWidth="1"/>
    <col min="6424" max="6424" width="0.7109375" style="21" customWidth="1"/>
    <col min="6425" max="6425" width="17.140625" style="21" customWidth="1"/>
    <col min="6426" max="6426" width="1.140625" style="21" customWidth="1"/>
    <col min="6427" max="6427" width="18.28515625" style="21" customWidth="1"/>
    <col min="6428" max="6428" width="1" style="21" customWidth="1"/>
    <col min="6429" max="6429" width="39.7109375" style="21" customWidth="1"/>
    <col min="6430" max="6430" width="1" style="21" customWidth="1"/>
    <col min="6431" max="6431" width="12.7109375" style="21" customWidth="1"/>
    <col min="6432" max="6432" width="1.28515625" style="21" customWidth="1"/>
    <col min="6433" max="6433" width="11.42578125" style="21" customWidth="1"/>
    <col min="6434" max="6434" width="1" style="21" customWidth="1"/>
    <col min="6435" max="6435" width="10.42578125" style="21" customWidth="1"/>
    <col min="6436" max="6436" width="0.85546875" style="21" customWidth="1"/>
    <col min="6437" max="6437" width="14" style="21" customWidth="1"/>
    <col min="6438" max="6438" width="0.85546875" style="21" customWidth="1"/>
    <col min="6439" max="6439" width="8.42578125" style="21" customWidth="1"/>
    <col min="6440" max="6440" width="1.7109375" style="21" customWidth="1"/>
    <col min="6441" max="6441" width="9.28515625" style="21" customWidth="1"/>
    <col min="6442" max="6442" width="16" style="21" customWidth="1"/>
    <col min="6443" max="6443" width="0.5703125" style="21" customWidth="1"/>
    <col min="6444" max="6444" width="9.42578125" style="21" bestFit="1" customWidth="1"/>
    <col min="6445" max="6445" width="1.140625" style="21" customWidth="1"/>
    <col min="6446" max="6677" width="9.140625" style="21"/>
    <col min="6678" max="6678" width="2.140625" style="21" customWidth="1"/>
    <col min="6679" max="6679" width="14" style="21" customWidth="1"/>
    <col min="6680" max="6680" width="0.7109375" style="21" customWidth="1"/>
    <col min="6681" max="6681" width="17.140625" style="21" customWidth="1"/>
    <col min="6682" max="6682" width="1.140625" style="21" customWidth="1"/>
    <col min="6683" max="6683" width="18.28515625" style="21" customWidth="1"/>
    <col min="6684" max="6684" width="1" style="21" customWidth="1"/>
    <col min="6685" max="6685" width="39.7109375" style="21" customWidth="1"/>
    <col min="6686" max="6686" width="1" style="21" customWidth="1"/>
    <col min="6687" max="6687" width="12.7109375" style="21" customWidth="1"/>
    <col min="6688" max="6688" width="1.28515625" style="21" customWidth="1"/>
    <col min="6689" max="6689" width="11.42578125" style="21" customWidth="1"/>
    <col min="6690" max="6690" width="1" style="21" customWidth="1"/>
    <col min="6691" max="6691" width="10.42578125" style="21" customWidth="1"/>
    <col min="6692" max="6692" width="0.85546875" style="21" customWidth="1"/>
    <col min="6693" max="6693" width="14" style="21" customWidth="1"/>
    <col min="6694" max="6694" width="0.85546875" style="21" customWidth="1"/>
    <col min="6695" max="6695" width="8.42578125" style="21" customWidth="1"/>
    <col min="6696" max="6696" width="1.7109375" style="21" customWidth="1"/>
    <col min="6697" max="6697" width="9.28515625" style="21" customWidth="1"/>
    <col min="6698" max="6698" width="16" style="21" customWidth="1"/>
    <col min="6699" max="6699" width="0.5703125" style="21" customWidth="1"/>
    <col min="6700" max="6700" width="9.42578125" style="21" bestFit="1" customWidth="1"/>
    <col min="6701" max="6701" width="1.140625" style="21" customWidth="1"/>
    <col min="6702" max="6933" width="9.140625" style="21"/>
    <col min="6934" max="6934" width="2.140625" style="21" customWidth="1"/>
    <col min="6935" max="6935" width="14" style="21" customWidth="1"/>
    <col min="6936" max="6936" width="0.7109375" style="21" customWidth="1"/>
    <col min="6937" max="6937" width="17.140625" style="21" customWidth="1"/>
    <col min="6938" max="6938" width="1.140625" style="21" customWidth="1"/>
    <col min="6939" max="6939" width="18.28515625" style="21" customWidth="1"/>
    <col min="6940" max="6940" width="1" style="21" customWidth="1"/>
    <col min="6941" max="6941" width="39.7109375" style="21" customWidth="1"/>
    <col min="6942" max="6942" width="1" style="21" customWidth="1"/>
    <col min="6943" max="6943" width="12.7109375" style="21" customWidth="1"/>
    <col min="6944" max="6944" width="1.28515625" style="21" customWidth="1"/>
    <col min="6945" max="6945" width="11.42578125" style="21" customWidth="1"/>
    <col min="6946" max="6946" width="1" style="21" customWidth="1"/>
    <col min="6947" max="6947" width="10.42578125" style="21" customWidth="1"/>
    <col min="6948" max="6948" width="0.85546875" style="21" customWidth="1"/>
    <col min="6949" max="6949" width="14" style="21" customWidth="1"/>
    <col min="6950" max="6950" width="0.85546875" style="21" customWidth="1"/>
    <col min="6951" max="6951" width="8.42578125" style="21" customWidth="1"/>
    <col min="6952" max="6952" width="1.7109375" style="21" customWidth="1"/>
    <col min="6953" max="6953" width="9.28515625" style="21" customWidth="1"/>
    <col min="6954" max="6954" width="16" style="21" customWidth="1"/>
    <col min="6955" max="6955" width="0.5703125" style="21" customWidth="1"/>
    <col min="6956" max="6956" width="9.42578125" style="21" bestFit="1" customWidth="1"/>
    <col min="6957" max="6957" width="1.140625" style="21" customWidth="1"/>
    <col min="6958" max="7189" width="9.140625" style="21"/>
    <col min="7190" max="7190" width="2.140625" style="21" customWidth="1"/>
    <col min="7191" max="7191" width="14" style="21" customWidth="1"/>
    <col min="7192" max="7192" width="0.7109375" style="21" customWidth="1"/>
    <col min="7193" max="7193" width="17.140625" style="21" customWidth="1"/>
    <col min="7194" max="7194" width="1.140625" style="21" customWidth="1"/>
    <col min="7195" max="7195" width="18.28515625" style="21" customWidth="1"/>
    <col min="7196" max="7196" width="1" style="21" customWidth="1"/>
    <col min="7197" max="7197" width="39.7109375" style="21" customWidth="1"/>
    <col min="7198" max="7198" width="1" style="21" customWidth="1"/>
    <col min="7199" max="7199" width="12.7109375" style="21" customWidth="1"/>
    <col min="7200" max="7200" width="1.28515625" style="21" customWidth="1"/>
    <col min="7201" max="7201" width="11.42578125" style="21" customWidth="1"/>
    <col min="7202" max="7202" width="1" style="21" customWidth="1"/>
    <col min="7203" max="7203" width="10.42578125" style="21" customWidth="1"/>
    <col min="7204" max="7204" width="0.85546875" style="21" customWidth="1"/>
    <col min="7205" max="7205" width="14" style="21" customWidth="1"/>
    <col min="7206" max="7206" width="0.85546875" style="21" customWidth="1"/>
    <col min="7207" max="7207" width="8.42578125" style="21" customWidth="1"/>
    <col min="7208" max="7208" width="1.7109375" style="21" customWidth="1"/>
    <col min="7209" max="7209" width="9.28515625" style="21" customWidth="1"/>
    <col min="7210" max="7210" width="16" style="21" customWidth="1"/>
    <col min="7211" max="7211" width="0.5703125" style="21" customWidth="1"/>
    <col min="7212" max="7212" width="9.42578125" style="21" bestFit="1" customWidth="1"/>
    <col min="7213" max="7213" width="1.140625" style="21" customWidth="1"/>
    <col min="7214" max="7445" width="9.140625" style="21"/>
    <col min="7446" max="7446" width="2.140625" style="21" customWidth="1"/>
    <col min="7447" max="7447" width="14" style="21" customWidth="1"/>
    <col min="7448" max="7448" width="0.7109375" style="21" customWidth="1"/>
    <col min="7449" max="7449" width="17.140625" style="21" customWidth="1"/>
    <col min="7450" max="7450" width="1.140625" style="21" customWidth="1"/>
    <col min="7451" max="7451" width="18.28515625" style="21" customWidth="1"/>
    <col min="7452" max="7452" width="1" style="21" customWidth="1"/>
    <col min="7453" max="7453" width="39.7109375" style="21" customWidth="1"/>
    <col min="7454" max="7454" width="1" style="21" customWidth="1"/>
    <col min="7455" max="7455" width="12.7109375" style="21" customWidth="1"/>
    <col min="7456" max="7456" width="1.28515625" style="21" customWidth="1"/>
    <col min="7457" max="7457" width="11.42578125" style="21" customWidth="1"/>
    <col min="7458" max="7458" width="1" style="21" customWidth="1"/>
    <col min="7459" max="7459" width="10.42578125" style="21" customWidth="1"/>
    <col min="7460" max="7460" width="0.85546875" style="21" customWidth="1"/>
    <col min="7461" max="7461" width="14" style="21" customWidth="1"/>
    <col min="7462" max="7462" width="0.85546875" style="21" customWidth="1"/>
    <col min="7463" max="7463" width="8.42578125" style="21" customWidth="1"/>
    <col min="7464" max="7464" width="1.7109375" style="21" customWidth="1"/>
    <col min="7465" max="7465" width="9.28515625" style="21" customWidth="1"/>
    <col min="7466" max="7466" width="16" style="21" customWidth="1"/>
    <col min="7467" max="7467" width="0.5703125" style="21" customWidth="1"/>
    <col min="7468" max="7468" width="9.42578125" style="21" bestFit="1" customWidth="1"/>
    <col min="7469" max="7469" width="1.140625" style="21" customWidth="1"/>
    <col min="7470" max="7701" width="9.140625" style="21"/>
    <col min="7702" max="7702" width="2.140625" style="21" customWidth="1"/>
    <col min="7703" max="7703" width="14" style="21" customWidth="1"/>
    <col min="7704" max="7704" width="0.7109375" style="21" customWidth="1"/>
    <col min="7705" max="7705" width="17.140625" style="21" customWidth="1"/>
    <col min="7706" max="7706" width="1.140625" style="21" customWidth="1"/>
    <col min="7707" max="7707" width="18.28515625" style="21" customWidth="1"/>
    <col min="7708" max="7708" width="1" style="21" customWidth="1"/>
    <col min="7709" max="7709" width="39.7109375" style="21" customWidth="1"/>
    <col min="7710" max="7710" width="1" style="21" customWidth="1"/>
    <col min="7711" max="7711" width="12.7109375" style="21" customWidth="1"/>
    <col min="7712" max="7712" width="1.28515625" style="21" customWidth="1"/>
    <col min="7713" max="7713" width="11.42578125" style="21" customWidth="1"/>
    <col min="7714" max="7714" width="1" style="21" customWidth="1"/>
    <col min="7715" max="7715" width="10.42578125" style="21" customWidth="1"/>
    <col min="7716" max="7716" width="0.85546875" style="21" customWidth="1"/>
    <col min="7717" max="7717" width="14" style="21" customWidth="1"/>
    <col min="7718" max="7718" width="0.85546875" style="21" customWidth="1"/>
    <col min="7719" max="7719" width="8.42578125" style="21" customWidth="1"/>
    <col min="7720" max="7720" width="1.7109375" style="21" customWidth="1"/>
    <col min="7721" max="7721" width="9.28515625" style="21" customWidth="1"/>
    <col min="7722" max="7722" width="16" style="21" customWidth="1"/>
    <col min="7723" max="7723" width="0.5703125" style="21" customWidth="1"/>
    <col min="7724" max="7724" width="9.42578125" style="21" bestFit="1" customWidth="1"/>
    <col min="7725" max="7725" width="1.140625" style="21" customWidth="1"/>
    <col min="7726" max="7957" width="9.140625" style="21"/>
    <col min="7958" max="7958" width="2.140625" style="21" customWidth="1"/>
    <col min="7959" max="7959" width="14" style="21" customWidth="1"/>
    <col min="7960" max="7960" width="0.7109375" style="21" customWidth="1"/>
    <col min="7961" max="7961" width="17.140625" style="21" customWidth="1"/>
    <col min="7962" max="7962" width="1.140625" style="21" customWidth="1"/>
    <col min="7963" max="7963" width="18.28515625" style="21" customWidth="1"/>
    <col min="7964" max="7964" width="1" style="21" customWidth="1"/>
    <col min="7965" max="7965" width="39.7109375" style="21" customWidth="1"/>
    <col min="7966" max="7966" width="1" style="21" customWidth="1"/>
    <col min="7967" max="7967" width="12.7109375" style="21" customWidth="1"/>
    <col min="7968" max="7968" width="1.28515625" style="21" customWidth="1"/>
    <col min="7969" max="7969" width="11.42578125" style="21" customWidth="1"/>
    <col min="7970" max="7970" width="1" style="21" customWidth="1"/>
    <col min="7971" max="7971" width="10.42578125" style="21" customWidth="1"/>
    <col min="7972" max="7972" width="0.85546875" style="21" customWidth="1"/>
    <col min="7973" max="7973" width="14" style="21" customWidth="1"/>
    <col min="7974" max="7974" width="0.85546875" style="21" customWidth="1"/>
    <col min="7975" max="7975" width="8.42578125" style="21" customWidth="1"/>
    <col min="7976" max="7976" width="1.7109375" style="21" customWidth="1"/>
    <col min="7977" max="7977" width="9.28515625" style="21" customWidth="1"/>
    <col min="7978" max="7978" width="16" style="21" customWidth="1"/>
    <col min="7979" max="7979" width="0.5703125" style="21" customWidth="1"/>
    <col min="7980" max="7980" width="9.42578125" style="21" bestFit="1" customWidth="1"/>
    <col min="7981" max="7981" width="1.140625" style="21" customWidth="1"/>
    <col min="7982" max="8213" width="9.140625" style="21"/>
    <col min="8214" max="8214" width="2.140625" style="21" customWidth="1"/>
    <col min="8215" max="8215" width="14" style="21" customWidth="1"/>
    <col min="8216" max="8216" width="0.7109375" style="21" customWidth="1"/>
    <col min="8217" max="8217" width="17.140625" style="21" customWidth="1"/>
    <col min="8218" max="8218" width="1.140625" style="21" customWidth="1"/>
    <col min="8219" max="8219" width="18.28515625" style="21" customWidth="1"/>
    <col min="8220" max="8220" width="1" style="21" customWidth="1"/>
    <col min="8221" max="8221" width="39.7109375" style="21" customWidth="1"/>
    <col min="8222" max="8222" width="1" style="21" customWidth="1"/>
    <col min="8223" max="8223" width="12.7109375" style="21" customWidth="1"/>
    <col min="8224" max="8224" width="1.28515625" style="21" customWidth="1"/>
    <col min="8225" max="8225" width="11.42578125" style="21" customWidth="1"/>
    <col min="8226" max="8226" width="1" style="21" customWidth="1"/>
    <col min="8227" max="8227" width="10.42578125" style="21" customWidth="1"/>
    <col min="8228" max="8228" width="0.85546875" style="21" customWidth="1"/>
    <col min="8229" max="8229" width="14" style="21" customWidth="1"/>
    <col min="8230" max="8230" width="0.85546875" style="21" customWidth="1"/>
    <col min="8231" max="8231" width="8.42578125" style="21" customWidth="1"/>
    <col min="8232" max="8232" width="1.7109375" style="21" customWidth="1"/>
    <col min="8233" max="8233" width="9.28515625" style="21" customWidth="1"/>
    <col min="8234" max="8234" width="16" style="21" customWidth="1"/>
    <col min="8235" max="8235" width="0.5703125" style="21" customWidth="1"/>
    <col min="8236" max="8236" width="9.42578125" style="21" bestFit="1" customWidth="1"/>
    <col min="8237" max="8237" width="1.140625" style="21" customWidth="1"/>
    <col min="8238" max="8469" width="9.140625" style="21"/>
    <col min="8470" max="8470" width="2.140625" style="21" customWidth="1"/>
    <col min="8471" max="8471" width="14" style="21" customWidth="1"/>
    <col min="8472" max="8472" width="0.7109375" style="21" customWidth="1"/>
    <col min="8473" max="8473" width="17.140625" style="21" customWidth="1"/>
    <col min="8474" max="8474" width="1.140625" style="21" customWidth="1"/>
    <col min="8475" max="8475" width="18.28515625" style="21" customWidth="1"/>
    <col min="8476" max="8476" width="1" style="21" customWidth="1"/>
    <col min="8477" max="8477" width="39.7109375" style="21" customWidth="1"/>
    <col min="8478" max="8478" width="1" style="21" customWidth="1"/>
    <col min="8479" max="8479" width="12.7109375" style="21" customWidth="1"/>
    <col min="8480" max="8480" width="1.28515625" style="21" customWidth="1"/>
    <col min="8481" max="8481" width="11.42578125" style="21" customWidth="1"/>
    <col min="8482" max="8482" width="1" style="21" customWidth="1"/>
    <col min="8483" max="8483" width="10.42578125" style="21" customWidth="1"/>
    <col min="8484" max="8484" width="0.85546875" style="21" customWidth="1"/>
    <col min="8485" max="8485" width="14" style="21" customWidth="1"/>
    <col min="8486" max="8486" width="0.85546875" style="21" customWidth="1"/>
    <col min="8487" max="8487" width="8.42578125" style="21" customWidth="1"/>
    <col min="8488" max="8488" width="1.7109375" style="21" customWidth="1"/>
    <col min="8489" max="8489" width="9.28515625" style="21" customWidth="1"/>
    <col min="8490" max="8490" width="16" style="21" customWidth="1"/>
    <col min="8491" max="8491" width="0.5703125" style="21" customWidth="1"/>
    <col min="8492" max="8492" width="9.42578125" style="21" bestFit="1" customWidth="1"/>
    <col min="8493" max="8493" width="1.140625" style="21" customWidth="1"/>
    <col min="8494" max="8725" width="9.140625" style="21"/>
    <col min="8726" max="8726" width="2.140625" style="21" customWidth="1"/>
    <col min="8727" max="8727" width="14" style="21" customWidth="1"/>
    <col min="8728" max="8728" width="0.7109375" style="21" customWidth="1"/>
    <col min="8729" max="8729" width="17.140625" style="21" customWidth="1"/>
    <col min="8730" max="8730" width="1.140625" style="21" customWidth="1"/>
    <col min="8731" max="8731" width="18.28515625" style="21" customWidth="1"/>
    <col min="8732" max="8732" width="1" style="21" customWidth="1"/>
    <col min="8733" max="8733" width="39.7109375" style="21" customWidth="1"/>
    <col min="8734" max="8734" width="1" style="21" customWidth="1"/>
    <col min="8735" max="8735" width="12.7109375" style="21" customWidth="1"/>
    <col min="8736" max="8736" width="1.28515625" style="21" customWidth="1"/>
    <col min="8737" max="8737" width="11.42578125" style="21" customWidth="1"/>
    <col min="8738" max="8738" width="1" style="21" customWidth="1"/>
    <col min="8739" max="8739" width="10.42578125" style="21" customWidth="1"/>
    <col min="8740" max="8740" width="0.85546875" style="21" customWidth="1"/>
    <col min="8741" max="8741" width="14" style="21" customWidth="1"/>
    <col min="8742" max="8742" width="0.85546875" style="21" customWidth="1"/>
    <col min="8743" max="8743" width="8.42578125" style="21" customWidth="1"/>
    <col min="8744" max="8744" width="1.7109375" style="21" customWidth="1"/>
    <col min="8745" max="8745" width="9.28515625" style="21" customWidth="1"/>
    <col min="8746" max="8746" width="16" style="21" customWidth="1"/>
    <col min="8747" max="8747" width="0.5703125" style="21" customWidth="1"/>
    <col min="8748" max="8748" width="9.42578125" style="21" bestFit="1" customWidth="1"/>
    <col min="8749" max="8749" width="1.140625" style="21" customWidth="1"/>
    <col min="8750" max="8981" width="9.140625" style="21"/>
    <col min="8982" max="8982" width="2.140625" style="21" customWidth="1"/>
    <col min="8983" max="8983" width="14" style="21" customWidth="1"/>
    <col min="8984" max="8984" width="0.7109375" style="21" customWidth="1"/>
    <col min="8985" max="8985" width="17.140625" style="21" customWidth="1"/>
    <col min="8986" max="8986" width="1.140625" style="21" customWidth="1"/>
    <col min="8987" max="8987" width="18.28515625" style="21" customWidth="1"/>
    <col min="8988" max="8988" width="1" style="21" customWidth="1"/>
    <col min="8989" max="8989" width="39.7109375" style="21" customWidth="1"/>
    <col min="8990" max="8990" width="1" style="21" customWidth="1"/>
    <col min="8991" max="8991" width="12.7109375" style="21" customWidth="1"/>
    <col min="8992" max="8992" width="1.28515625" style="21" customWidth="1"/>
    <col min="8993" max="8993" width="11.42578125" style="21" customWidth="1"/>
    <col min="8994" max="8994" width="1" style="21" customWidth="1"/>
    <col min="8995" max="8995" width="10.42578125" style="21" customWidth="1"/>
    <col min="8996" max="8996" width="0.85546875" style="21" customWidth="1"/>
    <col min="8997" max="8997" width="14" style="21" customWidth="1"/>
    <col min="8998" max="8998" width="0.85546875" style="21" customWidth="1"/>
    <col min="8999" max="8999" width="8.42578125" style="21" customWidth="1"/>
    <col min="9000" max="9000" width="1.7109375" style="21" customWidth="1"/>
    <col min="9001" max="9001" width="9.28515625" style="21" customWidth="1"/>
    <col min="9002" max="9002" width="16" style="21" customWidth="1"/>
    <col min="9003" max="9003" width="0.5703125" style="21" customWidth="1"/>
    <col min="9004" max="9004" width="9.42578125" style="21" bestFit="1" customWidth="1"/>
    <col min="9005" max="9005" width="1.140625" style="21" customWidth="1"/>
    <col min="9006" max="9237" width="9.140625" style="21"/>
    <col min="9238" max="9238" width="2.140625" style="21" customWidth="1"/>
    <col min="9239" max="9239" width="14" style="21" customWidth="1"/>
    <col min="9240" max="9240" width="0.7109375" style="21" customWidth="1"/>
    <col min="9241" max="9241" width="17.140625" style="21" customWidth="1"/>
    <col min="9242" max="9242" width="1.140625" style="21" customWidth="1"/>
    <col min="9243" max="9243" width="18.28515625" style="21" customWidth="1"/>
    <col min="9244" max="9244" width="1" style="21" customWidth="1"/>
    <col min="9245" max="9245" width="39.7109375" style="21" customWidth="1"/>
    <col min="9246" max="9246" width="1" style="21" customWidth="1"/>
    <col min="9247" max="9247" width="12.7109375" style="21" customWidth="1"/>
    <col min="9248" max="9248" width="1.28515625" style="21" customWidth="1"/>
    <col min="9249" max="9249" width="11.42578125" style="21" customWidth="1"/>
    <col min="9250" max="9250" width="1" style="21" customWidth="1"/>
    <col min="9251" max="9251" width="10.42578125" style="21" customWidth="1"/>
    <col min="9252" max="9252" width="0.85546875" style="21" customWidth="1"/>
    <col min="9253" max="9253" width="14" style="21" customWidth="1"/>
    <col min="9254" max="9254" width="0.85546875" style="21" customWidth="1"/>
    <col min="9255" max="9255" width="8.42578125" style="21" customWidth="1"/>
    <col min="9256" max="9256" width="1.7109375" style="21" customWidth="1"/>
    <col min="9257" max="9257" width="9.28515625" style="21" customWidth="1"/>
    <col min="9258" max="9258" width="16" style="21" customWidth="1"/>
    <col min="9259" max="9259" width="0.5703125" style="21" customWidth="1"/>
    <col min="9260" max="9260" width="9.42578125" style="21" bestFit="1" customWidth="1"/>
    <col min="9261" max="9261" width="1.140625" style="21" customWidth="1"/>
    <col min="9262" max="9493" width="9.140625" style="21"/>
    <col min="9494" max="9494" width="2.140625" style="21" customWidth="1"/>
    <col min="9495" max="9495" width="14" style="21" customWidth="1"/>
    <col min="9496" max="9496" width="0.7109375" style="21" customWidth="1"/>
    <col min="9497" max="9497" width="17.140625" style="21" customWidth="1"/>
    <col min="9498" max="9498" width="1.140625" style="21" customWidth="1"/>
    <col min="9499" max="9499" width="18.28515625" style="21" customWidth="1"/>
    <col min="9500" max="9500" width="1" style="21" customWidth="1"/>
    <col min="9501" max="9501" width="39.7109375" style="21" customWidth="1"/>
    <col min="9502" max="9502" width="1" style="21" customWidth="1"/>
    <col min="9503" max="9503" width="12.7109375" style="21" customWidth="1"/>
    <col min="9504" max="9504" width="1.28515625" style="21" customWidth="1"/>
    <col min="9505" max="9505" width="11.42578125" style="21" customWidth="1"/>
    <col min="9506" max="9506" width="1" style="21" customWidth="1"/>
    <col min="9507" max="9507" width="10.42578125" style="21" customWidth="1"/>
    <col min="9508" max="9508" width="0.85546875" style="21" customWidth="1"/>
    <col min="9509" max="9509" width="14" style="21" customWidth="1"/>
    <col min="9510" max="9510" width="0.85546875" style="21" customWidth="1"/>
    <col min="9511" max="9511" width="8.42578125" style="21" customWidth="1"/>
    <col min="9512" max="9512" width="1.7109375" style="21" customWidth="1"/>
    <col min="9513" max="9513" width="9.28515625" style="21" customWidth="1"/>
    <col min="9514" max="9514" width="16" style="21" customWidth="1"/>
    <col min="9515" max="9515" width="0.5703125" style="21" customWidth="1"/>
    <col min="9516" max="9516" width="9.42578125" style="21" bestFit="1" customWidth="1"/>
    <col min="9517" max="9517" width="1.140625" style="21" customWidth="1"/>
    <col min="9518" max="9749" width="9.140625" style="21"/>
    <col min="9750" max="9750" width="2.140625" style="21" customWidth="1"/>
    <col min="9751" max="9751" width="14" style="21" customWidth="1"/>
    <col min="9752" max="9752" width="0.7109375" style="21" customWidth="1"/>
    <col min="9753" max="9753" width="17.140625" style="21" customWidth="1"/>
    <col min="9754" max="9754" width="1.140625" style="21" customWidth="1"/>
    <col min="9755" max="9755" width="18.28515625" style="21" customWidth="1"/>
    <col min="9756" max="9756" width="1" style="21" customWidth="1"/>
    <col min="9757" max="9757" width="39.7109375" style="21" customWidth="1"/>
    <col min="9758" max="9758" width="1" style="21" customWidth="1"/>
    <col min="9759" max="9759" width="12.7109375" style="21" customWidth="1"/>
    <col min="9760" max="9760" width="1.28515625" style="21" customWidth="1"/>
    <col min="9761" max="9761" width="11.42578125" style="21" customWidth="1"/>
    <col min="9762" max="9762" width="1" style="21" customWidth="1"/>
    <col min="9763" max="9763" width="10.42578125" style="21" customWidth="1"/>
    <col min="9764" max="9764" width="0.85546875" style="21" customWidth="1"/>
    <col min="9765" max="9765" width="14" style="21" customWidth="1"/>
    <col min="9766" max="9766" width="0.85546875" style="21" customWidth="1"/>
    <col min="9767" max="9767" width="8.42578125" style="21" customWidth="1"/>
    <col min="9768" max="9768" width="1.7109375" style="21" customWidth="1"/>
    <col min="9769" max="9769" width="9.28515625" style="21" customWidth="1"/>
    <col min="9770" max="9770" width="16" style="21" customWidth="1"/>
    <col min="9771" max="9771" width="0.5703125" style="21" customWidth="1"/>
    <col min="9772" max="9772" width="9.42578125" style="21" bestFit="1" customWidth="1"/>
    <col min="9773" max="9773" width="1.140625" style="21" customWidth="1"/>
    <col min="9774" max="10005" width="9.140625" style="21"/>
    <col min="10006" max="10006" width="2.140625" style="21" customWidth="1"/>
    <col min="10007" max="10007" width="14" style="21" customWidth="1"/>
    <col min="10008" max="10008" width="0.7109375" style="21" customWidth="1"/>
    <col min="10009" max="10009" width="17.140625" style="21" customWidth="1"/>
    <col min="10010" max="10010" width="1.140625" style="21" customWidth="1"/>
    <col min="10011" max="10011" width="18.28515625" style="21" customWidth="1"/>
    <col min="10012" max="10012" width="1" style="21" customWidth="1"/>
    <col min="10013" max="10013" width="39.7109375" style="21" customWidth="1"/>
    <col min="10014" max="10014" width="1" style="21" customWidth="1"/>
    <col min="10015" max="10015" width="12.7109375" style="21" customWidth="1"/>
    <col min="10016" max="10016" width="1.28515625" style="21" customWidth="1"/>
    <col min="10017" max="10017" width="11.42578125" style="21" customWidth="1"/>
    <col min="10018" max="10018" width="1" style="21" customWidth="1"/>
    <col min="10019" max="10019" width="10.42578125" style="21" customWidth="1"/>
    <col min="10020" max="10020" width="0.85546875" style="21" customWidth="1"/>
    <col min="10021" max="10021" width="14" style="21" customWidth="1"/>
    <col min="10022" max="10022" width="0.85546875" style="21" customWidth="1"/>
    <col min="10023" max="10023" width="8.42578125" style="21" customWidth="1"/>
    <col min="10024" max="10024" width="1.7109375" style="21" customWidth="1"/>
    <col min="10025" max="10025" width="9.28515625" style="21" customWidth="1"/>
    <col min="10026" max="10026" width="16" style="21" customWidth="1"/>
    <col min="10027" max="10027" width="0.5703125" style="21" customWidth="1"/>
    <col min="10028" max="10028" width="9.42578125" style="21" bestFit="1" customWidth="1"/>
    <col min="10029" max="10029" width="1.140625" style="21" customWidth="1"/>
    <col min="10030" max="10261" width="9.140625" style="21"/>
    <col min="10262" max="10262" width="2.140625" style="21" customWidth="1"/>
    <col min="10263" max="10263" width="14" style="21" customWidth="1"/>
    <col min="10264" max="10264" width="0.7109375" style="21" customWidth="1"/>
    <col min="10265" max="10265" width="17.140625" style="21" customWidth="1"/>
    <col min="10266" max="10266" width="1.140625" style="21" customWidth="1"/>
    <col min="10267" max="10267" width="18.28515625" style="21" customWidth="1"/>
    <col min="10268" max="10268" width="1" style="21" customWidth="1"/>
    <col min="10269" max="10269" width="39.7109375" style="21" customWidth="1"/>
    <col min="10270" max="10270" width="1" style="21" customWidth="1"/>
    <col min="10271" max="10271" width="12.7109375" style="21" customWidth="1"/>
    <col min="10272" max="10272" width="1.28515625" style="21" customWidth="1"/>
    <col min="10273" max="10273" width="11.42578125" style="21" customWidth="1"/>
    <col min="10274" max="10274" width="1" style="21" customWidth="1"/>
    <col min="10275" max="10275" width="10.42578125" style="21" customWidth="1"/>
    <col min="10276" max="10276" width="0.85546875" style="21" customWidth="1"/>
    <col min="10277" max="10277" width="14" style="21" customWidth="1"/>
    <col min="10278" max="10278" width="0.85546875" style="21" customWidth="1"/>
    <col min="10279" max="10279" width="8.42578125" style="21" customWidth="1"/>
    <col min="10280" max="10280" width="1.7109375" style="21" customWidth="1"/>
    <col min="10281" max="10281" width="9.28515625" style="21" customWidth="1"/>
    <col min="10282" max="10282" width="16" style="21" customWidth="1"/>
    <col min="10283" max="10283" width="0.5703125" style="21" customWidth="1"/>
    <col min="10284" max="10284" width="9.42578125" style="21" bestFit="1" customWidth="1"/>
    <col min="10285" max="10285" width="1.140625" style="21" customWidth="1"/>
    <col min="10286" max="10517" width="9.140625" style="21"/>
    <col min="10518" max="10518" width="2.140625" style="21" customWidth="1"/>
    <col min="10519" max="10519" width="14" style="21" customWidth="1"/>
    <col min="10520" max="10520" width="0.7109375" style="21" customWidth="1"/>
    <col min="10521" max="10521" width="17.140625" style="21" customWidth="1"/>
    <col min="10522" max="10522" width="1.140625" style="21" customWidth="1"/>
    <col min="10523" max="10523" width="18.28515625" style="21" customWidth="1"/>
    <col min="10524" max="10524" width="1" style="21" customWidth="1"/>
    <col min="10525" max="10525" width="39.7109375" style="21" customWidth="1"/>
    <col min="10526" max="10526" width="1" style="21" customWidth="1"/>
    <col min="10527" max="10527" width="12.7109375" style="21" customWidth="1"/>
    <col min="10528" max="10528" width="1.28515625" style="21" customWidth="1"/>
    <col min="10529" max="10529" width="11.42578125" style="21" customWidth="1"/>
    <col min="10530" max="10530" width="1" style="21" customWidth="1"/>
    <col min="10531" max="10531" width="10.42578125" style="21" customWidth="1"/>
    <col min="10532" max="10532" width="0.85546875" style="21" customWidth="1"/>
    <col min="10533" max="10533" width="14" style="21" customWidth="1"/>
    <col min="10534" max="10534" width="0.85546875" style="21" customWidth="1"/>
    <col min="10535" max="10535" width="8.42578125" style="21" customWidth="1"/>
    <col min="10536" max="10536" width="1.7109375" style="21" customWidth="1"/>
    <col min="10537" max="10537" width="9.28515625" style="21" customWidth="1"/>
    <col min="10538" max="10538" width="16" style="21" customWidth="1"/>
    <col min="10539" max="10539" width="0.5703125" style="21" customWidth="1"/>
    <col min="10540" max="10540" width="9.42578125" style="21" bestFit="1" customWidth="1"/>
    <col min="10541" max="10541" width="1.140625" style="21" customWidth="1"/>
    <col min="10542" max="10773" width="9.140625" style="21"/>
    <col min="10774" max="10774" width="2.140625" style="21" customWidth="1"/>
    <col min="10775" max="10775" width="14" style="21" customWidth="1"/>
    <col min="10776" max="10776" width="0.7109375" style="21" customWidth="1"/>
    <col min="10777" max="10777" width="17.140625" style="21" customWidth="1"/>
    <col min="10778" max="10778" width="1.140625" style="21" customWidth="1"/>
    <col min="10779" max="10779" width="18.28515625" style="21" customWidth="1"/>
    <col min="10780" max="10780" width="1" style="21" customWidth="1"/>
    <col min="10781" max="10781" width="39.7109375" style="21" customWidth="1"/>
    <col min="10782" max="10782" width="1" style="21" customWidth="1"/>
    <col min="10783" max="10783" width="12.7109375" style="21" customWidth="1"/>
    <col min="10784" max="10784" width="1.28515625" style="21" customWidth="1"/>
    <col min="10785" max="10785" width="11.42578125" style="21" customWidth="1"/>
    <col min="10786" max="10786" width="1" style="21" customWidth="1"/>
    <col min="10787" max="10787" width="10.42578125" style="21" customWidth="1"/>
    <col min="10788" max="10788" width="0.85546875" style="21" customWidth="1"/>
    <col min="10789" max="10789" width="14" style="21" customWidth="1"/>
    <col min="10790" max="10790" width="0.85546875" style="21" customWidth="1"/>
    <col min="10791" max="10791" width="8.42578125" style="21" customWidth="1"/>
    <col min="10792" max="10792" width="1.7109375" style="21" customWidth="1"/>
    <col min="10793" max="10793" width="9.28515625" style="21" customWidth="1"/>
    <col min="10794" max="10794" width="16" style="21" customWidth="1"/>
    <col min="10795" max="10795" width="0.5703125" style="21" customWidth="1"/>
    <col min="10796" max="10796" width="9.42578125" style="21" bestFit="1" customWidth="1"/>
    <col min="10797" max="10797" width="1.140625" style="21" customWidth="1"/>
    <col min="10798" max="11029" width="9.140625" style="21"/>
    <col min="11030" max="11030" width="2.140625" style="21" customWidth="1"/>
    <col min="11031" max="11031" width="14" style="21" customWidth="1"/>
    <col min="11032" max="11032" width="0.7109375" style="21" customWidth="1"/>
    <col min="11033" max="11033" width="17.140625" style="21" customWidth="1"/>
    <col min="11034" max="11034" width="1.140625" style="21" customWidth="1"/>
    <col min="11035" max="11035" width="18.28515625" style="21" customWidth="1"/>
    <col min="11036" max="11036" width="1" style="21" customWidth="1"/>
    <col min="11037" max="11037" width="39.7109375" style="21" customWidth="1"/>
    <col min="11038" max="11038" width="1" style="21" customWidth="1"/>
    <col min="11039" max="11039" width="12.7109375" style="21" customWidth="1"/>
    <col min="11040" max="11040" width="1.28515625" style="21" customWidth="1"/>
    <col min="11041" max="11041" width="11.42578125" style="21" customWidth="1"/>
    <col min="11042" max="11042" width="1" style="21" customWidth="1"/>
    <col min="11043" max="11043" width="10.42578125" style="21" customWidth="1"/>
    <col min="11044" max="11044" width="0.85546875" style="21" customWidth="1"/>
    <col min="11045" max="11045" width="14" style="21" customWidth="1"/>
    <col min="11046" max="11046" width="0.85546875" style="21" customWidth="1"/>
    <col min="11047" max="11047" width="8.42578125" style="21" customWidth="1"/>
    <col min="11048" max="11048" width="1.7109375" style="21" customWidth="1"/>
    <col min="11049" max="11049" width="9.28515625" style="21" customWidth="1"/>
    <col min="11050" max="11050" width="16" style="21" customWidth="1"/>
    <col min="11051" max="11051" width="0.5703125" style="21" customWidth="1"/>
    <col min="11052" max="11052" width="9.42578125" style="21" bestFit="1" customWidth="1"/>
    <col min="11053" max="11053" width="1.140625" style="21" customWidth="1"/>
    <col min="11054" max="11285" width="9.140625" style="21"/>
    <col min="11286" max="11286" width="2.140625" style="21" customWidth="1"/>
    <col min="11287" max="11287" width="14" style="21" customWidth="1"/>
    <col min="11288" max="11288" width="0.7109375" style="21" customWidth="1"/>
    <col min="11289" max="11289" width="17.140625" style="21" customWidth="1"/>
    <col min="11290" max="11290" width="1.140625" style="21" customWidth="1"/>
    <col min="11291" max="11291" width="18.28515625" style="21" customWidth="1"/>
    <col min="11292" max="11292" width="1" style="21" customWidth="1"/>
    <col min="11293" max="11293" width="39.7109375" style="21" customWidth="1"/>
    <col min="11294" max="11294" width="1" style="21" customWidth="1"/>
    <col min="11295" max="11295" width="12.7109375" style="21" customWidth="1"/>
    <col min="11296" max="11296" width="1.28515625" style="21" customWidth="1"/>
    <col min="11297" max="11297" width="11.42578125" style="21" customWidth="1"/>
    <col min="11298" max="11298" width="1" style="21" customWidth="1"/>
    <col min="11299" max="11299" width="10.42578125" style="21" customWidth="1"/>
    <col min="11300" max="11300" width="0.85546875" style="21" customWidth="1"/>
    <col min="11301" max="11301" width="14" style="21" customWidth="1"/>
    <col min="11302" max="11302" width="0.85546875" style="21" customWidth="1"/>
    <col min="11303" max="11303" width="8.42578125" style="21" customWidth="1"/>
    <col min="11304" max="11304" width="1.7109375" style="21" customWidth="1"/>
    <col min="11305" max="11305" width="9.28515625" style="21" customWidth="1"/>
    <col min="11306" max="11306" width="16" style="21" customWidth="1"/>
    <col min="11307" max="11307" width="0.5703125" style="21" customWidth="1"/>
    <col min="11308" max="11308" width="9.42578125" style="21" bestFit="1" customWidth="1"/>
    <col min="11309" max="11309" width="1.140625" style="21" customWidth="1"/>
    <col min="11310" max="11541" width="9.140625" style="21"/>
    <col min="11542" max="11542" width="2.140625" style="21" customWidth="1"/>
    <col min="11543" max="11543" width="14" style="21" customWidth="1"/>
    <col min="11544" max="11544" width="0.7109375" style="21" customWidth="1"/>
    <col min="11545" max="11545" width="17.140625" style="21" customWidth="1"/>
    <col min="11546" max="11546" width="1.140625" style="21" customWidth="1"/>
    <col min="11547" max="11547" width="18.28515625" style="21" customWidth="1"/>
    <col min="11548" max="11548" width="1" style="21" customWidth="1"/>
    <col min="11549" max="11549" width="39.7109375" style="21" customWidth="1"/>
    <col min="11550" max="11550" width="1" style="21" customWidth="1"/>
    <col min="11551" max="11551" width="12.7109375" style="21" customWidth="1"/>
    <col min="11552" max="11552" width="1.28515625" style="21" customWidth="1"/>
    <col min="11553" max="11553" width="11.42578125" style="21" customWidth="1"/>
    <col min="11554" max="11554" width="1" style="21" customWidth="1"/>
    <col min="11555" max="11555" width="10.42578125" style="21" customWidth="1"/>
    <col min="11556" max="11556" width="0.85546875" style="21" customWidth="1"/>
    <col min="11557" max="11557" width="14" style="21" customWidth="1"/>
    <col min="11558" max="11558" width="0.85546875" style="21" customWidth="1"/>
    <col min="11559" max="11559" width="8.42578125" style="21" customWidth="1"/>
    <col min="11560" max="11560" width="1.7109375" style="21" customWidth="1"/>
    <col min="11561" max="11561" width="9.28515625" style="21" customWidth="1"/>
    <col min="11562" max="11562" width="16" style="21" customWidth="1"/>
    <col min="11563" max="11563" width="0.5703125" style="21" customWidth="1"/>
    <col min="11564" max="11564" width="9.42578125" style="21" bestFit="1" customWidth="1"/>
    <col min="11565" max="11565" width="1.140625" style="21" customWidth="1"/>
    <col min="11566" max="11797" width="9.140625" style="21"/>
    <col min="11798" max="11798" width="2.140625" style="21" customWidth="1"/>
    <col min="11799" max="11799" width="14" style="21" customWidth="1"/>
    <col min="11800" max="11800" width="0.7109375" style="21" customWidth="1"/>
    <col min="11801" max="11801" width="17.140625" style="21" customWidth="1"/>
    <col min="11802" max="11802" width="1.140625" style="21" customWidth="1"/>
    <col min="11803" max="11803" width="18.28515625" style="21" customWidth="1"/>
    <col min="11804" max="11804" width="1" style="21" customWidth="1"/>
    <col min="11805" max="11805" width="39.7109375" style="21" customWidth="1"/>
    <col min="11806" max="11806" width="1" style="21" customWidth="1"/>
    <col min="11807" max="11807" width="12.7109375" style="21" customWidth="1"/>
    <col min="11808" max="11808" width="1.28515625" style="21" customWidth="1"/>
    <col min="11809" max="11809" width="11.42578125" style="21" customWidth="1"/>
    <col min="11810" max="11810" width="1" style="21" customWidth="1"/>
    <col min="11811" max="11811" width="10.42578125" style="21" customWidth="1"/>
    <col min="11812" max="11812" width="0.85546875" style="21" customWidth="1"/>
    <col min="11813" max="11813" width="14" style="21" customWidth="1"/>
    <col min="11814" max="11814" width="0.85546875" style="21" customWidth="1"/>
    <col min="11815" max="11815" width="8.42578125" style="21" customWidth="1"/>
    <col min="11816" max="11816" width="1.7109375" style="21" customWidth="1"/>
    <col min="11817" max="11817" width="9.28515625" style="21" customWidth="1"/>
    <col min="11818" max="11818" width="16" style="21" customWidth="1"/>
    <col min="11819" max="11819" width="0.5703125" style="21" customWidth="1"/>
    <col min="11820" max="11820" width="9.42578125" style="21" bestFit="1" customWidth="1"/>
    <col min="11821" max="11821" width="1.140625" style="21" customWidth="1"/>
    <col min="11822" max="12053" width="9.140625" style="21"/>
    <col min="12054" max="12054" width="2.140625" style="21" customWidth="1"/>
    <col min="12055" max="12055" width="14" style="21" customWidth="1"/>
    <col min="12056" max="12056" width="0.7109375" style="21" customWidth="1"/>
    <col min="12057" max="12057" width="17.140625" style="21" customWidth="1"/>
    <col min="12058" max="12058" width="1.140625" style="21" customWidth="1"/>
    <col min="12059" max="12059" width="18.28515625" style="21" customWidth="1"/>
    <col min="12060" max="12060" width="1" style="21" customWidth="1"/>
    <col min="12061" max="12061" width="39.7109375" style="21" customWidth="1"/>
    <col min="12062" max="12062" width="1" style="21" customWidth="1"/>
    <col min="12063" max="12063" width="12.7109375" style="21" customWidth="1"/>
    <col min="12064" max="12064" width="1.28515625" style="21" customWidth="1"/>
    <col min="12065" max="12065" width="11.42578125" style="21" customWidth="1"/>
    <col min="12066" max="12066" width="1" style="21" customWidth="1"/>
    <col min="12067" max="12067" width="10.42578125" style="21" customWidth="1"/>
    <col min="12068" max="12068" width="0.85546875" style="21" customWidth="1"/>
    <col min="12069" max="12069" width="14" style="21" customWidth="1"/>
    <col min="12070" max="12070" width="0.85546875" style="21" customWidth="1"/>
    <col min="12071" max="12071" width="8.42578125" style="21" customWidth="1"/>
    <col min="12072" max="12072" width="1.7109375" style="21" customWidth="1"/>
    <col min="12073" max="12073" width="9.28515625" style="21" customWidth="1"/>
    <col min="12074" max="12074" width="16" style="21" customWidth="1"/>
    <col min="12075" max="12075" width="0.5703125" style="21" customWidth="1"/>
    <col min="12076" max="12076" width="9.42578125" style="21" bestFit="1" customWidth="1"/>
    <col min="12077" max="12077" width="1.140625" style="21" customWidth="1"/>
    <col min="12078" max="12309" width="9.140625" style="21"/>
    <col min="12310" max="12310" width="2.140625" style="21" customWidth="1"/>
    <col min="12311" max="12311" width="14" style="21" customWidth="1"/>
    <col min="12312" max="12312" width="0.7109375" style="21" customWidth="1"/>
    <col min="12313" max="12313" width="17.140625" style="21" customWidth="1"/>
    <col min="12314" max="12314" width="1.140625" style="21" customWidth="1"/>
    <col min="12315" max="12315" width="18.28515625" style="21" customWidth="1"/>
    <col min="12316" max="12316" width="1" style="21" customWidth="1"/>
    <col min="12317" max="12317" width="39.7109375" style="21" customWidth="1"/>
    <col min="12318" max="12318" width="1" style="21" customWidth="1"/>
    <col min="12319" max="12319" width="12.7109375" style="21" customWidth="1"/>
    <col min="12320" max="12320" width="1.28515625" style="21" customWidth="1"/>
    <col min="12321" max="12321" width="11.42578125" style="21" customWidth="1"/>
    <col min="12322" max="12322" width="1" style="21" customWidth="1"/>
    <col min="12323" max="12323" width="10.42578125" style="21" customWidth="1"/>
    <col min="12324" max="12324" width="0.85546875" style="21" customWidth="1"/>
    <col min="12325" max="12325" width="14" style="21" customWidth="1"/>
    <col min="12326" max="12326" width="0.85546875" style="21" customWidth="1"/>
    <col min="12327" max="12327" width="8.42578125" style="21" customWidth="1"/>
    <col min="12328" max="12328" width="1.7109375" style="21" customWidth="1"/>
    <col min="12329" max="12329" width="9.28515625" style="21" customWidth="1"/>
    <col min="12330" max="12330" width="16" style="21" customWidth="1"/>
    <col min="12331" max="12331" width="0.5703125" style="21" customWidth="1"/>
    <col min="12332" max="12332" width="9.42578125" style="21" bestFit="1" customWidth="1"/>
    <col min="12333" max="12333" width="1.140625" style="21" customWidth="1"/>
    <col min="12334" max="12565" width="9.140625" style="21"/>
    <col min="12566" max="12566" width="2.140625" style="21" customWidth="1"/>
    <col min="12567" max="12567" width="14" style="21" customWidth="1"/>
    <col min="12568" max="12568" width="0.7109375" style="21" customWidth="1"/>
    <col min="12569" max="12569" width="17.140625" style="21" customWidth="1"/>
    <col min="12570" max="12570" width="1.140625" style="21" customWidth="1"/>
    <col min="12571" max="12571" width="18.28515625" style="21" customWidth="1"/>
    <col min="12572" max="12572" width="1" style="21" customWidth="1"/>
    <col min="12573" max="12573" width="39.7109375" style="21" customWidth="1"/>
    <col min="12574" max="12574" width="1" style="21" customWidth="1"/>
    <col min="12575" max="12575" width="12.7109375" style="21" customWidth="1"/>
    <col min="12576" max="12576" width="1.28515625" style="21" customWidth="1"/>
    <col min="12577" max="12577" width="11.42578125" style="21" customWidth="1"/>
    <col min="12578" max="12578" width="1" style="21" customWidth="1"/>
    <col min="12579" max="12579" width="10.42578125" style="21" customWidth="1"/>
    <col min="12580" max="12580" width="0.85546875" style="21" customWidth="1"/>
    <col min="12581" max="12581" width="14" style="21" customWidth="1"/>
    <col min="12582" max="12582" width="0.85546875" style="21" customWidth="1"/>
    <col min="12583" max="12583" width="8.42578125" style="21" customWidth="1"/>
    <col min="12584" max="12584" width="1.7109375" style="21" customWidth="1"/>
    <col min="12585" max="12585" width="9.28515625" style="21" customWidth="1"/>
    <col min="12586" max="12586" width="16" style="21" customWidth="1"/>
    <col min="12587" max="12587" width="0.5703125" style="21" customWidth="1"/>
    <col min="12588" max="12588" width="9.42578125" style="21" bestFit="1" customWidth="1"/>
    <col min="12589" max="12589" width="1.140625" style="21" customWidth="1"/>
    <col min="12590" max="12821" width="9.140625" style="21"/>
    <col min="12822" max="12822" width="2.140625" style="21" customWidth="1"/>
    <col min="12823" max="12823" width="14" style="21" customWidth="1"/>
    <col min="12824" max="12824" width="0.7109375" style="21" customWidth="1"/>
    <col min="12825" max="12825" width="17.140625" style="21" customWidth="1"/>
    <col min="12826" max="12826" width="1.140625" style="21" customWidth="1"/>
    <col min="12827" max="12827" width="18.28515625" style="21" customWidth="1"/>
    <col min="12828" max="12828" width="1" style="21" customWidth="1"/>
    <col min="12829" max="12829" width="39.7109375" style="21" customWidth="1"/>
    <col min="12830" max="12830" width="1" style="21" customWidth="1"/>
    <col min="12831" max="12831" width="12.7109375" style="21" customWidth="1"/>
    <col min="12832" max="12832" width="1.28515625" style="21" customWidth="1"/>
    <col min="12833" max="12833" width="11.42578125" style="21" customWidth="1"/>
    <col min="12834" max="12834" width="1" style="21" customWidth="1"/>
    <col min="12835" max="12835" width="10.42578125" style="21" customWidth="1"/>
    <col min="12836" max="12836" width="0.85546875" style="21" customWidth="1"/>
    <col min="12837" max="12837" width="14" style="21" customWidth="1"/>
    <col min="12838" max="12838" width="0.85546875" style="21" customWidth="1"/>
    <col min="12839" max="12839" width="8.42578125" style="21" customWidth="1"/>
    <col min="12840" max="12840" width="1.7109375" style="21" customWidth="1"/>
    <col min="12841" max="12841" width="9.28515625" style="21" customWidth="1"/>
    <col min="12842" max="12842" width="16" style="21" customWidth="1"/>
    <col min="12843" max="12843" width="0.5703125" style="21" customWidth="1"/>
    <col min="12844" max="12844" width="9.42578125" style="21" bestFit="1" customWidth="1"/>
    <col min="12845" max="12845" width="1.140625" style="21" customWidth="1"/>
    <col min="12846" max="13077" width="9.140625" style="21"/>
    <col min="13078" max="13078" width="2.140625" style="21" customWidth="1"/>
    <col min="13079" max="13079" width="14" style="21" customWidth="1"/>
    <col min="13080" max="13080" width="0.7109375" style="21" customWidth="1"/>
    <col min="13081" max="13081" width="17.140625" style="21" customWidth="1"/>
    <col min="13082" max="13082" width="1.140625" style="21" customWidth="1"/>
    <col min="13083" max="13083" width="18.28515625" style="21" customWidth="1"/>
    <col min="13084" max="13084" width="1" style="21" customWidth="1"/>
    <col min="13085" max="13085" width="39.7109375" style="21" customWidth="1"/>
    <col min="13086" max="13086" width="1" style="21" customWidth="1"/>
    <col min="13087" max="13087" width="12.7109375" style="21" customWidth="1"/>
    <col min="13088" max="13088" width="1.28515625" style="21" customWidth="1"/>
    <col min="13089" max="13089" width="11.42578125" style="21" customWidth="1"/>
    <col min="13090" max="13090" width="1" style="21" customWidth="1"/>
    <col min="13091" max="13091" width="10.42578125" style="21" customWidth="1"/>
    <col min="13092" max="13092" width="0.85546875" style="21" customWidth="1"/>
    <col min="13093" max="13093" width="14" style="21" customWidth="1"/>
    <col min="13094" max="13094" width="0.85546875" style="21" customWidth="1"/>
    <col min="13095" max="13095" width="8.42578125" style="21" customWidth="1"/>
    <col min="13096" max="13096" width="1.7109375" style="21" customWidth="1"/>
    <col min="13097" max="13097" width="9.28515625" style="21" customWidth="1"/>
    <col min="13098" max="13098" width="16" style="21" customWidth="1"/>
    <col min="13099" max="13099" width="0.5703125" style="21" customWidth="1"/>
    <col min="13100" max="13100" width="9.42578125" style="21" bestFit="1" customWidth="1"/>
    <col min="13101" max="13101" width="1.140625" style="21" customWidth="1"/>
    <col min="13102" max="13333" width="9.140625" style="21"/>
    <col min="13334" max="13334" width="2.140625" style="21" customWidth="1"/>
    <col min="13335" max="13335" width="14" style="21" customWidth="1"/>
    <col min="13336" max="13336" width="0.7109375" style="21" customWidth="1"/>
    <col min="13337" max="13337" width="17.140625" style="21" customWidth="1"/>
    <col min="13338" max="13338" width="1.140625" style="21" customWidth="1"/>
    <col min="13339" max="13339" width="18.28515625" style="21" customWidth="1"/>
    <col min="13340" max="13340" width="1" style="21" customWidth="1"/>
    <col min="13341" max="13341" width="39.7109375" style="21" customWidth="1"/>
    <col min="13342" max="13342" width="1" style="21" customWidth="1"/>
    <col min="13343" max="13343" width="12.7109375" style="21" customWidth="1"/>
    <col min="13344" max="13344" width="1.28515625" style="21" customWidth="1"/>
    <col min="13345" max="13345" width="11.42578125" style="21" customWidth="1"/>
    <col min="13346" max="13346" width="1" style="21" customWidth="1"/>
    <col min="13347" max="13347" width="10.42578125" style="21" customWidth="1"/>
    <col min="13348" max="13348" width="0.85546875" style="21" customWidth="1"/>
    <col min="13349" max="13349" width="14" style="21" customWidth="1"/>
    <col min="13350" max="13350" width="0.85546875" style="21" customWidth="1"/>
    <col min="13351" max="13351" width="8.42578125" style="21" customWidth="1"/>
    <col min="13352" max="13352" width="1.7109375" style="21" customWidth="1"/>
    <col min="13353" max="13353" width="9.28515625" style="21" customWidth="1"/>
    <col min="13354" max="13354" width="16" style="21" customWidth="1"/>
    <col min="13355" max="13355" width="0.5703125" style="21" customWidth="1"/>
    <col min="13356" max="13356" width="9.42578125" style="21" bestFit="1" customWidth="1"/>
    <col min="13357" max="13357" width="1.140625" style="21" customWidth="1"/>
    <col min="13358" max="13589" width="9.140625" style="21"/>
    <col min="13590" max="13590" width="2.140625" style="21" customWidth="1"/>
    <col min="13591" max="13591" width="14" style="21" customWidth="1"/>
    <col min="13592" max="13592" width="0.7109375" style="21" customWidth="1"/>
    <col min="13593" max="13593" width="17.140625" style="21" customWidth="1"/>
    <col min="13594" max="13594" width="1.140625" style="21" customWidth="1"/>
    <col min="13595" max="13595" width="18.28515625" style="21" customWidth="1"/>
    <col min="13596" max="13596" width="1" style="21" customWidth="1"/>
    <col min="13597" max="13597" width="39.7109375" style="21" customWidth="1"/>
    <col min="13598" max="13598" width="1" style="21" customWidth="1"/>
    <col min="13599" max="13599" width="12.7109375" style="21" customWidth="1"/>
    <col min="13600" max="13600" width="1.28515625" style="21" customWidth="1"/>
    <col min="13601" max="13601" width="11.42578125" style="21" customWidth="1"/>
    <col min="13602" max="13602" width="1" style="21" customWidth="1"/>
    <col min="13603" max="13603" width="10.42578125" style="21" customWidth="1"/>
    <col min="13604" max="13604" width="0.85546875" style="21" customWidth="1"/>
    <col min="13605" max="13605" width="14" style="21" customWidth="1"/>
    <col min="13606" max="13606" width="0.85546875" style="21" customWidth="1"/>
    <col min="13607" max="13607" width="8.42578125" style="21" customWidth="1"/>
    <col min="13608" max="13608" width="1.7109375" style="21" customWidth="1"/>
    <col min="13609" max="13609" width="9.28515625" style="21" customWidth="1"/>
    <col min="13610" max="13610" width="16" style="21" customWidth="1"/>
    <col min="13611" max="13611" width="0.5703125" style="21" customWidth="1"/>
    <col min="13612" max="13612" width="9.42578125" style="21" bestFit="1" customWidth="1"/>
    <col min="13613" max="13613" width="1.140625" style="21" customWidth="1"/>
    <col min="13614" max="13845" width="9.140625" style="21"/>
    <col min="13846" max="13846" width="2.140625" style="21" customWidth="1"/>
    <col min="13847" max="13847" width="14" style="21" customWidth="1"/>
    <col min="13848" max="13848" width="0.7109375" style="21" customWidth="1"/>
    <col min="13849" max="13849" width="17.140625" style="21" customWidth="1"/>
    <col min="13850" max="13850" width="1.140625" style="21" customWidth="1"/>
    <col min="13851" max="13851" width="18.28515625" style="21" customWidth="1"/>
    <col min="13852" max="13852" width="1" style="21" customWidth="1"/>
    <col min="13853" max="13853" width="39.7109375" style="21" customWidth="1"/>
    <col min="13854" max="13854" width="1" style="21" customWidth="1"/>
    <col min="13855" max="13855" width="12.7109375" style="21" customWidth="1"/>
    <col min="13856" max="13856" width="1.28515625" style="21" customWidth="1"/>
    <col min="13857" max="13857" width="11.42578125" style="21" customWidth="1"/>
    <col min="13858" max="13858" width="1" style="21" customWidth="1"/>
    <col min="13859" max="13859" width="10.42578125" style="21" customWidth="1"/>
    <col min="13860" max="13860" width="0.85546875" style="21" customWidth="1"/>
    <col min="13861" max="13861" width="14" style="21" customWidth="1"/>
    <col min="13862" max="13862" width="0.85546875" style="21" customWidth="1"/>
    <col min="13863" max="13863" width="8.42578125" style="21" customWidth="1"/>
    <col min="13864" max="13864" width="1.7109375" style="21" customWidth="1"/>
    <col min="13865" max="13865" width="9.28515625" style="21" customWidth="1"/>
    <col min="13866" max="13866" width="16" style="21" customWidth="1"/>
    <col min="13867" max="13867" width="0.5703125" style="21" customWidth="1"/>
    <col min="13868" max="13868" width="9.42578125" style="21" bestFit="1" customWidth="1"/>
    <col min="13869" max="13869" width="1.140625" style="21" customWidth="1"/>
    <col min="13870" max="14101" width="9.140625" style="21"/>
    <col min="14102" max="14102" width="2.140625" style="21" customWidth="1"/>
    <col min="14103" max="14103" width="14" style="21" customWidth="1"/>
    <col min="14104" max="14104" width="0.7109375" style="21" customWidth="1"/>
    <col min="14105" max="14105" width="17.140625" style="21" customWidth="1"/>
    <col min="14106" max="14106" width="1.140625" style="21" customWidth="1"/>
    <col min="14107" max="14107" width="18.28515625" style="21" customWidth="1"/>
    <col min="14108" max="14108" width="1" style="21" customWidth="1"/>
    <col min="14109" max="14109" width="39.7109375" style="21" customWidth="1"/>
    <col min="14110" max="14110" width="1" style="21" customWidth="1"/>
    <col min="14111" max="14111" width="12.7109375" style="21" customWidth="1"/>
    <col min="14112" max="14112" width="1.28515625" style="21" customWidth="1"/>
    <col min="14113" max="14113" width="11.42578125" style="21" customWidth="1"/>
    <col min="14114" max="14114" width="1" style="21" customWidth="1"/>
    <col min="14115" max="14115" width="10.42578125" style="21" customWidth="1"/>
    <col min="14116" max="14116" width="0.85546875" style="21" customWidth="1"/>
    <col min="14117" max="14117" width="14" style="21" customWidth="1"/>
    <col min="14118" max="14118" width="0.85546875" style="21" customWidth="1"/>
    <col min="14119" max="14119" width="8.42578125" style="21" customWidth="1"/>
    <col min="14120" max="14120" width="1.7109375" style="21" customWidth="1"/>
    <col min="14121" max="14121" width="9.28515625" style="21" customWidth="1"/>
    <col min="14122" max="14122" width="16" style="21" customWidth="1"/>
    <col min="14123" max="14123" width="0.5703125" style="21" customWidth="1"/>
    <col min="14124" max="14124" width="9.42578125" style="21" bestFit="1" customWidth="1"/>
    <col min="14125" max="14125" width="1.140625" style="21" customWidth="1"/>
    <col min="14126" max="14357" width="9.140625" style="21"/>
    <col min="14358" max="14358" width="2.140625" style="21" customWidth="1"/>
    <col min="14359" max="14359" width="14" style="21" customWidth="1"/>
    <col min="14360" max="14360" width="0.7109375" style="21" customWidth="1"/>
    <col min="14361" max="14361" width="17.140625" style="21" customWidth="1"/>
    <col min="14362" max="14362" width="1.140625" style="21" customWidth="1"/>
    <col min="14363" max="14363" width="18.28515625" style="21" customWidth="1"/>
    <col min="14364" max="14364" width="1" style="21" customWidth="1"/>
    <col min="14365" max="14365" width="39.7109375" style="21" customWidth="1"/>
    <col min="14366" max="14366" width="1" style="21" customWidth="1"/>
    <col min="14367" max="14367" width="12.7109375" style="21" customWidth="1"/>
    <col min="14368" max="14368" width="1.28515625" style="21" customWidth="1"/>
    <col min="14369" max="14369" width="11.42578125" style="21" customWidth="1"/>
    <col min="14370" max="14370" width="1" style="21" customWidth="1"/>
    <col min="14371" max="14371" width="10.42578125" style="21" customWidth="1"/>
    <col min="14372" max="14372" width="0.85546875" style="21" customWidth="1"/>
    <col min="14373" max="14373" width="14" style="21" customWidth="1"/>
    <col min="14374" max="14374" width="0.85546875" style="21" customWidth="1"/>
    <col min="14375" max="14375" width="8.42578125" style="21" customWidth="1"/>
    <col min="14376" max="14376" width="1.7109375" style="21" customWidth="1"/>
    <col min="14377" max="14377" width="9.28515625" style="21" customWidth="1"/>
    <col min="14378" max="14378" width="16" style="21" customWidth="1"/>
    <col min="14379" max="14379" width="0.5703125" style="21" customWidth="1"/>
    <col min="14380" max="14380" width="9.42578125" style="21" bestFit="1" customWidth="1"/>
    <col min="14381" max="14381" width="1.140625" style="21" customWidth="1"/>
    <col min="14382" max="14613" width="9.140625" style="21"/>
    <col min="14614" max="14614" width="2.140625" style="21" customWidth="1"/>
    <col min="14615" max="14615" width="14" style="21" customWidth="1"/>
    <col min="14616" max="14616" width="0.7109375" style="21" customWidth="1"/>
    <col min="14617" max="14617" width="17.140625" style="21" customWidth="1"/>
    <col min="14618" max="14618" width="1.140625" style="21" customWidth="1"/>
    <col min="14619" max="14619" width="18.28515625" style="21" customWidth="1"/>
    <col min="14620" max="14620" width="1" style="21" customWidth="1"/>
    <col min="14621" max="14621" width="39.7109375" style="21" customWidth="1"/>
    <col min="14622" max="14622" width="1" style="21" customWidth="1"/>
    <col min="14623" max="14623" width="12.7109375" style="21" customWidth="1"/>
    <col min="14624" max="14624" width="1.28515625" style="21" customWidth="1"/>
    <col min="14625" max="14625" width="11.42578125" style="21" customWidth="1"/>
    <col min="14626" max="14626" width="1" style="21" customWidth="1"/>
    <col min="14627" max="14627" width="10.42578125" style="21" customWidth="1"/>
    <col min="14628" max="14628" width="0.85546875" style="21" customWidth="1"/>
    <col min="14629" max="14629" width="14" style="21" customWidth="1"/>
    <col min="14630" max="14630" width="0.85546875" style="21" customWidth="1"/>
    <col min="14631" max="14631" width="8.42578125" style="21" customWidth="1"/>
    <col min="14632" max="14632" width="1.7109375" style="21" customWidth="1"/>
    <col min="14633" max="14633" width="9.28515625" style="21" customWidth="1"/>
    <col min="14634" max="14634" width="16" style="21" customWidth="1"/>
    <col min="14635" max="14635" width="0.5703125" style="21" customWidth="1"/>
    <col min="14636" max="14636" width="9.42578125" style="21" bestFit="1" customWidth="1"/>
    <col min="14637" max="14637" width="1.140625" style="21" customWidth="1"/>
    <col min="14638" max="14869" width="9.140625" style="21"/>
    <col min="14870" max="14870" width="2.140625" style="21" customWidth="1"/>
    <col min="14871" max="14871" width="14" style="21" customWidth="1"/>
    <col min="14872" max="14872" width="0.7109375" style="21" customWidth="1"/>
    <col min="14873" max="14873" width="17.140625" style="21" customWidth="1"/>
    <col min="14874" max="14874" width="1.140625" style="21" customWidth="1"/>
    <col min="14875" max="14875" width="18.28515625" style="21" customWidth="1"/>
    <col min="14876" max="14876" width="1" style="21" customWidth="1"/>
    <col min="14877" max="14877" width="39.7109375" style="21" customWidth="1"/>
    <col min="14878" max="14878" width="1" style="21" customWidth="1"/>
    <col min="14879" max="14879" width="12.7109375" style="21" customWidth="1"/>
    <col min="14880" max="14880" width="1.28515625" style="21" customWidth="1"/>
    <col min="14881" max="14881" width="11.42578125" style="21" customWidth="1"/>
    <col min="14882" max="14882" width="1" style="21" customWidth="1"/>
    <col min="14883" max="14883" width="10.42578125" style="21" customWidth="1"/>
    <col min="14884" max="14884" width="0.85546875" style="21" customWidth="1"/>
    <col min="14885" max="14885" width="14" style="21" customWidth="1"/>
    <col min="14886" max="14886" width="0.85546875" style="21" customWidth="1"/>
    <col min="14887" max="14887" width="8.42578125" style="21" customWidth="1"/>
    <col min="14888" max="14888" width="1.7109375" style="21" customWidth="1"/>
    <col min="14889" max="14889" width="9.28515625" style="21" customWidth="1"/>
    <col min="14890" max="14890" width="16" style="21" customWidth="1"/>
    <col min="14891" max="14891" width="0.5703125" style="21" customWidth="1"/>
    <col min="14892" max="14892" width="9.42578125" style="21" bestFit="1" customWidth="1"/>
    <col min="14893" max="14893" width="1.140625" style="21" customWidth="1"/>
    <col min="14894" max="15125" width="9.140625" style="21"/>
    <col min="15126" max="15126" width="2.140625" style="21" customWidth="1"/>
    <col min="15127" max="15127" width="14" style="21" customWidth="1"/>
    <col min="15128" max="15128" width="0.7109375" style="21" customWidth="1"/>
    <col min="15129" max="15129" width="17.140625" style="21" customWidth="1"/>
    <col min="15130" max="15130" width="1.140625" style="21" customWidth="1"/>
    <col min="15131" max="15131" width="18.28515625" style="21" customWidth="1"/>
    <col min="15132" max="15132" width="1" style="21" customWidth="1"/>
    <col min="15133" max="15133" width="39.7109375" style="21" customWidth="1"/>
    <col min="15134" max="15134" width="1" style="21" customWidth="1"/>
    <col min="15135" max="15135" width="12.7109375" style="21" customWidth="1"/>
    <col min="15136" max="15136" width="1.28515625" style="21" customWidth="1"/>
    <col min="15137" max="15137" width="11.42578125" style="21" customWidth="1"/>
    <col min="15138" max="15138" width="1" style="21" customWidth="1"/>
    <col min="15139" max="15139" width="10.42578125" style="21" customWidth="1"/>
    <col min="15140" max="15140" width="0.85546875" style="21" customWidth="1"/>
    <col min="15141" max="15141" width="14" style="21" customWidth="1"/>
    <col min="15142" max="15142" width="0.85546875" style="21" customWidth="1"/>
    <col min="15143" max="15143" width="8.42578125" style="21" customWidth="1"/>
    <col min="15144" max="15144" width="1.7109375" style="21" customWidth="1"/>
    <col min="15145" max="15145" width="9.28515625" style="21" customWidth="1"/>
    <col min="15146" max="15146" width="16" style="21" customWidth="1"/>
    <col min="15147" max="15147" width="0.5703125" style="21" customWidth="1"/>
    <col min="15148" max="15148" width="9.42578125" style="21" bestFit="1" customWidth="1"/>
    <col min="15149" max="15149" width="1.140625" style="21" customWidth="1"/>
    <col min="15150" max="15381" width="9.140625" style="21"/>
    <col min="15382" max="15382" width="2.140625" style="21" customWidth="1"/>
    <col min="15383" max="15383" width="14" style="21" customWidth="1"/>
    <col min="15384" max="15384" width="0.7109375" style="21" customWidth="1"/>
    <col min="15385" max="15385" width="17.140625" style="21" customWidth="1"/>
    <col min="15386" max="15386" width="1.140625" style="21" customWidth="1"/>
    <col min="15387" max="15387" width="18.28515625" style="21" customWidth="1"/>
    <col min="15388" max="15388" width="1" style="21" customWidth="1"/>
    <col min="15389" max="15389" width="39.7109375" style="21" customWidth="1"/>
    <col min="15390" max="15390" width="1" style="21" customWidth="1"/>
    <col min="15391" max="15391" width="12.7109375" style="21" customWidth="1"/>
    <col min="15392" max="15392" width="1.28515625" style="21" customWidth="1"/>
    <col min="15393" max="15393" width="11.42578125" style="21" customWidth="1"/>
    <col min="15394" max="15394" width="1" style="21" customWidth="1"/>
    <col min="15395" max="15395" width="10.42578125" style="21" customWidth="1"/>
    <col min="15396" max="15396" width="0.85546875" style="21" customWidth="1"/>
    <col min="15397" max="15397" width="14" style="21" customWidth="1"/>
    <col min="15398" max="15398" width="0.85546875" style="21" customWidth="1"/>
    <col min="15399" max="15399" width="8.42578125" style="21" customWidth="1"/>
    <col min="15400" max="15400" width="1.7109375" style="21" customWidth="1"/>
    <col min="15401" max="15401" width="9.28515625" style="21" customWidth="1"/>
    <col min="15402" max="15402" width="16" style="21" customWidth="1"/>
    <col min="15403" max="15403" width="0.5703125" style="21" customWidth="1"/>
    <col min="15404" max="15404" width="9.42578125" style="21" bestFit="1" customWidth="1"/>
    <col min="15405" max="15405" width="1.140625" style="21" customWidth="1"/>
    <col min="15406" max="15637" width="9.140625" style="21"/>
    <col min="15638" max="15638" width="2.140625" style="21" customWidth="1"/>
    <col min="15639" max="15639" width="14" style="21" customWidth="1"/>
    <col min="15640" max="15640" width="0.7109375" style="21" customWidth="1"/>
    <col min="15641" max="15641" width="17.140625" style="21" customWidth="1"/>
    <col min="15642" max="15642" width="1.140625" style="21" customWidth="1"/>
    <col min="15643" max="15643" width="18.28515625" style="21" customWidth="1"/>
    <col min="15644" max="15644" width="1" style="21" customWidth="1"/>
    <col min="15645" max="15645" width="39.7109375" style="21" customWidth="1"/>
    <col min="15646" max="15646" width="1" style="21" customWidth="1"/>
    <col min="15647" max="15647" width="12.7109375" style="21" customWidth="1"/>
    <col min="15648" max="15648" width="1.28515625" style="21" customWidth="1"/>
    <col min="15649" max="15649" width="11.42578125" style="21" customWidth="1"/>
    <col min="15650" max="15650" width="1" style="21" customWidth="1"/>
    <col min="15651" max="15651" width="10.42578125" style="21" customWidth="1"/>
    <col min="15652" max="15652" width="0.85546875" style="21" customWidth="1"/>
    <col min="15653" max="15653" width="14" style="21" customWidth="1"/>
    <col min="15654" max="15654" width="0.85546875" style="21" customWidth="1"/>
    <col min="15655" max="15655" width="8.42578125" style="21" customWidth="1"/>
    <col min="15656" max="15656" width="1.7109375" style="21" customWidth="1"/>
    <col min="15657" max="15657" width="9.28515625" style="21" customWidth="1"/>
    <col min="15658" max="15658" width="16" style="21" customWidth="1"/>
    <col min="15659" max="15659" width="0.5703125" style="21" customWidth="1"/>
    <col min="15660" max="15660" width="9.42578125" style="21" bestFit="1" customWidth="1"/>
    <col min="15661" max="15661" width="1.140625" style="21" customWidth="1"/>
    <col min="15662" max="15893" width="9.140625" style="21"/>
    <col min="15894" max="15894" width="2.140625" style="21" customWidth="1"/>
    <col min="15895" max="15895" width="14" style="21" customWidth="1"/>
    <col min="15896" max="15896" width="0.7109375" style="21" customWidth="1"/>
    <col min="15897" max="15897" width="17.140625" style="21" customWidth="1"/>
    <col min="15898" max="15898" width="1.140625" style="21" customWidth="1"/>
    <col min="15899" max="15899" width="18.28515625" style="21" customWidth="1"/>
    <col min="15900" max="15900" width="1" style="21" customWidth="1"/>
    <col min="15901" max="15901" width="39.7109375" style="21" customWidth="1"/>
    <col min="15902" max="15902" width="1" style="21" customWidth="1"/>
    <col min="15903" max="15903" width="12.7109375" style="21" customWidth="1"/>
    <col min="15904" max="15904" width="1.28515625" style="21" customWidth="1"/>
    <col min="15905" max="15905" width="11.42578125" style="21" customWidth="1"/>
    <col min="15906" max="15906" width="1" style="21" customWidth="1"/>
    <col min="15907" max="15907" width="10.42578125" style="21" customWidth="1"/>
    <col min="15908" max="15908" width="0.85546875" style="21" customWidth="1"/>
    <col min="15909" max="15909" width="14" style="21" customWidth="1"/>
    <col min="15910" max="15910" width="0.85546875" style="21" customWidth="1"/>
    <col min="15911" max="15911" width="8.42578125" style="21" customWidth="1"/>
    <col min="15912" max="15912" width="1.7109375" style="21" customWidth="1"/>
    <col min="15913" max="15913" width="9.28515625" style="21" customWidth="1"/>
    <col min="15914" max="15914" width="16" style="21" customWidth="1"/>
    <col min="15915" max="15915" width="0.5703125" style="21" customWidth="1"/>
    <col min="15916" max="15916" width="9.42578125" style="21" bestFit="1" customWidth="1"/>
    <col min="15917" max="15917" width="1.140625" style="21" customWidth="1"/>
    <col min="15918" max="16149" width="9.140625" style="21"/>
    <col min="16150" max="16150" width="2.140625" style="21" customWidth="1"/>
    <col min="16151" max="16151" width="14" style="21" customWidth="1"/>
    <col min="16152" max="16152" width="0.7109375" style="21" customWidth="1"/>
    <col min="16153" max="16153" width="17.140625" style="21" customWidth="1"/>
    <col min="16154" max="16154" width="1.140625" style="21" customWidth="1"/>
    <col min="16155" max="16155" width="18.28515625" style="21" customWidth="1"/>
    <col min="16156" max="16156" width="1" style="21" customWidth="1"/>
    <col min="16157" max="16157" width="39.7109375" style="21" customWidth="1"/>
    <col min="16158" max="16158" width="1" style="21" customWidth="1"/>
    <col min="16159" max="16159" width="12.7109375" style="21" customWidth="1"/>
    <col min="16160" max="16160" width="1.28515625" style="21" customWidth="1"/>
    <col min="16161" max="16161" width="11.42578125" style="21" customWidth="1"/>
    <col min="16162" max="16162" width="1" style="21" customWidth="1"/>
    <col min="16163" max="16163" width="10.42578125" style="21" customWidth="1"/>
    <col min="16164" max="16164" width="0.85546875" style="21" customWidth="1"/>
    <col min="16165" max="16165" width="14" style="21" customWidth="1"/>
    <col min="16166" max="16166" width="0.85546875" style="21" customWidth="1"/>
    <col min="16167" max="16167" width="8.42578125" style="21" customWidth="1"/>
    <col min="16168" max="16168" width="1.7109375" style="21" customWidth="1"/>
    <col min="16169" max="16169" width="9.28515625" style="21" customWidth="1"/>
    <col min="16170" max="16170" width="16" style="21" customWidth="1"/>
    <col min="16171" max="16171" width="0.5703125" style="21" customWidth="1"/>
    <col min="16172" max="16172" width="9.42578125" style="21" bestFit="1" customWidth="1"/>
    <col min="16173" max="16173" width="1.140625" style="21" customWidth="1"/>
    <col min="16174" max="16384" width="9.140625" style="21"/>
  </cols>
  <sheetData>
    <row r="1" spans="1:178" ht="48" x14ac:dyDescent="0.2">
      <c r="A1" s="81"/>
      <c r="B1" s="82" t="s">
        <v>9</v>
      </c>
      <c r="C1" s="81"/>
      <c r="D1" s="82" t="s">
        <v>39</v>
      </c>
      <c r="E1" s="81"/>
      <c r="F1" s="83" t="s">
        <v>0</v>
      </c>
      <c r="G1" s="82"/>
      <c r="H1" s="83" t="s">
        <v>1</v>
      </c>
      <c r="I1" s="82"/>
      <c r="J1" s="84" t="s">
        <v>4</v>
      </c>
      <c r="K1" s="81"/>
      <c r="L1" s="82" t="s">
        <v>2</v>
      </c>
      <c r="M1" s="81"/>
      <c r="N1" s="82" t="s">
        <v>7</v>
      </c>
      <c r="O1" s="81"/>
      <c r="P1" s="82" t="s">
        <v>8</v>
      </c>
      <c r="Q1" s="82" t="s">
        <v>23</v>
      </c>
      <c r="R1" s="85" t="s">
        <v>5</v>
      </c>
      <c r="S1" s="81"/>
      <c r="T1" s="39" t="s">
        <v>6</v>
      </c>
      <c r="U1" s="81"/>
      <c r="V1" s="113" t="s">
        <v>500</v>
      </c>
      <c r="W1" s="81"/>
      <c r="X1" s="58" t="s">
        <v>501</v>
      </c>
      <c r="Y1" s="113" t="s">
        <v>613</v>
      </c>
      <c r="Z1" s="171"/>
      <c r="AA1" s="58" t="s">
        <v>614</v>
      </c>
      <c r="AB1" s="171"/>
      <c r="AC1" s="113" t="s">
        <v>615</v>
      </c>
      <c r="AD1" s="171"/>
      <c r="AE1" s="58" t="s">
        <v>616</v>
      </c>
      <c r="AF1" s="113" t="s">
        <v>617</v>
      </c>
      <c r="AG1" s="171"/>
      <c r="AH1" s="58" t="s">
        <v>618</v>
      </c>
      <c r="AI1" s="113" t="s">
        <v>698</v>
      </c>
      <c r="AJ1" s="171"/>
      <c r="AK1" s="58" t="s">
        <v>699</v>
      </c>
      <c r="AL1" s="113" t="s">
        <v>700</v>
      </c>
      <c r="AM1" s="171"/>
      <c r="AN1" s="306" t="s">
        <v>701</v>
      </c>
      <c r="AO1" s="81"/>
      <c r="AP1" s="113" t="s">
        <v>772</v>
      </c>
      <c r="AQ1" s="171"/>
      <c r="AR1" s="58" t="s">
        <v>773</v>
      </c>
      <c r="AS1" s="113" t="s">
        <v>774</v>
      </c>
      <c r="AT1" s="306"/>
      <c r="AU1" s="58" t="s">
        <v>775</v>
      </c>
      <c r="AV1" s="313" t="s">
        <v>24</v>
      </c>
      <c r="AW1" s="299"/>
      <c r="AX1" s="314" t="s">
        <v>3</v>
      </c>
    </row>
    <row r="2" spans="1:178" ht="48" x14ac:dyDescent="0.2">
      <c r="A2" s="87"/>
      <c r="B2" s="86" t="s">
        <v>40</v>
      </c>
      <c r="C2" s="87"/>
      <c r="D2" s="89" t="s">
        <v>255</v>
      </c>
      <c r="E2" s="125"/>
      <c r="F2" s="89" t="s">
        <v>256</v>
      </c>
      <c r="G2" s="88"/>
      <c r="H2" s="89" t="s">
        <v>257</v>
      </c>
      <c r="I2" s="88"/>
      <c r="J2" s="71">
        <v>85</v>
      </c>
      <c r="K2" s="125"/>
      <c r="L2" s="88" t="s">
        <v>20</v>
      </c>
      <c r="M2" s="125"/>
      <c r="N2" s="125" t="s">
        <v>780</v>
      </c>
      <c r="O2" s="125"/>
      <c r="P2" s="125">
        <v>2014</v>
      </c>
      <c r="Q2" s="329" t="s">
        <v>259</v>
      </c>
      <c r="R2" s="125">
        <v>423</v>
      </c>
      <c r="S2" s="125"/>
      <c r="T2" s="38">
        <v>25380</v>
      </c>
      <c r="U2" s="125"/>
      <c r="V2" s="125">
        <v>404</v>
      </c>
      <c r="W2" s="125"/>
      <c r="X2" s="38">
        <v>24240</v>
      </c>
      <c r="Y2" s="125">
        <v>392</v>
      </c>
      <c r="Z2" s="125"/>
      <c r="AA2" s="38">
        <v>23520</v>
      </c>
      <c r="AB2" s="125"/>
      <c r="AC2" s="125">
        <v>383</v>
      </c>
      <c r="AD2" s="125"/>
      <c r="AE2" s="38">
        <v>22980</v>
      </c>
      <c r="AF2" s="125">
        <v>379</v>
      </c>
      <c r="AG2" s="125"/>
      <c r="AH2" s="38">
        <v>32200</v>
      </c>
      <c r="AI2" s="125">
        <v>375</v>
      </c>
      <c r="AJ2" s="125"/>
      <c r="AK2" s="38">
        <v>31875</v>
      </c>
      <c r="AL2" s="125">
        <f>31365/85</f>
        <v>369</v>
      </c>
      <c r="AM2" s="125"/>
      <c r="AN2" s="38">
        <v>31365</v>
      </c>
      <c r="AO2" s="125"/>
      <c r="AP2" s="125">
        <v>359</v>
      </c>
      <c r="AQ2" s="125"/>
      <c r="AR2" s="38">
        <v>30515</v>
      </c>
      <c r="AS2" s="307">
        <f>AU2/85</f>
        <v>358</v>
      </c>
      <c r="AT2" s="38"/>
      <c r="AU2" s="38">
        <v>30430</v>
      </c>
      <c r="AV2" s="88" t="s">
        <v>781</v>
      </c>
      <c r="AW2" s="255"/>
      <c r="AX2" s="86"/>
    </row>
    <row r="3" spans="1:178" ht="48" x14ac:dyDescent="0.2">
      <c r="B3" s="86" t="s">
        <v>40</v>
      </c>
      <c r="D3" s="124" t="s">
        <v>255</v>
      </c>
      <c r="E3" s="123"/>
      <c r="F3" s="124" t="s">
        <v>261</v>
      </c>
      <c r="G3" s="122"/>
      <c r="H3" s="124" t="s">
        <v>257</v>
      </c>
      <c r="I3" s="122"/>
      <c r="J3" s="202">
        <v>100</v>
      </c>
      <c r="K3" s="123"/>
      <c r="L3" s="122" t="s">
        <v>262</v>
      </c>
      <c r="M3" s="123"/>
      <c r="N3" s="125" t="s">
        <v>780</v>
      </c>
      <c r="O3" s="123"/>
      <c r="P3" s="123">
        <v>2008</v>
      </c>
      <c r="Q3" s="253" t="s">
        <v>263</v>
      </c>
      <c r="R3" s="123">
        <v>30</v>
      </c>
      <c r="S3" s="123"/>
      <c r="T3" s="201">
        <v>3000</v>
      </c>
      <c r="U3" s="123"/>
      <c r="V3" s="125">
        <v>13</v>
      </c>
      <c r="W3" s="123"/>
      <c r="X3" s="38">
        <v>1300</v>
      </c>
      <c r="Y3" s="123">
        <v>6</v>
      </c>
      <c r="Z3" s="123"/>
      <c r="AA3" s="201">
        <v>600</v>
      </c>
      <c r="AB3" s="123"/>
      <c r="AC3" s="125">
        <v>11</v>
      </c>
      <c r="AD3" s="123"/>
      <c r="AE3" s="38">
        <v>1100</v>
      </c>
      <c r="AF3" s="125">
        <v>13</v>
      </c>
      <c r="AG3" s="123"/>
      <c r="AH3" s="38">
        <v>1300</v>
      </c>
      <c r="AI3" s="125">
        <v>6</v>
      </c>
      <c r="AJ3" s="123"/>
      <c r="AK3" s="38">
        <v>600</v>
      </c>
      <c r="AL3" s="125">
        <v>8</v>
      </c>
      <c r="AM3" s="123"/>
      <c r="AN3" s="46">
        <v>800</v>
      </c>
      <c r="AO3" s="123"/>
      <c r="AP3" s="125">
        <v>3</v>
      </c>
      <c r="AQ3" s="123"/>
      <c r="AR3" s="38">
        <v>300</v>
      </c>
      <c r="AS3" s="307">
        <v>11</v>
      </c>
      <c r="AT3" s="38"/>
      <c r="AU3" s="38">
        <v>1100</v>
      </c>
      <c r="AV3" s="88" t="s">
        <v>781</v>
      </c>
      <c r="AW3" s="255"/>
      <c r="AX3" s="86"/>
    </row>
    <row r="4" spans="1:178" ht="48" x14ac:dyDescent="0.2">
      <c r="A4" s="87"/>
      <c r="B4" s="86" t="s">
        <v>40</v>
      </c>
      <c r="C4" s="87"/>
      <c r="D4" s="89" t="s">
        <v>255</v>
      </c>
      <c r="E4" s="125"/>
      <c r="F4" s="89" t="s">
        <v>264</v>
      </c>
      <c r="G4" s="88"/>
      <c r="H4" s="89" t="s">
        <v>265</v>
      </c>
      <c r="I4" s="88"/>
      <c r="J4" s="71">
        <v>200</v>
      </c>
      <c r="K4" s="125"/>
      <c r="L4" s="88" t="s">
        <v>266</v>
      </c>
      <c r="M4" s="125"/>
      <c r="N4" s="125" t="s">
        <v>780</v>
      </c>
      <c r="O4" s="125"/>
      <c r="P4" s="125">
        <v>2014</v>
      </c>
      <c r="Q4" s="253" t="s">
        <v>267</v>
      </c>
      <c r="R4" s="125">
        <v>13</v>
      </c>
      <c r="S4" s="125"/>
      <c r="T4" s="38">
        <v>1300</v>
      </c>
      <c r="U4" s="125"/>
      <c r="V4" s="125">
        <v>8</v>
      </c>
      <c r="W4" s="125"/>
      <c r="X4" s="38">
        <v>800</v>
      </c>
      <c r="Y4" s="125">
        <v>10</v>
      </c>
      <c r="Z4" s="125"/>
      <c r="AA4" s="38">
        <v>1000</v>
      </c>
      <c r="AB4" s="125"/>
      <c r="AC4" s="125">
        <v>19</v>
      </c>
      <c r="AD4" s="125"/>
      <c r="AE4" s="38">
        <v>1900</v>
      </c>
      <c r="AF4" s="125">
        <v>15</v>
      </c>
      <c r="AG4" s="125"/>
      <c r="AH4" s="38">
        <v>3000</v>
      </c>
      <c r="AI4" s="125">
        <v>14</v>
      </c>
      <c r="AJ4" s="125"/>
      <c r="AK4" s="38">
        <v>2800</v>
      </c>
      <c r="AL4" s="125">
        <v>9</v>
      </c>
      <c r="AM4" s="125"/>
      <c r="AN4" s="38">
        <v>1800</v>
      </c>
      <c r="AO4" s="125"/>
      <c r="AP4" s="125">
        <v>16</v>
      </c>
      <c r="AQ4" s="125"/>
      <c r="AR4" s="38">
        <v>3200</v>
      </c>
      <c r="AS4" s="307">
        <f>4000/200</f>
        <v>20</v>
      </c>
      <c r="AT4" s="38"/>
      <c r="AU4" s="38">
        <v>4000</v>
      </c>
      <c r="AV4" s="88" t="s">
        <v>781</v>
      </c>
      <c r="AW4" s="255"/>
      <c r="AX4" s="86"/>
    </row>
    <row r="5" spans="1:178" ht="48" x14ac:dyDescent="0.2">
      <c r="B5" s="86" t="s">
        <v>40</v>
      </c>
      <c r="D5" s="124" t="s">
        <v>255</v>
      </c>
      <c r="E5" s="123"/>
      <c r="F5" s="124" t="s">
        <v>268</v>
      </c>
      <c r="G5" s="122"/>
      <c r="H5" s="124" t="s">
        <v>257</v>
      </c>
      <c r="I5" s="122"/>
      <c r="J5" s="202">
        <v>50</v>
      </c>
      <c r="K5" s="123"/>
      <c r="L5" s="122" t="s">
        <v>269</v>
      </c>
      <c r="M5" s="123"/>
      <c r="N5" s="125" t="s">
        <v>780</v>
      </c>
      <c r="O5" s="123"/>
      <c r="P5" s="123">
        <v>1996</v>
      </c>
      <c r="Q5" s="51" t="s">
        <v>270</v>
      </c>
      <c r="R5" s="123">
        <v>6</v>
      </c>
      <c r="S5" s="123"/>
      <c r="T5" s="201">
        <v>300</v>
      </c>
      <c r="U5" s="123"/>
      <c r="V5" s="125">
        <v>8</v>
      </c>
      <c r="W5" s="123"/>
      <c r="X5" s="38">
        <v>400</v>
      </c>
      <c r="Y5" s="123">
        <v>6</v>
      </c>
      <c r="Z5" s="123"/>
      <c r="AA5" s="201">
        <v>300</v>
      </c>
      <c r="AB5" s="123"/>
      <c r="AC5" s="125">
        <v>6</v>
      </c>
      <c r="AD5" s="123"/>
      <c r="AE5" s="38">
        <v>300</v>
      </c>
      <c r="AF5" s="125">
        <v>11</v>
      </c>
      <c r="AG5" s="123"/>
      <c r="AH5" s="38">
        <v>550</v>
      </c>
      <c r="AI5" s="125">
        <v>4</v>
      </c>
      <c r="AJ5" s="123"/>
      <c r="AK5" s="38">
        <v>200</v>
      </c>
      <c r="AL5" s="125">
        <v>3</v>
      </c>
      <c r="AM5" s="123"/>
      <c r="AN5" s="46">
        <v>150</v>
      </c>
      <c r="AO5" s="123"/>
      <c r="AP5" s="125">
        <v>1</v>
      </c>
      <c r="AQ5" s="123"/>
      <c r="AR5" s="38">
        <v>50</v>
      </c>
      <c r="AS5" s="307">
        <v>2</v>
      </c>
      <c r="AT5" s="38"/>
      <c r="AU5" s="38">
        <v>100</v>
      </c>
      <c r="AV5" s="92" t="s">
        <v>781</v>
      </c>
      <c r="AW5" s="22"/>
      <c r="AX5" s="91"/>
    </row>
    <row r="6" spans="1:178" ht="48" x14ac:dyDescent="0.2">
      <c r="A6" s="87"/>
      <c r="B6" s="86" t="s">
        <v>40</v>
      </c>
      <c r="C6" s="87"/>
      <c r="D6" s="89" t="s">
        <v>255</v>
      </c>
      <c r="E6" s="125"/>
      <c r="F6" s="89" t="s">
        <v>271</v>
      </c>
      <c r="G6" s="88"/>
      <c r="H6" s="89" t="s">
        <v>257</v>
      </c>
      <c r="I6" s="88"/>
      <c r="J6" s="71">
        <v>100</v>
      </c>
      <c r="K6" s="125"/>
      <c r="L6" s="88" t="s">
        <v>272</v>
      </c>
      <c r="M6" s="125"/>
      <c r="N6" s="125" t="s">
        <v>780</v>
      </c>
      <c r="O6" s="125"/>
      <c r="P6" s="125">
        <v>2008</v>
      </c>
      <c r="Q6" s="253" t="s">
        <v>273</v>
      </c>
      <c r="R6" s="125">
        <v>1</v>
      </c>
      <c r="S6" s="125"/>
      <c r="T6" s="38">
        <v>100</v>
      </c>
      <c r="U6" s="125"/>
      <c r="V6" s="125">
        <v>0</v>
      </c>
      <c r="W6" s="125"/>
      <c r="X6" s="38">
        <v>0</v>
      </c>
      <c r="Y6" s="125">
        <v>0</v>
      </c>
      <c r="Z6" s="125"/>
      <c r="AA6" s="38">
        <v>0</v>
      </c>
      <c r="AB6" s="125"/>
      <c r="AC6" s="125">
        <v>1</v>
      </c>
      <c r="AD6" s="125"/>
      <c r="AE6" s="38">
        <v>100</v>
      </c>
      <c r="AF6" s="125">
        <v>3</v>
      </c>
      <c r="AG6" s="125"/>
      <c r="AH6" s="38">
        <v>300</v>
      </c>
      <c r="AI6" s="125">
        <v>0</v>
      </c>
      <c r="AJ6" s="125"/>
      <c r="AK6" s="38">
        <v>0</v>
      </c>
      <c r="AL6" s="125">
        <v>0</v>
      </c>
      <c r="AM6" s="125"/>
      <c r="AN6" s="38">
        <v>0</v>
      </c>
      <c r="AO6" s="125"/>
      <c r="AP6" s="125">
        <v>0</v>
      </c>
      <c r="AQ6" s="125"/>
      <c r="AR6" s="38">
        <v>0</v>
      </c>
      <c r="AS6" s="307">
        <v>1</v>
      </c>
      <c r="AT6" s="38"/>
      <c r="AU6" s="38">
        <v>100</v>
      </c>
      <c r="AV6" s="88" t="s">
        <v>781</v>
      </c>
      <c r="AW6" s="255"/>
      <c r="AX6" s="86"/>
    </row>
    <row r="7" spans="1:178" ht="48" x14ac:dyDescent="0.2">
      <c r="B7" s="86" t="s">
        <v>40</v>
      </c>
      <c r="D7" s="124" t="s">
        <v>255</v>
      </c>
      <c r="E7" s="123"/>
      <c r="F7" s="124" t="s">
        <v>274</v>
      </c>
      <c r="G7" s="122"/>
      <c r="H7" s="124" t="s">
        <v>257</v>
      </c>
      <c r="I7" s="122"/>
      <c r="J7" s="202">
        <v>50</v>
      </c>
      <c r="K7" s="123"/>
      <c r="L7" s="122" t="s">
        <v>272</v>
      </c>
      <c r="M7" s="123"/>
      <c r="N7" s="125" t="s">
        <v>780</v>
      </c>
      <c r="O7" s="123"/>
      <c r="P7" s="123">
        <v>2008</v>
      </c>
      <c r="Q7" s="51" t="s">
        <v>275</v>
      </c>
      <c r="R7" s="123">
        <v>3</v>
      </c>
      <c r="S7" s="123"/>
      <c r="T7" s="201">
        <v>150</v>
      </c>
      <c r="U7" s="123"/>
      <c r="V7" s="125">
        <v>2</v>
      </c>
      <c r="W7" s="123"/>
      <c r="X7" s="38">
        <v>100</v>
      </c>
      <c r="Y7" s="123">
        <v>1</v>
      </c>
      <c r="Z7" s="123"/>
      <c r="AA7" s="201">
        <v>50</v>
      </c>
      <c r="AB7" s="123"/>
      <c r="AC7" s="125">
        <v>1</v>
      </c>
      <c r="AD7" s="123"/>
      <c r="AE7" s="38">
        <v>50</v>
      </c>
      <c r="AF7" s="125">
        <v>2</v>
      </c>
      <c r="AG7" s="123"/>
      <c r="AH7" s="38">
        <v>100</v>
      </c>
      <c r="AI7" s="125">
        <v>2</v>
      </c>
      <c r="AJ7" s="123"/>
      <c r="AK7" s="38">
        <v>100</v>
      </c>
      <c r="AL7" s="125">
        <v>1</v>
      </c>
      <c r="AM7" s="123"/>
      <c r="AN7" s="46">
        <v>50</v>
      </c>
      <c r="AO7" s="123"/>
      <c r="AP7" s="125">
        <v>1</v>
      </c>
      <c r="AQ7" s="123"/>
      <c r="AR7" s="38">
        <v>50</v>
      </c>
      <c r="AS7" s="307">
        <v>0</v>
      </c>
      <c r="AT7" s="38"/>
      <c r="AU7" s="38">
        <v>0</v>
      </c>
      <c r="AV7" s="92" t="s">
        <v>781</v>
      </c>
      <c r="AW7" s="22"/>
      <c r="AX7" s="91"/>
    </row>
    <row r="8" spans="1:178" ht="48" x14ac:dyDescent="0.2">
      <c r="A8" s="87"/>
      <c r="B8" s="86" t="s">
        <v>40</v>
      </c>
      <c r="C8" s="87"/>
      <c r="D8" s="89" t="s">
        <v>276</v>
      </c>
      <c r="E8" s="125"/>
      <c r="F8" s="89" t="s">
        <v>277</v>
      </c>
      <c r="G8" s="88"/>
      <c r="H8" s="89" t="s">
        <v>278</v>
      </c>
      <c r="I8" s="88"/>
      <c r="J8" s="71">
        <v>50</v>
      </c>
      <c r="K8" s="125"/>
      <c r="L8" s="88" t="s">
        <v>279</v>
      </c>
      <c r="M8" s="125"/>
      <c r="N8" s="88" t="s">
        <v>782</v>
      </c>
      <c r="O8" s="125"/>
      <c r="P8" s="125">
        <v>2017</v>
      </c>
      <c r="Q8" s="253" t="s">
        <v>280</v>
      </c>
      <c r="R8" s="125">
        <v>19</v>
      </c>
      <c r="S8" s="125"/>
      <c r="T8" s="38">
        <v>475</v>
      </c>
      <c r="U8" s="125"/>
      <c r="V8" s="125">
        <v>38</v>
      </c>
      <c r="W8" s="125"/>
      <c r="X8" s="38">
        <v>950</v>
      </c>
      <c r="Y8" s="125">
        <v>26</v>
      </c>
      <c r="Z8" s="125"/>
      <c r="AA8" s="38">
        <v>650</v>
      </c>
      <c r="AB8" s="125"/>
      <c r="AC8" s="125">
        <v>20</v>
      </c>
      <c r="AD8" s="125"/>
      <c r="AE8" s="38">
        <v>500</v>
      </c>
      <c r="AF8" s="125">
        <v>21</v>
      </c>
      <c r="AG8" s="125"/>
      <c r="AH8" s="38">
        <v>840</v>
      </c>
      <c r="AI8" s="125">
        <f>1200/40</f>
        <v>30</v>
      </c>
      <c r="AJ8" s="125"/>
      <c r="AK8" s="38">
        <v>1200</v>
      </c>
      <c r="AL8" s="125">
        <v>25</v>
      </c>
      <c r="AM8" s="125"/>
      <c r="AN8" s="38">
        <v>1000</v>
      </c>
      <c r="AO8" s="125"/>
      <c r="AP8" s="125">
        <f>AR8/40</f>
        <v>20</v>
      </c>
      <c r="AQ8" s="125"/>
      <c r="AR8" s="38">
        <v>800</v>
      </c>
      <c r="AS8" s="308">
        <f>1050/50+1</f>
        <v>22</v>
      </c>
      <c r="AT8" s="38"/>
      <c r="AU8" s="38">
        <v>1090</v>
      </c>
      <c r="AV8" s="88" t="s">
        <v>783</v>
      </c>
      <c r="AW8" s="255"/>
      <c r="AX8" s="86" t="s">
        <v>784</v>
      </c>
    </row>
    <row r="9" spans="1:178" ht="48" x14ac:dyDescent="0.2">
      <c r="A9" s="77" t="s">
        <v>449</v>
      </c>
      <c r="B9" s="86" t="s">
        <v>40</v>
      </c>
      <c r="D9" s="124" t="s">
        <v>276</v>
      </c>
      <c r="E9" s="123"/>
      <c r="F9" s="124" t="s">
        <v>281</v>
      </c>
      <c r="G9" s="122"/>
      <c r="H9" s="124" t="s">
        <v>278</v>
      </c>
      <c r="I9" s="122"/>
      <c r="J9" s="202" t="s">
        <v>785</v>
      </c>
      <c r="K9" s="123"/>
      <c r="L9" s="122" t="s">
        <v>282</v>
      </c>
      <c r="M9" s="123"/>
      <c r="N9" s="88" t="s">
        <v>782</v>
      </c>
      <c r="O9" s="123"/>
      <c r="P9" s="123">
        <v>2017</v>
      </c>
      <c r="Q9" s="180" t="s">
        <v>283</v>
      </c>
      <c r="R9" s="123">
        <v>251</v>
      </c>
      <c r="S9" s="123"/>
      <c r="T9" s="201">
        <v>32925</v>
      </c>
      <c r="U9" s="123"/>
      <c r="V9" s="125">
        <v>272</v>
      </c>
      <c r="W9" s="123"/>
      <c r="X9" s="38">
        <v>35400</v>
      </c>
      <c r="Y9" s="125">
        <v>317</v>
      </c>
      <c r="Z9" s="123"/>
      <c r="AA9" s="201">
        <v>42625</v>
      </c>
      <c r="AB9" s="123"/>
      <c r="AC9" s="125">
        <v>278</v>
      </c>
      <c r="AD9" s="123"/>
      <c r="AE9" s="38">
        <v>37025</v>
      </c>
      <c r="AF9" s="125">
        <v>261</v>
      </c>
      <c r="AG9" s="123"/>
      <c r="AH9" s="38">
        <v>56335</v>
      </c>
      <c r="AI9" s="125">
        <v>262</v>
      </c>
      <c r="AJ9" s="123"/>
      <c r="AK9" s="38">
        <v>46600</v>
      </c>
      <c r="AL9" s="125">
        <v>193</v>
      </c>
      <c r="AM9" s="123"/>
      <c r="AN9" s="46">
        <v>45250</v>
      </c>
      <c r="AO9" s="123"/>
      <c r="AP9" s="125">
        <v>166</v>
      </c>
      <c r="AQ9" s="123"/>
      <c r="AR9" s="38">
        <f>3450+35750</f>
        <v>39200</v>
      </c>
      <c r="AS9" s="308">
        <f>4650/150+36250/250</f>
        <v>176</v>
      </c>
      <c r="AT9" s="38"/>
      <c r="AU9" s="38">
        <f>4650+36250</f>
        <v>40900</v>
      </c>
      <c r="AV9" s="92" t="s">
        <v>783</v>
      </c>
      <c r="AW9" s="22"/>
      <c r="AX9" s="91" t="s">
        <v>786</v>
      </c>
    </row>
    <row r="10" spans="1:178" ht="60" x14ac:dyDescent="0.2">
      <c r="A10" s="87"/>
      <c r="B10" s="86" t="s">
        <v>40</v>
      </c>
      <c r="C10" s="87"/>
      <c r="D10" s="89" t="s">
        <v>276</v>
      </c>
      <c r="E10" s="125"/>
      <c r="F10" s="89" t="s">
        <v>284</v>
      </c>
      <c r="G10" s="88"/>
      <c r="H10" s="89" t="s">
        <v>285</v>
      </c>
      <c r="I10" s="88"/>
      <c r="J10" s="71" t="s">
        <v>787</v>
      </c>
      <c r="K10" s="125"/>
      <c r="L10" s="88" t="s">
        <v>286</v>
      </c>
      <c r="M10" s="125"/>
      <c r="N10" s="88" t="s">
        <v>782</v>
      </c>
      <c r="O10" s="125"/>
      <c r="P10" s="125">
        <v>2017</v>
      </c>
      <c r="Q10" s="180" t="s">
        <v>287</v>
      </c>
      <c r="R10" s="125">
        <v>414</v>
      </c>
      <c r="S10" s="125"/>
      <c r="T10" s="38">
        <v>134550</v>
      </c>
      <c r="U10" s="125"/>
      <c r="V10" s="125">
        <v>437</v>
      </c>
      <c r="W10" s="125"/>
      <c r="X10" s="38">
        <v>142025</v>
      </c>
      <c r="Y10" s="125">
        <v>423</v>
      </c>
      <c r="Z10" s="125"/>
      <c r="AA10" s="38">
        <v>137475</v>
      </c>
      <c r="AB10" s="125"/>
      <c r="AC10" s="125">
        <v>406</v>
      </c>
      <c r="AD10" s="125"/>
      <c r="AE10" s="38">
        <v>131950</v>
      </c>
      <c r="AF10" s="125">
        <v>373</v>
      </c>
      <c r="AG10" s="125"/>
      <c r="AH10" s="38">
        <v>167175</v>
      </c>
      <c r="AI10" s="125">
        <v>341</v>
      </c>
      <c r="AJ10" s="125"/>
      <c r="AK10" s="38">
        <v>149825</v>
      </c>
      <c r="AL10" s="125">
        <v>291</v>
      </c>
      <c r="AM10" s="125"/>
      <c r="AN10" s="38">
        <v>127000</v>
      </c>
      <c r="AO10" s="125"/>
      <c r="AP10" s="125">
        <f>261+22</f>
        <v>283</v>
      </c>
      <c r="AQ10" s="125"/>
      <c r="AR10" s="38">
        <f>110925+11550</f>
        <v>122475</v>
      </c>
      <c r="AS10" s="308">
        <f>67+194</f>
        <v>261</v>
      </c>
      <c r="AT10" s="38"/>
      <c r="AU10" s="38">
        <v>135175</v>
      </c>
      <c r="AV10" s="88" t="s">
        <v>783</v>
      </c>
      <c r="AW10" s="255"/>
      <c r="AX10" s="86" t="s">
        <v>788</v>
      </c>
    </row>
    <row r="11" spans="1:178" s="181" customFormat="1" ht="48" x14ac:dyDescent="0.2">
      <c r="A11" s="205" t="s">
        <v>449</v>
      </c>
      <c r="B11" s="86" t="s">
        <v>40</v>
      </c>
      <c r="C11" s="205"/>
      <c r="D11" s="142" t="s">
        <v>276</v>
      </c>
      <c r="E11" s="143"/>
      <c r="F11" s="142" t="s">
        <v>288</v>
      </c>
      <c r="G11" s="141"/>
      <c r="H11" s="142" t="s">
        <v>289</v>
      </c>
      <c r="I11" s="141"/>
      <c r="J11" s="204">
        <v>900</v>
      </c>
      <c r="K11" s="143"/>
      <c r="L11" s="141" t="s">
        <v>290</v>
      </c>
      <c r="M11" s="143"/>
      <c r="N11" s="88" t="s">
        <v>782</v>
      </c>
      <c r="O11" s="143"/>
      <c r="P11" s="143">
        <v>2017</v>
      </c>
      <c r="Q11" s="180" t="s">
        <v>291</v>
      </c>
      <c r="R11" s="143">
        <v>79</v>
      </c>
      <c r="S11" s="143"/>
      <c r="T11" s="179">
        <v>39425</v>
      </c>
      <c r="U11" s="143"/>
      <c r="V11" s="125">
        <v>108</v>
      </c>
      <c r="W11" s="143"/>
      <c r="X11" s="38">
        <v>35100</v>
      </c>
      <c r="Y11" s="143">
        <v>88</v>
      </c>
      <c r="Z11" s="143"/>
      <c r="AA11" s="179">
        <v>28600</v>
      </c>
      <c r="AB11" s="143"/>
      <c r="AC11" s="125">
        <v>91</v>
      </c>
      <c r="AD11" s="143"/>
      <c r="AE11" s="38">
        <v>29575</v>
      </c>
      <c r="AF11" s="125">
        <v>117</v>
      </c>
      <c r="AG11" s="143"/>
      <c r="AH11" s="38">
        <v>58825</v>
      </c>
      <c r="AI11" s="125">
        <f>45150/525</f>
        <v>86</v>
      </c>
      <c r="AJ11" s="143"/>
      <c r="AK11" s="38">
        <v>45150</v>
      </c>
      <c r="AL11" s="125">
        <v>102</v>
      </c>
      <c r="AM11" s="143"/>
      <c r="AN11" s="46">
        <v>53550</v>
      </c>
      <c r="AO11" s="143"/>
      <c r="AP11" s="125">
        <f>AR11/525</f>
        <v>105</v>
      </c>
      <c r="AQ11" s="143"/>
      <c r="AR11" s="38">
        <v>55125</v>
      </c>
      <c r="AS11" s="308">
        <f>49+69</f>
        <v>118</v>
      </c>
      <c r="AT11" s="38"/>
      <c r="AU11" s="38">
        <v>87825</v>
      </c>
      <c r="AV11" s="92" t="s">
        <v>783</v>
      </c>
      <c r="AW11" s="22"/>
      <c r="AX11" s="91" t="s">
        <v>789</v>
      </c>
      <c r="AY11" s="203"/>
      <c r="AZ11" s="203"/>
      <c r="BA11" s="203"/>
      <c r="BB11" s="203"/>
      <c r="BC11" s="203"/>
      <c r="BD11" s="203"/>
      <c r="BE11" s="203"/>
      <c r="BF11" s="203"/>
      <c r="BG11" s="203"/>
      <c r="BH11" s="203"/>
      <c r="BI11" s="203"/>
      <c r="BJ11" s="203"/>
      <c r="BK11" s="203"/>
      <c r="BL11" s="203"/>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row>
    <row r="12" spans="1:178" s="181" customFormat="1" ht="48.6" customHeight="1" x14ac:dyDescent="0.2">
      <c r="A12" s="205"/>
      <c r="B12" s="86" t="s">
        <v>40</v>
      </c>
      <c r="C12" s="205"/>
      <c r="D12" s="142" t="s">
        <v>276</v>
      </c>
      <c r="E12" s="143"/>
      <c r="F12" s="142" t="s">
        <v>790</v>
      </c>
      <c r="G12" s="141"/>
      <c r="H12" s="142" t="s">
        <v>791</v>
      </c>
      <c r="I12" s="141"/>
      <c r="J12" s="204">
        <v>900</v>
      </c>
      <c r="K12" s="143"/>
      <c r="L12" s="141" t="s">
        <v>792</v>
      </c>
      <c r="M12" s="143"/>
      <c r="N12" s="88" t="s">
        <v>782</v>
      </c>
      <c r="O12" s="143"/>
      <c r="P12" s="143">
        <v>2017</v>
      </c>
      <c r="Q12" s="180" t="s">
        <v>793</v>
      </c>
      <c r="R12" s="143"/>
      <c r="S12" s="143"/>
      <c r="T12" s="179"/>
      <c r="U12" s="143"/>
      <c r="V12" s="125"/>
      <c r="W12" s="143"/>
      <c r="X12" s="38"/>
      <c r="Y12" s="143"/>
      <c r="Z12" s="143"/>
      <c r="AA12" s="179"/>
      <c r="AB12" s="143"/>
      <c r="AC12" s="125"/>
      <c r="AD12" s="143"/>
      <c r="AE12" s="38"/>
      <c r="AF12" s="125"/>
      <c r="AG12" s="143"/>
      <c r="AH12" s="38"/>
      <c r="AI12" s="125"/>
      <c r="AJ12" s="143"/>
      <c r="AK12" s="38"/>
      <c r="AL12" s="125">
        <f>AN12/525</f>
        <v>25</v>
      </c>
      <c r="AM12" s="143"/>
      <c r="AN12" s="38">
        <v>13125</v>
      </c>
      <c r="AO12" s="143"/>
      <c r="AP12" s="125">
        <f>AR12/525</f>
        <v>54</v>
      </c>
      <c r="AQ12" s="143"/>
      <c r="AR12" s="38">
        <v>28350</v>
      </c>
      <c r="AS12" s="308">
        <v>62</v>
      </c>
      <c r="AT12" s="38"/>
      <c r="AU12" s="38">
        <v>44175</v>
      </c>
      <c r="AV12" s="88" t="s">
        <v>783</v>
      </c>
      <c r="AW12" s="255"/>
      <c r="AX12" s="86" t="s">
        <v>794</v>
      </c>
      <c r="AY12" s="203"/>
      <c r="AZ12" s="203"/>
      <c r="BA12" s="203"/>
      <c r="BB12" s="203"/>
      <c r="BC12" s="203"/>
      <c r="BD12" s="203"/>
      <c r="BE12" s="203"/>
      <c r="BF12" s="203"/>
      <c r="BG12" s="203"/>
      <c r="BH12" s="203"/>
      <c r="BI12" s="203"/>
      <c r="BJ12" s="203"/>
      <c r="BK12" s="203"/>
      <c r="BL12" s="203"/>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row>
    <row r="13" spans="1:178" ht="48" x14ac:dyDescent="0.2">
      <c r="A13" s="77" t="s">
        <v>449</v>
      </c>
      <c r="B13" s="309" t="s">
        <v>40</v>
      </c>
      <c r="D13" s="124" t="s">
        <v>276</v>
      </c>
      <c r="E13" s="123"/>
      <c r="F13" s="124" t="s">
        <v>712</v>
      </c>
      <c r="G13" s="122"/>
      <c r="H13" s="124" t="s">
        <v>711</v>
      </c>
      <c r="I13" s="122"/>
      <c r="J13" s="202">
        <v>800</v>
      </c>
      <c r="K13" s="123"/>
      <c r="L13" s="122" t="s">
        <v>710</v>
      </c>
      <c r="M13" s="123"/>
      <c r="N13" s="88" t="s">
        <v>782</v>
      </c>
      <c r="O13" s="123"/>
      <c r="P13" s="123">
        <v>2017</v>
      </c>
      <c r="Q13" s="253" t="s">
        <v>291</v>
      </c>
      <c r="R13" s="123"/>
      <c r="S13" s="123"/>
      <c r="T13" s="201"/>
      <c r="U13" s="123"/>
      <c r="V13" s="143"/>
      <c r="W13" s="123"/>
      <c r="X13" s="179"/>
      <c r="Y13" s="123"/>
      <c r="Z13" s="123"/>
      <c r="AA13" s="201"/>
      <c r="AB13" s="123"/>
      <c r="AC13" s="143"/>
      <c r="AD13" s="123"/>
      <c r="AE13" s="179"/>
      <c r="AF13" s="143">
        <f>4500/500</f>
        <v>9</v>
      </c>
      <c r="AG13" s="123"/>
      <c r="AH13" s="179">
        <v>4500</v>
      </c>
      <c r="AI13" s="143">
        <f>9500/500</f>
        <v>19</v>
      </c>
      <c r="AJ13" s="123"/>
      <c r="AK13" s="179">
        <v>9500</v>
      </c>
      <c r="AL13" s="125">
        <f>12000/500</f>
        <v>24</v>
      </c>
      <c r="AM13" s="123"/>
      <c r="AN13" s="46">
        <v>12000</v>
      </c>
      <c r="AO13" s="123"/>
      <c r="AP13" s="125">
        <f>AR13/500</f>
        <v>18</v>
      </c>
      <c r="AQ13" s="123"/>
      <c r="AR13" s="179">
        <v>9000</v>
      </c>
      <c r="AS13" s="308">
        <v>7</v>
      </c>
      <c r="AT13" s="179"/>
      <c r="AU13" s="179">
        <v>4700</v>
      </c>
      <c r="AV13" s="92" t="s">
        <v>783</v>
      </c>
      <c r="AW13" s="22"/>
      <c r="AX13" s="91" t="s">
        <v>795</v>
      </c>
      <c r="AY13" s="37"/>
      <c r="AZ13" s="37"/>
      <c r="BA13" s="37"/>
      <c r="BB13" s="37"/>
      <c r="BC13" s="37"/>
      <c r="BD13" s="37"/>
      <c r="BE13" s="37"/>
      <c r="BF13" s="37"/>
      <c r="BG13" s="37"/>
      <c r="BH13" s="37"/>
      <c r="BI13" s="37"/>
      <c r="BJ13" s="37"/>
      <c r="BK13" s="37"/>
      <c r="BL13" s="37"/>
    </row>
    <row r="14" spans="1:178" ht="37.15" customHeight="1" x14ac:dyDescent="0.2">
      <c r="A14" s="87"/>
      <c r="B14" s="86" t="s">
        <v>40</v>
      </c>
      <c r="C14" s="87"/>
      <c r="D14" s="89" t="s">
        <v>292</v>
      </c>
      <c r="E14" s="125"/>
      <c r="F14" s="89" t="s">
        <v>293</v>
      </c>
      <c r="G14" s="88"/>
      <c r="H14" s="89" t="s">
        <v>294</v>
      </c>
      <c r="I14" s="88"/>
      <c r="J14" s="71">
        <v>25</v>
      </c>
      <c r="K14" s="125"/>
      <c r="L14" s="88" t="s">
        <v>295</v>
      </c>
      <c r="M14" s="125"/>
      <c r="N14" s="125" t="s">
        <v>258</v>
      </c>
      <c r="O14" s="125"/>
      <c r="P14" s="125">
        <v>2009</v>
      </c>
      <c r="Q14" s="253" t="s">
        <v>796</v>
      </c>
      <c r="R14" s="125">
        <v>38</v>
      </c>
      <c r="S14" s="125"/>
      <c r="T14" s="38">
        <v>950</v>
      </c>
      <c r="U14" s="125"/>
      <c r="V14" s="125">
        <v>28</v>
      </c>
      <c r="W14" s="125"/>
      <c r="X14" s="38">
        <v>700</v>
      </c>
      <c r="Y14" s="125">
        <v>32</v>
      </c>
      <c r="Z14" s="125"/>
      <c r="AA14" s="38">
        <v>800</v>
      </c>
      <c r="AB14" s="125"/>
      <c r="AC14" s="125">
        <v>18</v>
      </c>
      <c r="AD14" s="125"/>
      <c r="AE14" s="38">
        <v>450</v>
      </c>
      <c r="AF14" s="125">
        <v>26</v>
      </c>
      <c r="AG14" s="125"/>
      <c r="AH14" s="38">
        <v>650</v>
      </c>
      <c r="AI14" s="125">
        <f>675/25</f>
        <v>27</v>
      </c>
      <c r="AJ14" s="125"/>
      <c r="AK14" s="38">
        <v>675</v>
      </c>
      <c r="AL14" s="125">
        <f>725/25</f>
        <v>29</v>
      </c>
      <c r="AM14" s="125"/>
      <c r="AN14" s="38">
        <v>725</v>
      </c>
      <c r="AO14" s="125"/>
      <c r="AP14" s="125">
        <f>AR14/25</f>
        <v>27</v>
      </c>
      <c r="AQ14" s="125"/>
      <c r="AR14" s="38">
        <v>675</v>
      </c>
      <c r="AS14" s="308">
        <f>575/25</f>
        <v>23</v>
      </c>
      <c r="AT14" s="38"/>
      <c r="AU14" s="38">
        <v>575</v>
      </c>
      <c r="AV14" s="88" t="s">
        <v>260</v>
      </c>
      <c r="AW14" s="255"/>
      <c r="AX14" s="86"/>
    </row>
    <row r="15" spans="1:178" ht="49.15" customHeight="1" x14ac:dyDescent="0.2">
      <c r="A15" s="77" t="s">
        <v>449</v>
      </c>
      <c r="B15" s="86" t="s">
        <v>40</v>
      </c>
      <c r="D15" s="124" t="s">
        <v>292</v>
      </c>
      <c r="E15" s="123"/>
      <c r="F15" s="124" t="s">
        <v>450</v>
      </c>
      <c r="G15" s="122"/>
      <c r="H15" s="124" t="s">
        <v>451</v>
      </c>
      <c r="I15" s="122"/>
      <c r="J15" s="202" t="s">
        <v>797</v>
      </c>
      <c r="K15" s="123"/>
      <c r="L15" s="122" t="s">
        <v>295</v>
      </c>
      <c r="M15" s="123"/>
      <c r="N15" s="123" t="s">
        <v>258</v>
      </c>
      <c r="O15" s="123"/>
      <c r="P15" s="123">
        <v>2015</v>
      </c>
      <c r="Q15" s="253" t="s">
        <v>798</v>
      </c>
      <c r="R15" s="123">
        <v>31</v>
      </c>
      <c r="S15" s="123"/>
      <c r="T15" s="201">
        <v>1080</v>
      </c>
      <c r="U15" s="123"/>
      <c r="V15" s="125">
        <v>32</v>
      </c>
      <c r="W15" s="123"/>
      <c r="X15" s="38">
        <v>1000</v>
      </c>
      <c r="Y15" s="123">
        <v>16</v>
      </c>
      <c r="Z15" s="123"/>
      <c r="AA15" s="201">
        <v>500</v>
      </c>
      <c r="AB15" s="123"/>
      <c r="AC15" s="125">
        <v>24</v>
      </c>
      <c r="AD15" s="123"/>
      <c r="AE15" s="38">
        <v>740</v>
      </c>
      <c r="AF15" s="125">
        <v>28</v>
      </c>
      <c r="AG15" s="123"/>
      <c r="AH15" s="38">
        <v>960</v>
      </c>
      <c r="AI15" s="125">
        <v>27</v>
      </c>
      <c r="AJ15" s="123"/>
      <c r="AK15" s="38">
        <v>920</v>
      </c>
      <c r="AL15" s="125">
        <v>29</v>
      </c>
      <c r="AM15" s="123"/>
      <c r="AN15" s="46">
        <v>1150</v>
      </c>
      <c r="AO15" s="123"/>
      <c r="AP15" s="125">
        <v>18</v>
      </c>
      <c r="AQ15" s="123"/>
      <c r="AR15" s="38">
        <v>750</v>
      </c>
      <c r="AS15" s="308">
        <f>750/50+4</f>
        <v>19</v>
      </c>
      <c r="AT15" s="38"/>
      <c r="AU15" s="38">
        <v>900</v>
      </c>
      <c r="AV15" s="141" t="s">
        <v>260</v>
      </c>
      <c r="AW15" s="22"/>
      <c r="AX15" s="91" t="s">
        <v>799</v>
      </c>
    </row>
    <row r="16" spans="1:178" ht="60" x14ac:dyDescent="0.2">
      <c r="A16" s="87" t="s">
        <v>449</v>
      </c>
      <c r="B16" s="86" t="s">
        <v>40</v>
      </c>
      <c r="C16" s="87"/>
      <c r="D16" s="89" t="s">
        <v>292</v>
      </c>
      <c r="E16" s="125"/>
      <c r="F16" s="89" t="s">
        <v>296</v>
      </c>
      <c r="G16" s="88"/>
      <c r="H16" s="89" t="s">
        <v>297</v>
      </c>
      <c r="I16" s="88"/>
      <c r="J16" s="71" t="s">
        <v>800</v>
      </c>
      <c r="K16" s="125"/>
      <c r="L16" s="88" t="s">
        <v>295</v>
      </c>
      <c r="M16" s="125"/>
      <c r="N16" s="125" t="s">
        <v>258</v>
      </c>
      <c r="O16" s="125"/>
      <c r="P16" s="125">
        <v>2015</v>
      </c>
      <c r="Q16" s="253" t="s">
        <v>801</v>
      </c>
      <c r="R16" s="125">
        <v>11</v>
      </c>
      <c r="S16" s="125"/>
      <c r="T16" s="38">
        <v>2050</v>
      </c>
      <c r="U16" s="125"/>
      <c r="V16" s="125">
        <v>10</v>
      </c>
      <c r="W16" s="125"/>
      <c r="X16" s="38">
        <v>1800</v>
      </c>
      <c r="Y16" s="125">
        <v>8</v>
      </c>
      <c r="Z16" s="125"/>
      <c r="AA16" s="38">
        <v>1400</v>
      </c>
      <c r="AB16" s="125"/>
      <c r="AC16" s="125">
        <v>6</v>
      </c>
      <c r="AD16" s="125"/>
      <c r="AE16" s="38">
        <v>1100</v>
      </c>
      <c r="AF16" s="125">
        <v>3</v>
      </c>
      <c r="AG16" s="125"/>
      <c r="AH16" s="38">
        <v>500</v>
      </c>
      <c r="AI16" s="125">
        <v>6</v>
      </c>
      <c r="AJ16" s="125"/>
      <c r="AK16" s="38">
        <v>1300</v>
      </c>
      <c r="AL16" s="125">
        <v>9</v>
      </c>
      <c r="AM16" s="125"/>
      <c r="AN16" s="38">
        <v>2500</v>
      </c>
      <c r="AO16" s="125"/>
      <c r="AP16" s="125">
        <v>8</v>
      </c>
      <c r="AQ16" s="125"/>
      <c r="AR16" s="38">
        <v>2500</v>
      </c>
      <c r="AS16" s="308">
        <v>4</v>
      </c>
      <c r="AT16" s="38"/>
      <c r="AU16" s="38">
        <v>1250</v>
      </c>
      <c r="AV16" s="88" t="s">
        <v>260</v>
      </c>
      <c r="AW16" s="255"/>
      <c r="AX16" s="86" t="s">
        <v>802</v>
      </c>
    </row>
    <row r="17" spans="1:50" ht="38.450000000000003" customHeight="1" x14ac:dyDescent="0.2">
      <c r="A17" s="87"/>
      <c r="B17" s="86" t="s">
        <v>40</v>
      </c>
      <c r="C17" s="87"/>
      <c r="D17" s="89" t="s">
        <v>292</v>
      </c>
      <c r="E17" s="125"/>
      <c r="F17" s="89" t="s">
        <v>803</v>
      </c>
      <c r="G17" s="88"/>
      <c r="H17" s="89" t="s">
        <v>297</v>
      </c>
      <c r="I17" s="88"/>
      <c r="J17" s="71" t="s">
        <v>804</v>
      </c>
      <c r="K17" s="125"/>
      <c r="L17" s="88" t="s">
        <v>295</v>
      </c>
      <c r="M17" s="125"/>
      <c r="N17" s="125" t="s">
        <v>258</v>
      </c>
      <c r="O17" s="125"/>
      <c r="P17" s="125">
        <v>2015</v>
      </c>
      <c r="Q17" s="253" t="s">
        <v>805</v>
      </c>
      <c r="R17" s="125"/>
      <c r="S17" s="125"/>
      <c r="T17" s="38"/>
      <c r="U17" s="125"/>
      <c r="V17" s="125"/>
      <c r="W17" s="125"/>
      <c r="X17" s="38"/>
      <c r="Y17" s="125"/>
      <c r="Z17" s="125"/>
      <c r="AA17" s="38"/>
      <c r="AB17" s="125"/>
      <c r="AC17" s="125"/>
      <c r="AD17" s="125"/>
      <c r="AE17" s="38"/>
      <c r="AF17" s="125"/>
      <c r="AG17" s="125"/>
      <c r="AH17" s="38"/>
      <c r="AI17" s="125"/>
      <c r="AJ17" s="125"/>
      <c r="AK17" s="38"/>
      <c r="AL17" s="125">
        <v>40</v>
      </c>
      <c r="AM17" s="125"/>
      <c r="AN17" s="46">
        <v>2860</v>
      </c>
      <c r="AO17" s="125"/>
      <c r="AP17" s="125">
        <v>11</v>
      </c>
      <c r="AQ17" s="125"/>
      <c r="AR17" s="38">
        <v>780</v>
      </c>
      <c r="AS17" s="308">
        <f>520/65</f>
        <v>8</v>
      </c>
      <c r="AT17" s="38"/>
      <c r="AU17" s="38">
        <v>520</v>
      </c>
      <c r="AV17" s="88" t="s">
        <v>260</v>
      </c>
      <c r="AW17" s="22"/>
      <c r="AX17" s="91" t="s">
        <v>806</v>
      </c>
    </row>
    <row r="18" spans="1:50" ht="38.450000000000003" customHeight="1" x14ac:dyDescent="0.2">
      <c r="A18" s="87"/>
      <c r="B18" s="86" t="s">
        <v>40</v>
      </c>
      <c r="C18" s="87"/>
      <c r="D18" s="89" t="s">
        <v>292</v>
      </c>
      <c r="E18" s="125"/>
      <c r="F18" s="89" t="s">
        <v>807</v>
      </c>
      <c r="G18" s="88"/>
      <c r="H18" s="89" t="s">
        <v>808</v>
      </c>
      <c r="I18" s="88"/>
      <c r="J18" s="71">
        <v>10</v>
      </c>
      <c r="K18" s="125"/>
      <c r="L18" s="88" t="s">
        <v>20</v>
      </c>
      <c r="M18" s="125"/>
      <c r="N18" s="125" t="s">
        <v>258</v>
      </c>
      <c r="O18" s="125"/>
      <c r="P18" s="125">
        <v>2017</v>
      </c>
      <c r="Q18" s="253" t="s">
        <v>809</v>
      </c>
      <c r="R18" s="125"/>
      <c r="S18" s="125"/>
      <c r="T18" s="38"/>
      <c r="U18" s="125"/>
      <c r="V18" s="125"/>
      <c r="W18" s="125"/>
      <c r="X18" s="38"/>
      <c r="Y18" s="125"/>
      <c r="Z18" s="125"/>
      <c r="AA18" s="38"/>
      <c r="AB18" s="125"/>
      <c r="AC18" s="125"/>
      <c r="AD18" s="125"/>
      <c r="AE18" s="38"/>
      <c r="AF18" s="125"/>
      <c r="AG18" s="125"/>
      <c r="AH18" s="38"/>
      <c r="AI18" s="125"/>
      <c r="AJ18" s="125"/>
      <c r="AK18" s="38"/>
      <c r="AL18" s="125"/>
      <c r="AM18" s="125"/>
      <c r="AN18" s="38"/>
      <c r="AO18" s="125"/>
      <c r="AP18" s="125">
        <v>43</v>
      </c>
      <c r="AQ18" s="125"/>
      <c r="AR18" s="38">
        <v>430</v>
      </c>
      <c r="AS18" s="308">
        <v>52</v>
      </c>
      <c r="AT18" s="38"/>
      <c r="AU18" s="38">
        <v>520</v>
      </c>
      <c r="AV18" s="88" t="s">
        <v>260</v>
      </c>
      <c r="AW18" s="255"/>
      <c r="AX18" s="86"/>
    </row>
    <row r="19" spans="1:50" ht="38.450000000000003" customHeight="1" x14ac:dyDescent="0.2">
      <c r="A19" s="87"/>
      <c r="B19" s="86" t="s">
        <v>40</v>
      </c>
      <c r="C19" s="87"/>
      <c r="D19" s="89" t="s">
        <v>292</v>
      </c>
      <c r="E19" s="125"/>
      <c r="F19" s="89" t="s">
        <v>810</v>
      </c>
      <c r="G19" s="88"/>
      <c r="H19" s="89" t="s">
        <v>808</v>
      </c>
      <c r="I19" s="88"/>
      <c r="J19" s="71">
        <v>35</v>
      </c>
      <c r="K19" s="125"/>
      <c r="L19" s="88" t="s">
        <v>811</v>
      </c>
      <c r="M19" s="125"/>
      <c r="N19" s="125" t="s">
        <v>258</v>
      </c>
      <c r="O19" s="125"/>
      <c r="P19" s="125">
        <v>2017</v>
      </c>
      <c r="Q19" s="253" t="s">
        <v>812</v>
      </c>
      <c r="R19" s="125"/>
      <c r="S19" s="125"/>
      <c r="T19" s="38"/>
      <c r="U19" s="125"/>
      <c r="V19" s="125"/>
      <c r="W19" s="125"/>
      <c r="X19" s="38"/>
      <c r="Y19" s="125"/>
      <c r="Z19" s="125"/>
      <c r="AA19" s="38"/>
      <c r="AB19" s="125"/>
      <c r="AC19" s="125"/>
      <c r="AD19" s="125"/>
      <c r="AE19" s="38"/>
      <c r="AF19" s="125"/>
      <c r="AG19" s="125"/>
      <c r="AH19" s="38"/>
      <c r="AI19" s="125"/>
      <c r="AJ19" s="125"/>
      <c r="AK19" s="38"/>
      <c r="AL19" s="125"/>
      <c r="AM19" s="125"/>
      <c r="AN19" s="46"/>
      <c r="AO19" s="125"/>
      <c r="AP19" s="125"/>
      <c r="AQ19" s="125"/>
      <c r="AR19" s="38"/>
      <c r="AS19" s="308">
        <f>210/35</f>
        <v>6</v>
      </c>
      <c r="AT19" s="38"/>
      <c r="AU19" s="38">
        <v>210</v>
      </c>
      <c r="AV19" s="174" t="s">
        <v>260</v>
      </c>
      <c r="AW19" s="181"/>
      <c r="AX19" s="309"/>
    </row>
    <row r="20" spans="1:50" ht="12.75" x14ac:dyDescent="0.2">
      <c r="A20" s="87"/>
      <c r="B20" s="253" t="s">
        <v>499</v>
      </c>
      <c r="C20" s="206"/>
      <c r="D20" s="206"/>
      <c r="E20" s="125"/>
      <c r="F20" s="89"/>
      <c r="G20" s="88"/>
      <c r="H20" s="89"/>
      <c r="I20" s="88"/>
      <c r="J20" s="88"/>
      <c r="K20" s="125"/>
      <c r="L20" s="88"/>
      <c r="M20" s="125"/>
      <c r="N20" s="125"/>
      <c r="O20" s="125"/>
      <c r="P20" s="125"/>
      <c r="Q20" s="253"/>
      <c r="R20" s="310">
        <f>SUM(R2:R16)</f>
        <v>1319</v>
      </c>
      <c r="S20" s="125"/>
      <c r="T20" s="311">
        <f>SUM(T2:T16)</f>
        <v>241685</v>
      </c>
      <c r="U20" s="125"/>
      <c r="V20" s="310">
        <f>SUM(V2:V16)</f>
        <v>1360</v>
      </c>
      <c r="W20" s="125"/>
      <c r="X20" s="311">
        <f t="shared" ref="X20:AM20" si="0">SUM(X2:X16)</f>
        <v>243815</v>
      </c>
      <c r="Y20" s="311">
        <f t="shared" si="0"/>
        <v>1325</v>
      </c>
      <c r="Z20" s="311">
        <f t="shared" si="0"/>
        <v>0</v>
      </c>
      <c r="AA20" s="311">
        <f t="shared" si="0"/>
        <v>237520</v>
      </c>
      <c r="AB20" s="311">
        <f t="shared" si="0"/>
        <v>0</v>
      </c>
      <c r="AC20" s="311">
        <f t="shared" si="0"/>
        <v>1264</v>
      </c>
      <c r="AD20" s="311">
        <f t="shared" si="0"/>
        <v>0</v>
      </c>
      <c r="AE20" s="311">
        <f t="shared" si="0"/>
        <v>227770</v>
      </c>
      <c r="AF20" s="311">
        <f t="shared" si="0"/>
        <v>1261</v>
      </c>
      <c r="AG20" s="311">
        <f t="shared" si="0"/>
        <v>0</v>
      </c>
      <c r="AH20" s="311">
        <f t="shared" si="0"/>
        <v>327235</v>
      </c>
      <c r="AI20" s="312">
        <f t="shared" si="0"/>
        <v>1199</v>
      </c>
      <c r="AJ20" s="311">
        <f t="shared" si="0"/>
        <v>0</v>
      </c>
      <c r="AK20" s="311">
        <f t="shared" si="0"/>
        <v>290745</v>
      </c>
      <c r="AL20" s="312">
        <f t="shared" si="0"/>
        <v>1117</v>
      </c>
      <c r="AM20" s="311">
        <f t="shared" si="0"/>
        <v>0</v>
      </c>
      <c r="AN20" s="311">
        <f>SUM(AN2:AN17)</f>
        <v>293325</v>
      </c>
      <c r="AO20" s="125"/>
      <c r="AP20" s="312">
        <f>SUM(AP2:AP16)</f>
        <v>1079</v>
      </c>
      <c r="AQ20" s="311">
        <f>SUM(AQ2:AQ16)</f>
        <v>0</v>
      </c>
      <c r="AR20" s="311">
        <f>SUM(AR2:AR18)</f>
        <v>294200</v>
      </c>
      <c r="AS20" s="312">
        <f t="shared" ref="AS20:AT20" si="1">SUM(AS2:AS18)</f>
        <v>1144</v>
      </c>
      <c r="AT20" s="311">
        <f t="shared" si="1"/>
        <v>0</v>
      </c>
      <c r="AU20" s="311">
        <f>SUM(AU2:AU19)</f>
        <v>353570</v>
      </c>
      <c r="AV20" s="253"/>
      <c r="AW20" s="255"/>
      <c r="AX20" s="86"/>
    </row>
    <row r="21" spans="1:50" ht="12.75" x14ac:dyDescent="0.2">
      <c r="A21" s="90"/>
      <c r="B21" s="51"/>
      <c r="C21" s="200"/>
      <c r="D21" s="200"/>
      <c r="E21" s="93"/>
      <c r="F21" s="94"/>
      <c r="G21" s="92"/>
      <c r="H21" s="94"/>
      <c r="I21" s="92"/>
      <c r="J21" s="92"/>
      <c r="K21" s="93"/>
      <c r="L21" s="92"/>
      <c r="M21" s="93"/>
      <c r="N21" s="93"/>
      <c r="O21" s="93"/>
      <c r="P21" s="93"/>
      <c r="Q21" s="51"/>
      <c r="R21" s="183"/>
      <c r="S21" s="93"/>
      <c r="T21" s="52"/>
      <c r="U21" s="93"/>
      <c r="V21" s="183"/>
      <c r="W21" s="93"/>
      <c r="X21" s="52"/>
      <c r="Y21" s="52"/>
      <c r="Z21" s="52"/>
      <c r="AA21" s="52"/>
      <c r="AB21" s="52"/>
      <c r="AC21" s="52"/>
      <c r="AD21" s="52"/>
      <c r="AE21" s="52"/>
      <c r="AF21" s="52"/>
      <c r="AG21" s="52"/>
      <c r="AH21" s="52"/>
      <c r="AI21" s="497"/>
      <c r="AJ21" s="52"/>
      <c r="AK21" s="52"/>
      <c r="AL21" s="497"/>
      <c r="AM21" s="52"/>
      <c r="AN21" s="52"/>
      <c r="AO21" s="93"/>
      <c r="AP21" s="497"/>
      <c r="AQ21" s="52"/>
      <c r="AR21" s="52"/>
      <c r="AS21" s="497"/>
      <c r="AT21" s="52"/>
      <c r="AU21" s="52"/>
      <c r="AV21" s="51"/>
      <c r="AW21" s="22"/>
      <c r="AX21" s="91"/>
    </row>
    <row r="22" spans="1:50" ht="14.25" customHeight="1" x14ac:dyDescent="0.2">
      <c r="A22" s="90"/>
      <c r="B22" s="325" t="s">
        <v>948</v>
      </c>
      <c r="C22" s="200"/>
      <c r="D22" s="200"/>
      <c r="E22" s="93"/>
      <c r="F22" s="94"/>
      <c r="G22" s="92"/>
      <c r="H22" s="94"/>
      <c r="I22" s="92"/>
      <c r="J22" s="92"/>
      <c r="K22" s="93"/>
      <c r="L22" s="92"/>
      <c r="M22" s="93"/>
      <c r="N22" s="93"/>
      <c r="O22" s="93"/>
      <c r="P22" s="93"/>
      <c r="R22" s="93"/>
      <c r="S22" s="93"/>
      <c r="T22" s="52"/>
      <c r="U22" s="93"/>
      <c r="V22" s="93"/>
      <c r="W22" s="93"/>
      <c r="X22" s="93"/>
      <c r="Y22" s="93"/>
      <c r="Z22" s="93"/>
      <c r="AA22" s="52"/>
      <c r="AB22" s="93"/>
      <c r="AC22" s="93"/>
      <c r="AD22" s="93"/>
      <c r="AE22" s="93"/>
      <c r="AF22" s="93"/>
      <c r="AG22" s="93"/>
      <c r="AH22" s="93"/>
      <c r="AI22" s="93"/>
      <c r="AJ22" s="93"/>
      <c r="AK22" s="93"/>
      <c r="AL22" s="93"/>
      <c r="AM22" s="93"/>
      <c r="AN22" s="93"/>
      <c r="AO22" s="93"/>
      <c r="AP22" s="93"/>
      <c r="AQ22" s="93"/>
      <c r="AR22" s="93"/>
      <c r="AS22" s="93"/>
      <c r="AT22" s="93"/>
      <c r="AU22" s="93"/>
    </row>
    <row r="23" spans="1:50" ht="21" customHeight="1" x14ac:dyDescent="0.2">
      <c r="A23" s="90"/>
      <c r="B23" s="319"/>
      <c r="C23" s="200"/>
      <c r="D23" s="200"/>
      <c r="E23" s="93"/>
      <c r="F23" s="94"/>
      <c r="G23" s="92"/>
      <c r="H23" s="94"/>
      <c r="I23" s="92"/>
      <c r="J23" s="92"/>
      <c r="K23" s="93"/>
      <c r="L23" s="92"/>
      <c r="M23" s="93"/>
      <c r="N23" s="93"/>
      <c r="O23" s="93"/>
      <c r="P23" s="93"/>
      <c r="R23" s="93"/>
      <c r="S23" s="93"/>
      <c r="T23" s="52"/>
      <c r="U23" s="93"/>
      <c r="V23" s="93"/>
      <c r="W23" s="93"/>
      <c r="X23" s="93"/>
      <c r="Y23" s="93"/>
      <c r="Z23" s="93"/>
      <c r="AA23" s="52"/>
      <c r="AB23" s="93"/>
      <c r="AC23" s="93"/>
      <c r="AD23" s="93"/>
      <c r="AE23" s="93"/>
      <c r="AF23" s="93"/>
      <c r="AG23" s="93"/>
      <c r="AH23" s="93"/>
      <c r="AI23" s="93"/>
      <c r="AJ23" s="93"/>
      <c r="AK23" s="93"/>
      <c r="AL23" s="93"/>
      <c r="AM23" s="93"/>
      <c r="AN23" s="93"/>
      <c r="AO23" s="93"/>
      <c r="AP23" s="93"/>
      <c r="AQ23" s="93"/>
      <c r="AR23" s="93"/>
      <c r="AS23" s="93"/>
      <c r="AT23" s="93"/>
      <c r="AU23" s="93"/>
    </row>
    <row r="24" spans="1:50" s="22" customFormat="1" ht="16.5" customHeight="1" x14ac:dyDescent="0.2">
      <c r="B24" s="316" t="s">
        <v>813</v>
      </c>
      <c r="C24" s="316"/>
      <c r="D24" s="317"/>
      <c r="E24" s="318"/>
      <c r="F24" s="319"/>
      <c r="G24" s="317"/>
      <c r="I24" s="317"/>
      <c r="J24" s="317"/>
      <c r="K24" s="318"/>
      <c r="L24" s="317"/>
      <c r="M24" s="318"/>
      <c r="N24" s="318"/>
      <c r="O24" s="318"/>
      <c r="P24" s="318"/>
      <c r="Q24" s="320"/>
      <c r="R24" s="318"/>
      <c r="S24" s="93"/>
      <c r="T24" s="46"/>
      <c r="U24" s="93"/>
      <c r="V24" s="93"/>
      <c r="W24" s="93"/>
      <c r="X24" s="93"/>
      <c r="Y24" s="93"/>
      <c r="Z24" s="93"/>
      <c r="AA24" s="46"/>
      <c r="AB24" s="93"/>
      <c r="AC24" s="93"/>
      <c r="AD24" s="93"/>
      <c r="AE24" s="93"/>
      <c r="AF24" s="93"/>
      <c r="AG24" s="93"/>
      <c r="AH24" s="93"/>
      <c r="AI24" s="93"/>
      <c r="AJ24" s="93"/>
      <c r="AK24" s="93"/>
      <c r="AL24" s="93"/>
      <c r="AM24" s="93"/>
      <c r="AN24" s="93"/>
      <c r="AO24" s="93"/>
      <c r="AP24" s="93"/>
      <c r="AQ24" s="93"/>
      <c r="AR24" s="93"/>
      <c r="AS24" s="93"/>
      <c r="AT24" s="93"/>
      <c r="AU24" s="93"/>
      <c r="AV24" s="51"/>
      <c r="AX24" s="51"/>
    </row>
    <row r="25" spans="1:50" s="23" customFormat="1" x14ac:dyDescent="0.2">
      <c r="A25" s="95"/>
      <c r="B25" s="316" t="s">
        <v>709</v>
      </c>
      <c r="C25" s="321"/>
      <c r="D25" s="317"/>
      <c r="E25" s="318"/>
      <c r="F25" s="319"/>
      <c r="G25" s="317"/>
      <c r="H25" s="319"/>
      <c r="I25" s="317"/>
      <c r="J25" s="317"/>
      <c r="K25" s="318"/>
      <c r="L25" s="317"/>
      <c r="M25" s="318"/>
      <c r="N25" s="318"/>
      <c r="O25" s="318"/>
      <c r="P25" s="318"/>
      <c r="Q25" s="322"/>
      <c r="R25" s="318"/>
      <c r="S25" s="93"/>
      <c r="T25" s="46"/>
      <c r="U25" s="93"/>
      <c r="V25" s="93"/>
      <c r="W25" s="93"/>
      <c r="X25" s="93"/>
      <c r="Y25" s="93"/>
      <c r="Z25" s="93"/>
      <c r="AA25" s="46"/>
      <c r="AB25" s="93"/>
      <c r="AC25" s="93"/>
      <c r="AD25" s="93"/>
      <c r="AE25" s="93"/>
      <c r="AF25" s="93"/>
      <c r="AG25" s="93"/>
      <c r="AH25" s="93"/>
      <c r="AI25" s="93"/>
      <c r="AJ25" s="93"/>
      <c r="AK25" s="93"/>
      <c r="AL25" s="93"/>
      <c r="AM25" s="93"/>
      <c r="AN25" s="93"/>
      <c r="AO25" s="93"/>
      <c r="AP25" s="93"/>
      <c r="AQ25" s="93"/>
      <c r="AR25" s="93"/>
      <c r="AS25" s="93"/>
      <c r="AT25" s="93"/>
      <c r="AU25" s="93"/>
      <c r="AV25" s="75"/>
      <c r="AX25" s="75"/>
    </row>
    <row r="26" spans="1:50" s="23" customFormat="1" x14ac:dyDescent="0.2">
      <c r="A26" s="95"/>
      <c r="B26" s="316" t="s">
        <v>708</v>
      </c>
      <c r="C26" s="321"/>
      <c r="D26" s="317"/>
      <c r="E26" s="318"/>
      <c r="F26" s="319"/>
      <c r="G26" s="317"/>
      <c r="H26" s="319"/>
      <c r="I26" s="317"/>
      <c r="J26" s="317"/>
      <c r="K26" s="318"/>
      <c r="L26" s="317"/>
      <c r="M26" s="318"/>
      <c r="N26" s="318"/>
      <c r="O26" s="318"/>
      <c r="P26" s="318"/>
      <c r="Q26" s="322"/>
      <c r="R26" s="318"/>
      <c r="S26" s="93"/>
      <c r="T26" s="46"/>
      <c r="U26" s="93"/>
      <c r="V26" s="93"/>
      <c r="W26" s="93"/>
      <c r="X26" s="93"/>
      <c r="Y26" s="93"/>
      <c r="Z26" s="93"/>
      <c r="AA26" s="46"/>
      <c r="AB26" s="93"/>
      <c r="AC26" s="93"/>
      <c r="AD26" s="93"/>
      <c r="AE26" s="93"/>
      <c r="AF26" s="93"/>
      <c r="AG26" s="93"/>
      <c r="AH26" s="93"/>
      <c r="AI26" s="93"/>
      <c r="AJ26" s="93"/>
      <c r="AK26" s="93"/>
      <c r="AL26" s="93"/>
      <c r="AM26" s="93"/>
      <c r="AN26" s="93"/>
      <c r="AO26" s="93"/>
      <c r="AP26" s="93"/>
      <c r="AQ26" s="93"/>
      <c r="AR26" s="93"/>
      <c r="AS26" s="93"/>
      <c r="AT26" s="93"/>
      <c r="AU26" s="93"/>
      <c r="AV26" s="75"/>
      <c r="AX26" s="75"/>
    </row>
    <row r="27" spans="1:50" s="23" customFormat="1" x14ac:dyDescent="0.2">
      <c r="A27" s="95"/>
      <c r="B27" s="315"/>
      <c r="C27" s="321"/>
      <c r="D27" s="317"/>
      <c r="E27" s="318"/>
      <c r="F27" s="319"/>
      <c r="G27" s="317"/>
      <c r="H27" s="319"/>
      <c r="I27" s="317"/>
      <c r="J27" s="317"/>
      <c r="K27" s="318"/>
      <c r="L27" s="317"/>
      <c r="M27" s="318"/>
      <c r="N27" s="318"/>
      <c r="O27" s="318"/>
      <c r="P27" s="318"/>
      <c r="Q27" s="322"/>
      <c r="R27" s="318"/>
      <c r="S27" s="93"/>
      <c r="T27" s="46"/>
      <c r="U27" s="93"/>
      <c r="V27" s="93"/>
      <c r="W27" s="93"/>
      <c r="X27" s="93"/>
      <c r="Y27" s="93"/>
      <c r="Z27" s="93"/>
      <c r="AA27" s="46"/>
      <c r="AB27" s="93"/>
      <c r="AC27" s="93"/>
      <c r="AD27" s="93"/>
      <c r="AE27" s="93"/>
      <c r="AF27" s="93"/>
      <c r="AG27" s="93"/>
      <c r="AH27" s="93"/>
      <c r="AI27" s="93"/>
      <c r="AJ27" s="93"/>
      <c r="AK27" s="93"/>
      <c r="AL27" s="93"/>
      <c r="AM27" s="93"/>
      <c r="AN27" s="93"/>
      <c r="AO27" s="93"/>
      <c r="AP27" s="93"/>
      <c r="AQ27" s="93"/>
      <c r="AR27" s="93"/>
      <c r="AS27" s="93"/>
      <c r="AT27" s="93"/>
      <c r="AU27" s="93"/>
      <c r="AV27" s="75"/>
      <c r="AX27" s="75"/>
    </row>
    <row r="28" spans="1:50" s="22" customFormat="1" x14ac:dyDescent="0.2">
      <c r="A28" s="90"/>
      <c r="B28" s="316" t="s">
        <v>814</v>
      </c>
      <c r="C28" s="316"/>
      <c r="D28" s="317"/>
      <c r="E28" s="318"/>
      <c r="F28" s="319"/>
      <c r="G28" s="317"/>
      <c r="H28" s="319"/>
      <c r="I28" s="317"/>
      <c r="J28" s="317"/>
      <c r="K28" s="318"/>
      <c r="L28" s="317"/>
      <c r="M28" s="318"/>
      <c r="N28" s="318"/>
      <c r="O28" s="318"/>
      <c r="P28" s="318"/>
      <c r="Q28" s="320"/>
      <c r="R28" s="318"/>
      <c r="S28" s="93"/>
      <c r="T28" s="46"/>
      <c r="U28" s="93"/>
      <c r="V28" s="93"/>
      <c r="W28" s="93"/>
      <c r="X28" s="93"/>
      <c r="Y28" s="93"/>
      <c r="Z28" s="93"/>
      <c r="AA28" s="46"/>
      <c r="AB28" s="93"/>
      <c r="AC28" s="93"/>
      <c r="AD28" s="93"/>
      <c r="AE28" s="93"/>
      <c r="AF28" s="93"/>
      <c r="AG28" s="93"/>
      <c r="AH28" s="93"/>
      <c r="AI28" s="93"/>
      <c r="AJ28" s="93"/>
      <c r="AK28" s="93"/>
      <c r="AL28" s="93"/>
      <c r="AM28" s="93"/>
      <c r="AN28" s="93"/>
      <c r="AO28" s="93"/>
      <c r="AP28" s="93"/>
      <c r="AQ28" s="93"/>
      <c r="AR28" s="93"/>
      <c r="AS28" s="93"/>
      <c r="AT28" s="93"/>
      <c r="AU28" s="93"/>
      <c r="AV28" s="75"/>
      <c r="AX28" s="51"/>
    </row>
    <row r="29" spans="1:50" s="326" customFormat="1" x14ac:dyDescent="0.2">
      <c r="A29" s="323" t="s">
        <v>815</v>
      </c>
      <c r="B29" s="323"/>
      <c r="C29" s="323"/>
      <c r="D29" s="323"/>
      <c r="E29" s="323"/>
      <c r="F29" s="323"/>
      <c r="G29" s="323"/>
      <c r="H29" s="324"/>
      <c r="I29" s="323"/>
      <c r="J29" s="323"/>
      <c r="K29" s="323"/>
      <c r="L29" s="323"/>
      <c r="M29" s="323"/>
      <c r="N29" s="323"/>
      <c r="O29" s="323"/>
      <c r="P29" s="323"/>
      <c r="Q29" s="320"/>
      <c r="R29" s="323"/>
      <c r="S29" s="323"/>
      <c r="T29" s="323"/>
      <c r="U29" s="323"/>
      <c r="V29" s="323"/>
      <c r="W29" s="323"/>
      <c r="X29" s="323"/>
      <c r="Y29" s="325"/>
      <c r="Z29" s="325"/>
      <c r="AA29" s="325"/>
      <c r="AB29" s="325"/>
      <c r="AC29" s="325"/>
      <c r="AD29" s="325"/>
      <c r="AE29" s="325"/>
      <c r="AF29" s="325"/>
      <c r="AG29" s="325"/>
      <c r="AH29" s="325"/>
      <c r="AI29" s="325"/>
      <c r="AJ29" s="325"/>
      <c r="AK29" s="325"/>
      <c r="AL29" s="325"/>
      <c r="AM29" s="325"/>
      <c r="AN29" s="325"/>
      <c r="AO29" s="318"/>
      <c r="AP29" s="325"/>
      <c r="AQ29" s="325"/>
      <c r="AR29" s="325"/>
      <c r="AS29" s="325"/>
      <c r="AT29" s="325"/>
      <c r="AU29" s="325"/>
      <c r="AV29" s="322"/>
      <c r="AX29" s="320"/>
    </row>
    <row r="30" spans="1:50" s="22" customFormat="1" x14ac:dyDescent="0.2">
      <c r="A30" s="73"/>
      <c r="B30" s="323" t="s">
        <v>816</v>
      </c>
      <c r="C30" s="323"/>
      <c r="D30" s="323"/>
      <c r="E30" s="323"/>
      <c r="F30" s="323"/>
      <c r="G30" s="323"/>
      <c r="H30" s="324"/>
      <c r="I30" s="323"/>
      <c r="J30" s="323"/>
      <c r="K30" s="323"/>
      <c r="L30" s="323"/>
      <c r="M30" s="323"/>
      <c r="N30" s="323"/>
      <c r="O30" s="323"/>
      <c r="P30" s="323"/>
      <c r="Q30" s="320"/>
      <c r="R30" s="323"/>
      <c r="S30" s="73"/>
      <c r="T30" s="73"/>
      <c r="U30" s="73"/>
      <c r="V30" s="73"/>
      <c r="W30" s="73"/>
      <c r="X30" s="73"/>
      <c r="Y30" s="178"/>
      <c r="Z30" s="178"/>
      <c r="AA30" s="178"/>
      <c r="AB30" s="178"/>
      <c r="AC30" s="178"/>
      <c r="AD30" s="178"/>
      <c r="AE30" s="178"/>
      <c r="AF30" s="178"/>
      <c r="AG30" s="178"/>
      <c r="AH30" s="178"/>
      <c r="AI30" s="178"/>
      <c r="AJ30" s="178"/>
      <c r="AK30" s="178"/>
      <c r="AL30" s="178"/>
      <c r="AM30" s="178"/>
      <c r="AN30" s="178"/>
      <c r="AO30" s="93"/>
      <c r="AP30" s="178"/>
      <c r="AQ30" s="178"/>
      <c r="AR30" s="178"/>
      <c r="AS30" s="178"/>
      <c r="AT30" s="178"/>
      <c r="AU30" s="178"/>
      <c r="AV30" s="75"/>
      <c r="AX30" s="51"/>
    </row>
    <row r="31" spans="1:50" s="22" customFormat="1" x14ac:dyDescent="0.2">
      <c r="A31" s="73"/>
      <c r="B31" s="323" t="s">
        <v>817</v>
      </c>
      <c r="C31" s="323"/>
      <c r="D31" s="323"/>
      <c r="E31" s="323"/>
      <c r="F31" s="323"/>
      <c r="G31" s="323"/>
      <c r="H31" s="324"/>
      <c r="I31" s="323"/>
      <c r="J31" s="323"/>
      <c r="K31" s="323"/>
      <c r="L31" s="323"/>
      <c r="M31" s="323"/>
      <c r="N31" s="323"/>
      <c r="O31" s="323"/>
      <c r="P31" s="323"/>
      <c r="Q31" s="320"/>
      <c r="R31" s="323"/>
      <c r="S31" s="73"/>
      <c r="T31" s="73"/>
      <c r="U31" s="73"/>
      <c r="V31" s="73"/>
      <c r="W31" s="73"/>
      <c r="X31" s="73"/>
      <c r="Y31" s="178"/>
      <c r="Z31" s="178"/>
      <c r="AA31" s="178"/>
      <c r="AB31" s="178"/>
      <c r="AC31" s="178"/>
      <c r="AD31" s="178"/>
      <c r="AE31" s="178"/>
      <c r="AF31" s="178"/>
      <c r="AG31" s="178"/>
      <c r="AH31" s="178"/>
      <c r="AI31" s="178"/>
      <c r="AJ31" s="178"/>
      <c r="AK31" s="178"/>
      <c r="AL31" s="178"/>
      <c r="AM31" s="178"/>
      <c r="AN31" s="178"/>
      <c r="AO31" s="93"/>
      <c r="AP31" s="178"/>
      <c r="AQ31" s="178"/>
      <c r="AR31" s="178"/>
      <c r="AS31" s="178"/>
      <c r="AT31" s="178"/>
      <c r="AU31" s="178"/>
      <c r="AV31" s="75"/>
      <c r="AX31" s="51"/>
    </row>
    <row r="32" spans="1:50" s="22" customFormat="1" x14ac:dyDescent="0.2">
      <c r="A32" s="303"/>
      <c r="B32" s="324"/>
      <c r="C32" s="324"/>
      <c r="D32" s="324"/>
      <c r="E32" s="324"/>
      <c r="F32" s="324"/>
      <c r="G32" s="324"/>
      <c r="H32" s="324"/>
      <c r="I32" s="324"/>
      <c r="J32" s="324"/>
      <c r="K32" s="324"/>
      <c r="L32" s="324"/>
      <c r="M32" s="324"/>
      <c r="N32" s="318"/>
      <c r="O32" s="318"/>
      <c r="P32" s="318"/>
      <c r="Q32" s="320"/>
      <c r="R32" s="324"/>
      <c r="S32" s="303"/>
      <c r="T32" s="303"/>
      <c r="U32" s="93"/>
      <c r="V32" s="93"/>
      <c r="W32" s="93"/>
      <c r="X32" s="93"/>
      <c r="Y32" s="94"/>
      <c r="Z32" s="94"/>
      <c r="AA32" s="94"/>
      <c r="AB32" s="93"/>
      <c r="AC32" s="93"/>
      <c r="AD32" s="93"/>
      <c r="AE32" s="93"/>
      <c r="AF32" s="93"/>
      <c r="AG32" s="93"/>
      <c r="AH32" s="93"/>
      <c r="AI32" s="93"/>
      <c r="AJ32" s="93"/>
      <c r="AK32" s="93"/>
      <c r="AL32" s="93"/>
      <c r="AM32" s="93"/>
      <c r="AN32" s="93"/>
      <c r="AO32" s="93"/>
      <c r="AP32" s="93"/>
      <c r="AQ32" s="93"/>
      <c r="AR32" s="93"/>
      <c r="AS32" s="93"/>
      <c r="AT32" s="93"/>
      <c r="AU32" s="93"/>
      <c r="AV32" s="75"/>
      <c r="AX32" s="51"/>
    </row>
    <row r="33" spans="1:50" s="326" customFormat="1" x14ac:dyDescent="0.2">
      <c r="A33" s="323" t="s">
        <v>818</v>
      </c>
      <c r="B33" s="323"/>
      <c r="C33" s="323"/>
      <c r="D33" s="323"/>
      <c r="E33" s="323"/>
      <c r="F33" s="323"/>
      <c r="G33" s="323"/>
      <c r="H33" s="324"/>
      <c r="I33" s="323"/>
      <c r="J33" s="323"/>
      <c r="K33" s="323"/>
      <c r="L33" s="323"/>
      <c r="M33" s="323"/>
      <c r="N33" s="323"/>
      <c r="O33" s="323"/>
      <c r="P33" s="323"/>
      <c r="Q33" s="320"/>
      <c r="R33" s="323"/>
      <c r="S33" s="323"/>
      <c r="T33" s="323"/>
      <c r="U33" s="323"/>
      <c r="V33" s="323"/>
      <c r="W33" s="323"/>
      <c r="X33" s="323"/>
      <c r="Y33" s="325"/>
      <c r="Z33" s="325"/>
      <c r="AA33" s="325"/>
      <c r="AB33" s="325"/>
      <c r="AC33" s="325"/>
      <c r="AD33" s="325"/>
      <c r="AE33" s="325"/>
      <c r="AF33" s="325"/>
      <c r="AG33" s="325"/>
      <c r="AH33" s="325"/>
      <c r="AI33" s="325"/>
      <c r="AJ33" s="325"/>
      <c r="AK33" s="325"/>
      <c r="AL33" s="325"/>
      <c r="AM33" s="325"/>
      <c r="AN33" s="325"/>
      <c r="AO33" s="318"/>
      <c r="AP33" s="325"/>
      <c r="AQ33" s="325"/>
      <c r="AR33" s="325"/>
      <c r="AS33" s="325"/>
      <c r="AT33" s="325"/>
      <c r="AU33" s="325"/>
      <c r="AV33" s="322"/>
      <c r="AX33" s="320"/>
    </row>
    <row r="34" spans="1:50" s="326" customFormat="1" x14ac:dyDescent="0.2">
      <c r="A34" s="323" t="s">
        <v>819</v>
      </c>
      <c r="B34" s="323"/>
      <c r="C34" s="323"/>
      <c r="D34" s="323"/>
      <c r="E34" s="323"/>
      <c r="F34" s="323"/>
      <c r="G34" s="323"/>
      <c r="H34" s="324"/>
      <c r="I34" s="323"/>
      <c r="J34" s="323"/>
      <c r="K34" s="323"/>
      <c r="L34" s="323"/>
      <c r="M34" s="323"/>
      <c r="N34" s="323"/>
      <c r="O34" s="323"/>
      <c r="P34" s="323"/>
      <c r="Q34" s="320"/>
      <c r="R34" s="323"/>
      <c r="S34" s="323"/>
      <c r="T34" s="323"/>
      <c r="U34" s="323"/>
      <c r="V34" s="323"/>
      <c r="W34" s="323"/>
      <c r="X34" s="323"/>
      <c r="Y34" s="325"/>
      <c r="Z34" s="325"/>
      <c r="AA34" s="325"/>
      <c r="AB34" s="325"/>
      <c r="AC34" s="325"/>
      <c r="AD34" s="325"/>
      <c r="AE34" s="325"/>
      <c r="AF34" s="325"/>
      <c r="AG34" s="325"/>
      <c r="AH34" s="325"/>
      <c r="AI34" s="325"/>
      <c r="AJ34" s="325"/>
      <c r="AK34" s="325"/>
      <c r="AL34" s="325"/>
      <c r="AM34" s="325"/>
      <c r="AN34" s="325"/>
      <c r="AO34" s="318"/>
      <c r="AP34" s="325"/>
      <c r="AQ34" s="325"/>
      <c r="AR34" s="325"/>
      <c r="AS34" s="325"/>
      <c r="AT34" s="325"/>
      <c r="AU34" s="325"/>
      <c r="AV34" s="320"/>
      <c r="AX34" s="320"/>
    </row>
    <row r="35" spans="1:50" s="23" customFormat="1" x14ac:dyDescent="0.2">
      <c r="A35" s="95"/>
      <c r="B35" s="315"/>
      <c r="C35" s="321"/>
      <c r="D35" s="317"/>
      <c r="E35" s="318"/>
      <c r="F35" s="319"/>
      <c r="G35" s="317"/>
      <c r="H35" s="319"/>
      <c r="I35" s="317"/>
      <c r="J35" s="317"/>
      <c r="K35" s="318"/>
      <c r="L35" s="317"/>
      <c r="M35" s="318"/>
      <c r="N35" s="318"/>
      <c r="O35" s="318"/>
      <c r="P35" s="318"/>
      <c r="Q35" s="322"/>
      <c r="R35" s="318"/>
      <c r="S35" s="93"/>
      <c r="T35" s="46"/>
      <c r="U35" s="93"/>
      <c r="V35" s="93"/>
      <c r="W35" s="93"/>
      <c r="X35" s="93"/>
      <c r="Y35" s="93"/>
      <c r="Z35" s="93"/>
      <c r="AA35" s="46"/>
      <c r="AB35" s="93"/>
      <c r="AC35" s="93"/>
      <c r="AD35" s="93"/>
      <c r="AE35" s="93"/>
      <c r="AF35" s="93"/>
      <c r="AG35" s="93"/>
      <c r="AH35" s="93"/>
      <c r="AI35" s="93"/>
      <c r="AJ35" s="93"/>
      <c r="AK35" s="93"/>
      <c r="AL35" s="93"/>
      <c r="AM35" s="93"/>
      <c r="AN35" s="93"/>
      <c r="AO35" s="93"/>
      <c r="AP35" s="93"/>
      <c r="AQ35" s="93"/>
      <c r="AR35" s="93"/>
      <c r="AS35" s="93"/>
      <c r="AT35" s="93"/>
      <c r="AU35" s="93"/>
      <c r="AV35" s="75"/>
      <c r="AX35" s="75"/>
    </row>
    <row r="36" spans="1:50" s="328" customFormat="1" x14ac:dyDescent="0.2">
      <c r="B36" s="321" t="s">
        <v>820</v>
      </c>
      <c r="C36" s="321"/>
      <c r="D36" s="317"/>
      <c r="E36" s="318"/>
      <c r="F36" s="319"/>
      <c r="G36" s="317"/>
      <c r="H36" s="319"/>
      <c r="I36" s="317"/>
      <c r="J36" s="317"/>
      <c r="K36" s="318"/>
      <c r="L36" s="317"/>
      <c r="M36" s="318"/>
      <c r="N36" s="318"/>
      <c r="O36" s="318"/>
      <c r="P36" s="318"/>
      <c r="Q36" s="322"/>
      <c r="R36" s="318"/>
      <c r="S36" s="318"/>
      <c r="T36" s="327"/>
      <c r="U36" s="318"/>
      <c r="V36" s="318"/>
      <c r="W36" s="318"/>
      <c r="X36" s="318"/>
      <c r="Y36" s="318"/>
      <c r="Z36" s="318"/>
      <c r="AA36" s="327"/>
      <c r="AB36" s="318"/>
      <c r="AC36" s="318"/>
      <c r="AD36" s="318"/>
      <c r="AE36" s="318"/>
      <c r="AF36" s="318"/>
      <c r="AG36" s="318"/>
      <c r="AH36" s="318"/>
      <c r="AI36" s="318"/>
      <c r="AJ36" s="318"/>
      <c r="AK36" s="318"/>
      <c r="AL36" s="318"/>
      <c r="AM36" s="318"/>
      <c r="AN36" s="318"/>
      <c r="AO36" s="318"/>
      <c r="AP36" s="318"/>
      <c r="AQ36" s="318"/>
      <c r="AR36" s="318"/>
      <c r="AS36" s="318"/>
      <c r="AT36" s="318"/>
      <c r="AU36" s="318"/>
      <c r="AV36" s="322"/>
      <c r="AX36" s="322"/>
    </row>
    <row r="37" spans="1:50" s="22" customFormat="1" x14ac:dyDescent="0.2">
      <c r="A37" s="90"/>
      <c r="B37" s="91"/>
      <c r="C37" s="90"/>
      <c r="D37" s="92"/>
      <c r="E37" s="93"/>
      <c r="F37" s="94"/>
      <c r="G37" s="92"/>
      <c r="H37" s="94"/>
      <c r="I37" s="92"/>
      <c r="J37" s="92"/>
      <c r="K37" s="93"/>
      <c r="L37" s="92"/>
      <c r="M37" s="93"/>
      <c r="N37" s="92"/>
      <c r="O37" s="93"/>
      <c r="P37" s="93"/>
      <c r="Q37" s="51"/>
      <c r="R37" s="93"/>
      <c r="S37" s="93"/>
      <c r="T37" s="46"/>
      <c r="U37" s="93"/>
      <c r="V37" s="93"/>
      <c r="W37" s="93"/>
      <c r="X37" s="93"/>
      <c r="Y37" s="93"/>
      <c r="Z37" s="93"/>
      <c r="AA37" s="46"/>
      <c r="AB37" s="93"/>
      <c r="AC37" s="93"/>
      <c r="AD37" s="93"/>
      <c r="AE37" s="93"/>
      <c r="AF37" s="93"/>
      <c r="AG37" s="93"/>
      <c r="AH37" s="93"/>
      <c r="AI37" s="93"/>
      <c r="AJ37" s="93"/>
      <c r="AK37" s="93"/>
      <c r="AL37" s="93"/>
      <c r="AM37" s="93"/>
      <c r="AN37" s="93"/>
      <c r="AO37" s="93"/>
      <c r="AP37" s="93"/>
      <c r="AQ37" s="93"/>
      <c r="AR37" s="93"/>
      <c r="AS37" s="93"/>
      <c r="AT37" s="93"/>
      <c r="AU37" s="93"/>
      <c r="AV37" s="51"/>
      <c r="AX37" s="51"/>
    </row>
    <row r="38" spans="1:50" s="132" customFormat="1" x14ac:dyDescent="0.2">
      <c r="A38" s="133"/>
      <c r="D38" s="134"/>
      <c r="E38" s="135"/>
      <c r="F38" s="136"/>
      <c r="G38" s="134"/>
      <c r="H38" s="136"/>
      <c r="I38" s="134"/>
      <c r="J38" s="134"/>
      <c r="K38" s="135"/>
      <c r="L38" s="135"/>
      <c r="M38" s="135"/>
      <c r="N38" s="135"/>
      <c r="O38" s="135"/>
      <c r="P38" s="135"/>
      <c r="Q38" s="134"/>
      <c r="R38" s="135"/>
      <c r="S38" s="135"/>
      <c r="T38" s="137"/>
      <c r="U38" s="135"/>
      <c r="V38" s="135"/>
      <c r="W38" s="135"/>
      <c r="X38" s="135"/>
      <c r="Y38" s="135"/>
      <c r="Z38" s="135"/>
      <c r="AA38" s="137"/>
      <c r="AB38" s="135"/>
      <c r="AC38" s="135"/>
      <c r="AD38" s="135"/>
      <c r="AE38" s="135"/>
      <c r="AF38" s="135"/>
      <c r="AG38" s="135"/>
      <c r="AH38" s="135"/>
      <c r="AI38" s="135"/>
      <c r="AJ38" s="135"/>
      <c r="AK38" s="135"/>
      <c r="AL38" s="135"/>
      <c r="AM38" s="135"/>
      <c r="AN38" s="135"/>
      <c r="AO38" s="135"/>
      <c r="AP38" s="135"/>
      <c r="AQ38" s="135"/>
      <c r="AR38" s="135"/>
      <c r="AS38" s="135"/>
      <c r="AT38" s="135"/>
      <c r="AU38" s="135"/>
      <c r="AV38" s="139"/>
      <c r="AX38" s="139"/>
    </row>
    <row r="39" spans="1:50" s="22" customFormat="1" x14ac:dyDescent="0.2">
      <c r="A39" s="90"/>
      <c r="B39" s="91"/>
      <c r="C39" s="90"/>
      <c r="D39" s="92"/>
      <c r="E39" s="93"/>
      <c r="F39" s="94"/>
      <c r="G39" s="92"/>
      <c r="H39" s="94"/>
      <c r="I39" s="92"/>
      <c r="J39" s="92"/>
      <c r="K39" s="93"/>
      <c r="L39" s="92"/>
      <c r="M39" s="93"/>
      <c r="N39" s="93"/>
      <c r="O39" s="93"/>
      <c r="P39" s="93"/>
      <c r="Q39" s="51"/>
      <c r="R39" s="93"/>
      <c r="S39" s="93"/>
      <c r="T39" s="46"/>
      <c r="U39" s="93"/>
      <c r="V39" s="93"/>
      <c r="W39" s="93"/>
      <c r="X39" s="93"/>
      <c r="Y39" s="93"/>
      <c r="Z39" s="93"/>
      <c r="AA39" s="46"/>
      <c r="AB39" s="93"/>
      <c r="AC39" s="93"/>
      <c r="AD39" s="93"/>
      <c r="AE39" s="93"/>
      <c r="AF39" s="93"/>
      <c r="AG39" s="93"/>
      <c r="AH39" s="93"/>
      <c r="AI39" s="93"/>
      <c r="AJ39" s="93"/>
      <c r="AK39" s="93"/>
      <c r="AL39" s="93"/>
      <c r="AM39" s="93"/>
      <c r="AN39" s="93"/>
      <c r="AO39" s="93"/>
      <c r="AP39" s="93"/>
      <c r="AQ39" s="93"/>
      <c r="AR39" s="93"/>
      <c r="AS39" s="93"/>
      <c r="AT39" s="93"/>
      <c r="AU39" s="93"/>
      <c r="AV39" s="51"/>
      <c r="AX39" s="51"/>
    </row>
    <row r="40" spans="1:50" s="22" customFormat="1" x14ac:dyDescent="0.2">
      <c r="A40" s="90"/>
      <c r="B40" s="91"/>
      <c r="C40" s="90"/>
      <c r="D40" s="92"/>
      <c r="E40" s="93"/>
      <c r="F40" s="94"/>
      <c r="G40" s="92"/>
      <c r="H40" s="94"/>
      <c r="I40" s="92"/>
      <c r="J40" s="92"/>
      <c r="K40" s="93"/>
      <c r="L40" s="92"/>
      <c r="M40" s="93"/>
      <c r="N40" s="93"/>
      <c r="O40" s="93"/>
      <c r="P40" s="93"/>
      <c r="Q40" s="51"/>
      <c r="R40" s="93"/>
      <c r="S40" s="93"/>
      <c r="T40" s="46"/>
      <c r="U40" s="93"/>
      <c r="V40" s="93"/>
      <c r="W40" s="93"/>
      <c r="X40" s="93"/>
      <c r="Y40" s="93"/>
      <c r="Z40" s="93"/>
      <c r="AA40" s="46"/>
      <c r="AB40" s="93"/>
      <c r="AC40" s="93"/>
      <c r="AD40" s="93"/>
      <c r="AE40" s="93"/>
      <c r="AF40" s="93"/>
      <c r="AG40" s="93"/>
      <c r="AH40" s="93"/>
      <c r="AI40" s="93"/>
      <c r="AJ40" s="93"/>
      <c r="AK40" s="93"/>
      <c r="AL40" s="93"/>
      <c r="AM40" s="93"/>
      <c r="AN40" s="93"/>
      <c r="AO40" s="93"/>
      <c r="AP40" s="93"/>
      <c r="AQ40" s="93"/>
      <c r="AR40" s="93"/>
      <c r="AS40" s="93"/>
      <c r="AT40" s="93"/>
      <c r="AU40" s="93"/>
      <c r="AV40" s="51"/>
      <c r="AX40" s="51"/>
    </row>
    <row r="41" spans="1:50" s="22" customFormat="1" x14ac:dyDescent="0.2">
      <c r="A41" s="90"/>
      <c r="B41" s="91"/>
      <c r="C41" s="90"/>
      <c r="D41" s="92"/>
      <c r="E41" s="93"/>
      <c r="F41" s="94"/>
      <c r="G41" s="92"/>
      <c r="H41" s="94"/>
      <c r="I41" s="92"/>
      <c r="J41" s="92"/>
      <c r="K41" s="93"/>
      <c r="L41" s="92"/>
      <c r="M41" s="93"/>
      <c r="N41" s="93"/>
      <c r="O41" s="93"/>
      <c r="P41" s="93"/>
      <c r="Q41" s="51"/>
      <c r="R41" s="93"/>
      <c r="S41" s="93"/>
      <c r="T41" s="46"/>
      <c r="U41" s="93"/>
      <c r="V41" s="93"/>
      <c r="W41" s="93"/>
      <c r="X41" s="93"/>
      <c r="Y41" s="93"/>
      <c r="Z41" s="93"/>
      <c r="AA41" s="46"/>
      <c r="AB41" s="93"/>
      <c r="AC41" s="93"/>
      <c r="AD41" s="93"/>
      <c r="AE41" s="93"/>
      <c r="AF41" s="93"/>
      <c r="AG41" s="93"/>
      <c r="AH41" s="93"/>
      <c r="AI41" s="93"/>
      <c r="AJ41" s="93"/>
      <c r="AK41" s="93"/>
      <c r="AL41" s="93"/>
      <c r="AM41" s="93"/>
      <c r="AN41" s="93"/>
      <c r="AO41" s="93"/>
      <c r="AP41" s="93"/>
      <c r="AQ41" s="93"/>
      <c r="AR41" s="93"/>
      <c r="AS41" s="93"/>
      <c r="AT41" s="93"/>
      <c r="AU41" s="93"/>
      <c r="AV41" s="51"/>
      <c r="AX41" s="51"/>
    </row>
    <row r="42" spans="1:50" s="22" customFormat="1" x14ac:dyDescent="0.2">
      <c r="A42" s="90"/>
      <c r="B42" s="91"/>
      <c r="C42" s="90"/>
      <c r="D42" s="92"/>
      <c r="E42" s="93"/>
      <c r="F42" s="94"/>
      <c r="G42" s="92"/>
      <c r="H42" s="94"/>
      <c r="I42" s="92"/>
      <c r="J42" s="92"/>
      <c r="K42" s="93"/>
      <c r="L42" s="92"/>
      <c r="M42" s="93"/>
      <c r="N42" s="93"/>
      <c r="O42" s="93"/>
      <c r="P42" s="93"/>
      <c r="Q42" s="51"/>
      <c r="R42" s="93"/>
      <c r="S42" s="93"/>
      <c r="T42" s="46"/>
      <c r="U42" s="93"/>
      <c r="V42" s="93"/>
      <c r="W42" s="93"/>
      <c r="X42" s="93"/>
      <c r="Y42" s="93"/>
      <c r="Z42" s="93"/>
      <c r="AA42" s="46"/>
      <c r="AB42" s="93"/>
      <c r="AC42" s="93"/>
      <c r="AD42" s="93"/>
      <c r="AE42" s="93"/>
      <c r="AF42" s="93"/>
      <c r="AG42" s="93"/>
      <c r="AH42" s="93"/>
      <c r="AI42" s="93"/>
      <c r="AJ42" s="93"/>
      <c r="AK42" s="93"/>
      <c r="AL42" s="93"/>
      <c r="AM42" s="93"/>
      <c r="AN42" s="93"/>
      <c r="AO42" s="93"/>
      <c r="AP42" s="93"/>
      <c r="AQ42" s="93"/>
      <c r="AR42" s="93"/>
      <c r="AS42" s="93"/>
      <c r="AT42" s="93"/>
      <c r="AU42" s="93"/>
      <c r="AV42" s="51"/>
      <c r="AX42" s="51"/>
    </row>
    <row r="43" spans="1:50" s="23" customFormat="1" x14ac:dyDescent="0.2">
      <c r="A43" s="95"/>
      <c r="B43" s="91"/>
      <c r="C43" s="95"/>
      <c r="D43" s="92"/>
      <c r="E43" s="93"/>
      <c r="F43" s="94"/>
      <c r="G43" s="92"/>
      <c r="H43" s="94"/>
      <c r="I43" s="92"/>
      <c r="J43" s="92"/>
      <c r="K43" s="93"/>
      <c r="L43" s="92"/>
      <c r="M43" s="93"/>
      <c r="N43" s="93"/>
      <c r="O43" s="93"/>
      <c r="P43" s="93"/>
      <c r="Q43" s="75"/>
      <c r="R43" s="93"/>
      <c r="S43" s="93"/>
      <c r="T43" s="46"/>
      <c r="U43" s="93"/>
      <c r="V43" s="93"/>
      <c r="W43" s="93"/>
      <c r="X43" s="93"/>
      <c r="Y43" s="93"/>
      <c r="Z43" s="93"/>
      <c r="AA43" s="46"/>
      <c r="AB43" s="93"/>
      <c r="AC43" s="93"/>
      <c r="AD43" s="93"/>
      <c r="AE43" s="93"/>
      <c r="AF43" s="93"/>
      <c r="AG43" s="93"/>
      <c r="AH43" s="93"/>
      <c r="AI43" s="93"/>
      <c r="AJ43" s="93"/>
      <c r="AK43" s="93"/>
      <c r="AL43" s="93"/>
      <c r="AM43" s="93"/>
      <c r="AN43" s="93"/>
      <c r="AO43" s="93"/>
      <c r="AP43" s="93"/>
      <c r="AQ43" s="93"/>
      <c r="AR43" s="93"/>
      <c r="AS43" s="93"/>
      <c r="AT43" s="93"/>
      <c r="AU43" s="93"/>
      <c r="AV43" s="75"/>
      <c r="AX43" s="75"/>
    </row>
    <row r="44" spans="1:50" s="22" customFormat="1" x14ac:dyDescent="0.2">
      <c r="A44" s="90"/>
      <c r="B44" s="91"/>
      <c r="C44" s="90"/>
      <c r="D44" s="92"/>
      <c r="E44" s="93"/>
      <c r="F44" s="94"/>
      <c r="G44" s="92"/>
      <c r="H44" s="94"/>
      <c r="I44" s="92"/>
      <c r="J44" s="92"/>
      <c r="K44" s="93"/>
      <c r="L44" s="92"/>
      <c r="M44" s="93"/>
      <c r="N44" s="93"/>
      <c r="O44" s="93"/>
      <c r="P44" s="93"/>
      <c r="Q44" s="51"/>
      <c r="R44" s="93"/>
      <c r="S44" s="93"/>
      <c r="T44" s="46"/>
      <c r="U44" s="93"/>
      <c r="V44" s="93"/>
      <c r="W44" s="93"/>
      <c r="X44" s="93"/>
      <c r="Y44" s="93"/>
      <c r="Z44" s="93"/>
      <c r="AA44" s="46"/>
      <c r="AB44" s="93"/>
      <c r="AC44" s="93"/>
      <c r="AD44" s="93"/>
      <c r="AE44" s="93"/>
      <c r="AF44" s="93"/>
      <c r="AG44" s="93"/>
      <c r="AH44" s="93"/>
      <c r="AI44" s="93"/>
      <c r="AJ44" s="93"/>
      <c r="AK44" s="93"/>
      <c r="AL44" s="93"/>
      <c r="AM44" s="93"/>
      <c r="AN44" s="93"/>
      <c r="AO44" s="93"/>
      <c r="AP44" s="93"/>
      <c r="AQ44" s="93"/>
      <c r="AR44" s="93"/>
      <c r="AS44" s="93"/>
      <c r="AT44" s="93"/>
      <c r="AU44" s="93"/>
      <c r="AV44" s="51"/>
      <c r="AX44" s="51"/>
    </row>
    <row r="45" spans="1:50" s="23" customFormat="1" x14ac:dyDescent="0.2">
      <c r="A45" s="95"/>
      <c r="B45" s="91"/>
      <c r="C45" s="95"/>
      <c r="D45" s="92"/>
      <c r="E45" s="93"/>
      <c r="F45" s="94"/>
      <c r="G45" s="92"/>
      <c r="H45" s="94"/>
      <c r="I45" s="92"/>
      <c r="J45" s="92"/>
      <c r="K45" s="93"/>
      <c r="L45" s="92"/>
      <c r="M45" s="93"/>
      <c r="N45" s="93"/>
      <c r="O45" s="93"/>
      <c r="P45" s="93"/>
      <c r="Q45" s="75"/>
      <c r="R45" s="93"/>
      <c r="S45" s="93"/>
      <c r="T45" s="46"/>
      <c r="U45" s="93"/>
      <c r="V45" s="93"/>
      <c r="W45" s="93"/>
      <c r="X45" s="93"/>
      <c r="Y45" s="93"/>
      <c r="Z45" s="93"/>
      <c r="AA45" s="46"/>
      <c r="AB45" s="93"/>
      <c r="AC45" s="93"/>
      <c r="AD45" s="93"/>
      <c r="AE45" s="93"/>
      <c r="AF45" s="93"/>
      <c r="AG45" s="93"/>
      <c r="AH45" s="93"/>
      <c r="AI45" s="93"/>
      <c r="AJ45" s="93"/>
      <c r="AK45" s="93"/>
      <c r="AL45" s="93"/>
      <c r="AM45" s="93"/>
      <c r="AN45" s="93"/>
      <c r="AO45" s="93"/>
      <c r="AP45" s="93"/>
      <c r="AQ45" s="93"/>
      <c r="AR45" s="93"/>
      <c r="AS45" s="93"/>
      <c r="AT45" s="93"/>
      <c r="AU45" s="93"/>
      <c r="AV45" s="75"/>
      <c r="AX45" s="75"/>
    </row>
    <row r="46" spans="1:50" s="23" customFormat="1" x14ac:dyDescent="0.2">
      <c r="A46" s="95"/>
      <c r="B46" s="91"/>
      <c r="C46" s="95"/>
      <c r="D46" s="92"/>
      <c r="E46" s="93"/>
      <c r="F46" s="94"/>
      <c r="G46" s="92"/>
      <c r="H46" s="94"/>
      <c r="I46" s="92"/>
      <c r="J46" s="92"/>
      <c r="K46" s="93"/>
      <c r="L46" s="92"/>
      <c r="M46" s="93"/>
      <c r="N46" s="93"/>
      <c r="O46" s="93"/>
      <c r="P46" s="93"/>
      <c r="Q46" s="75"/>
      <c r="R46" s="93"/>
      <c r="S46" s="93"/>
      <c r="T46" s="46"/>
      <c r="U46" s="93"/>
      <c r="V46" s="93"/>
      <c r="W46" s="93"/>
      <c r="X46" s="93"/>
      <c r="Y46" s="93"/>
      <c r="Z46" s="93"/>
      <c r="AA46" s="46"/>
      <c r="AB46" s="93"/>
      <c r="AC46" s="93"/>
      <c r="AD46" s="93"/>
      <c r="AE46" s="93"/>
      <c r="AF46" s="93"/>
      <c r="AG46" s="93"/>
      <c r="AH46" s="93"/>
      <c r="AI46" s="93"/>
      <c r="AJ46" s="93"/>
      <c r="AK46" s="93"/>
      <c r="AL46" s="93"/>
      <c r="AM46" s="93"/>
      <c r="AN46" s="93"/>
      <c r="AO46" s="93"/>
      <c r="AP46" s="93"/>
      <c r="AQ46" s="93"/>
      <c r="AR46" s="93"/>
      <c r="AS46" s="93"/>
      <c r="AT46" s="93"/>
      <c r="AU46" s="93"/>
      <c r="AV46" s="75"/>
      <c r="AX46" s="75"/>
    </row>
    <row r="47" spans="1:50" s="22" customFormat="1" x14ac:dyDescent="0.2">
      <c r="A47" s="90"/>
      <c r="B47" s="91"/>
      <c r="C47" s="90"/>
      <c r="D47" s="92"/>
      <c r="E47" s="93"/>
      <c r="F47" s="94"/>
      <c r="G47" s="92"/>
      <c r="H47" s="94"/>
      <c r="I47" s="92"/>
      <c r="J47" s="92"/>
      <c r="K47" s="93"/>
      <c r="L47" s="92"/>
      <c r="M47" s="93"/>
      <c r="N47" s="93"/>
      <c r="O47" s="93"/>
      <c r="P47" s="93"/>
      <c r="Q47" s="51"/>
      <c r="R47" s="93"/>
      <c r="S47" s="93"/>
      <c r="T47" s="46"/>
      <c r="U47" s="93"/>
      <c r="V47" s="93"/>
      <c r="W47" s="93"/>
      <c r="X47" s="93"/>
      <c r="Y47" s="93"/>
      <c r="Z47" s="93"/>
      <c r="AA47" s="46"/>
      <c r="AB47" s="93"/>
      <c r="AC47" s="93"/>
      <c r="AD47" s="93"/>
      <c r="AE47" s="93"/>
      <c r="AF47" s="93"/>
      <c r="AG47" s="93"/>
      <c r="AH47" s="93"/>
      <c r="AI47" s="93"/>
      <c r="AJ47" s="93"/>
      <c r="AK47" s="93"/>
      <c r="AL47" s="93"/>
      <c r="AM47" s="93"/>
      <c r="AN47" s="93"/>
      <c r="AO47" s="93"/>
      <c r="AP47" s="93"/>
      <c r="AQ47" s="93"/>
      <c r="AR47" s="93"/>
      <c r="AS47" s="93"/>
      <c r="AT47" s="93"/>
      <c r="AU47" s="93"/>
      <c r="AV47" s="51"/>
      <c r="AX47" s="51"/>
    </row>
    <row r="48" spans="1:50" s="23" customFormat="1" x14ac:dyDescent="0.2">
      <c r="A48" s="95"/>
      <c r="B48" s="91"/>
      <c r="C48" s="95"/>
      <c r="D48" s="92"/>
      <c r="E48" s="93"/>
      <c r="F48" s="94"/>
      <c r="G48" s="92"/>
      <c r="H48" s="94"/>
      <c r="I48" s="92"/>
      <c r="J48" s="92"/>
      <c r="K48" s="93"/>
      <c r="L48" s="92"/>
      <c r="M48" s="93"/>
      <c r="N48" s="93"/>
      <c r="O48" s="93"/>
      <c r="P48" s="93"/>
      <c r="Q48" s="75"/>
      <c r="R48" s="93"/>
      <c r="S48" s="93"/>
      <c r="T48" s="46"/>
      <c r="U48" s="93"/>
      <c r="V48" s="93"/>
      <c r="W48" s="93"/>
      <c r="X48" s="93"/>
      <c r="Y48" s="93"/>
      <c r="Z48" s="93"/>
      <c r="AA48" s="46"/>
      <c r="AB48" s="93"/>
      <c r="AC48" s="93"/>
      <c r="AD48" s="93"/>
      <c r="AE48" s="93"/>
      <c r="AF48" s="93"/>
      <c r="AG48" s="93"/>
      <c r="AH48" s="93"/>
      <c r="AI48" s="93"/>
      <c r="AJ48" s="93"/>
      <c r="AK48" s="93"/>
      <c r="AL48" s="93"/>
      <c r="AM48" s="93"/>
      <c r="AN48" s="93"/>
      <c r="AO48" s="93"/>
      <c r="AP48" s="93"/>
      <c r="AQ48" s="93"/>
      <c r="AR48" s="93"/>
      <c r="AS48" s="93"/>
      <c r="AT48" s="93"/>
      <c r="AU48" s="93"/>
      <c r="AV48" s="75"/>
      <c r="AX48" s="75"/>
    </row>
    <row r="49" spans="1:50" s="22" customFormat="1" x14ac:dyDescent="0.2">
      <c r="A49" s="90"/>
      <c r="B49" s="91"/>
      <c r="C49" s="90"/>
      <c r="D49" s="92"/>
      <c r="E49" s="93"/>
      <c r="F49" s="94"/>
      <c r="G49" s="92"/>
      <c r="H49" s="94"/>
      <c r="I49" s="92"/>
      <c r="J49" s="92"/>
      <c r="K49" s="93"/>
      <c r="L49" s="92"/>
      <c r="M49" s="93"/>
      <c r="N49" s="93"/>
      <c r="O49" s="93"/>
      <c r="P49" s="93"/>
      <c r="Q49" s="51"/>
      <c r="R49" s="93"/>
      <c r="S49" s="93"/>
      <c r="T49" s="46"/>
      <c r="U49" s="93"/>
      <c r="V49" s="93"/>
      <c r="W49" s="93"/>
      <c r="X49" s="93"/>
      <c r="Y49" s="93"/>
      <c r="Z49" s="93"/>
      <c r="AA49" s="46"/>
      <c r="AB49" s="93"/>
      <c r="AC49" s="93"/>
      <c r="AD49" s="93"/>
      <c r="AE49" s="93"/>
      <c r="AF49" s="93"/>
      <c r="AG49" s="93"/>
      <c r="AH49" s="93"/>
      <c r="AI49" s="93"/>
      <c r="AJ49" s="93"/>
      <c r="AK49" s="93"/>
      <c r="AL49" s="93"/>
      <c r="AM49" s="93"/>
      <c r="AN49" s="93"/>
      <c r="AO49" s="93"/>
      <c r="AP49" s="93"/>
      <c r="AQ49" s="93"/>
      <c r="AR49" s="93"/>
      <c r="AS49" s="93"/>
      <c r="AT49" s="93"/>
      <c r="AU49" s="93"/>
      <c r="AV49" s="51"/>
      <c r="AX49" s="51"/>
    </row>
    <row r="50" spans="1:50" s="22" customFormat="1" x14ac:dyDescent="0.2">
      <c r="A50" s="90"/>
      <c r="B50" s="90"/>
      <c r="C50" s="90"/>
      <c r="D50" s="96"/>
      <c r="E50" s="90"/>
      <c r="F50" s="97"/>
      <c r="G50" s="91"/>
      <c r="H50" s="97"/>
      <c r="I50" s="91"/>
      <c r="J50" s="98"/>
      <c r="K50" s="99"/>
      <c r="L50" s="98"/>
      <c r="M50" s="99"/>
      <c r="N50" s="99"/>
      <c r="O50" s="99"/>
      <c r="P50" s="99"/>
      <c r="Q50" s="51"/>
      <c r="R50" s="99"/>
      <c r="S50" s="99"/>
      <c r="T50" s="47"/>
      <c r="U50" s="99"/>
      <c r="V50" s="116"/>
      <c r="W50" s="99"/>
      <c r="X50" s="116"/>
      <c r="Y50" s="116"/>
      <c r="Z50" s="116"/>
      <c r="AA50" s="199"/>
      <c r="AB50" s="116"/>
      <c r="AC50" s="116"/>
      <c r="AD50" s="116"/>
      <c r="AE50" s="116"/>
      <c r="AF50" s="116"/>
      <c r="AG50" s="116"/>
      <c r="AH50" s="116"/>
      <c r="AI50" s="116"/>
      <c r="AJ50" s="116"/>
      <c r="AK50" s="116"/>
      <c r="AL50" s="116"/>
      <c r="AM50" s="116"/>
      <c r="AN50" s="116"/>
      <c r="AP50" s="116"/>
      <c r="AQ50" s="116"/>
      <c r="AR50" s="116"/>
      <c r="AS50" s="116"/>
      <c r="AT50" s="116"/>
      <c r="AU50" s="116"/>
      <c r="AV50" s="51"/>
      <c r="AX50" s="51"/>
    </row>
    <row r="51" spans="1:50" s="22" customFormat="1" x14ac:dyDescent="0.2">
      <c r="A51" s="90"/>
      <c r="B51" s="90"/>
      <c r="C51" s="90"/>
      <c r="D51" s="96"/>
      <c r="E51" s="90"/>
      <c r="F51" s="97"/>
      <c r="G51" s="91"/>
      <c r="H51" s="97"/>
      <c r="I51" s="91"/>
      <c r="J51" s="98"/>
      <c r="K51" s="99"/>
      <c r="L51" s="98"/>
      <c r="M51" s="99"/>
      <c r="N51" s="99"/>
      <c r="O51" s="99"/>
      <c r="P51" s="99"/>
      <c r="Q51" s="51"/>
      <c r="R51" s="99"/>
      <c r="S51" s="99"/>
      <c r="T51" s="47"/>
      <c r="U51" s="99"/>
      <c r="V51" s="116"/>
      <c r="W51" s="99"/>
      <c r="X51" s="116"/>
      <c r="Y51" s="116"/>
      <c r="Z51" s="116"/>
      <c r="AA51" s="199"/>
      <c r="AB51" s="116"/>
      <c r="AC51" s="116"/>
      <c r="AD51" s="116"/>
      <c r="AE51" s="116"/>
      <c r="AF51" s="116"/>
      <c r="AG51" s="116"/>
      <c r="AH51" s="116"/>
      <c r="AI51" s="116"/>
      <c r="AJ51" s="116"/>
      <c r="AK51" s="116"/>
      <c r="AL51" s="116"/>
      <c r="AM51" s="116"/>
      <c r="AN51" s="116"/>
      <c r="AP51" s="116"/>
      <c r="AQ51" s="116"/>
      <c r="AR51" s="116"/>
      <c r="AS51" s="116"/>
      <c r="AT51" s="116"/>
      <c r="AU51" s="116"/>
      <c r="AV51" s="51"/>
      <c r="AX51" s="51"/>
    </row>
    <row r="52" spans="1:50" s="22" customFormat="1" x14ac:dyDescent="0.2">
      <c r="A52" s="90"/>
      <c r="B52" s="90"/>
      <c r="C52" s="90"/>
      <c r="D52" s="96"/>
      <c r="E52" s="90"/>
      <c r="F52" s="97"/>
      <c r="G52" s="91"/>
      <c r="H52" s="97"/>
      <c r="I52" s="91"/>
      <c r="J52" s="98"/>
      <c r="K52" s="99"/>
      <c r="L52" s="98"/>
      <c r="M52" s="99"/>
      <c r="N52" s="99"/>
      <c r="O52" s="99"/>
      <c r="P52" s="99"/>
      <c r="Q52" s="51"/>
      <c r="R52" s="99"/>
      <c r="S52" s="99"/>
      <c r="T52" s="47"/>
      <c r="U52" s="99"/>
      <c r="V52" s="116"/>
      <c r="W52" s="99"/>
      <c r="X52" s="116"/>
      <c r="Y52" s="116"/>
      <c r="Z52" s="116"/>
      <c r="AA52" s="199"/>
      <c r="AB52" s="116"/>
      <c r="AC52" s="116"/>
      <c r="AD52" s="116"/>
      <c r="AE52" s="116"/>
      <c r="AF52" s="116"/>
      <c r="AG52" s="116"/>
      <c r="AH52" s="116"/>
      <c r="AI52" s="116"/>
      <c r="AJ52" s="116"/>
      <c r="AK52" s="116"/>
      <c r="AL52" s="116"/>
      <c r="AM52" s="116"/>
      <c r="AN52" s="116"/>
      <c r="AP52" s="116"/>
      <c r="AQ52" s="116"/>
      <c r="AR52" s="116"/>
      <c r="AS52" s="116"/>
      <c r="AT52" s="116"/>
      <c r="AU52" s="116"/>
      <c r="AV52" s="51"/>
      <c r="AX52" s="51"/>
    </row>
    <row r="53" spans="1:50" s="22" customFormat="1" x14ac:dyDescent="0.2">
      <c r="A53" s="90"/>
      <c r="B53" s="90"/>
      <c r="C53" s="90"/>
      <c r="D53" s="96"/>
      <c r="E53" s="90"/>
      <c r="F53" s="97"/>
      <c r="G53" s="91"/>
      <c r="H53" s="97"/>
      <c r="I53" s="91"/>
      <c r="J53" s="98"/>
      <c r="K53" s="99"/>
      <c r="L53" s="98"/>
      <c r="M53" s="99"/>
      <c r="N53" s="99"/>
      <c r="O53" s="99"/>
      <c r="P53" s="99"/>
      <c r="Q53" s="51"/>
      <c r="R53" s="99"/>
      <c r="S53" s="99"/>
      <c r="T53" s="47"/>
      <c r="U53" s="99"/>
      <c r="V53" s="116"/>
      <c r="W53" s="99"/>
      <c r="X53" s="116"/>
      <c r="Y53" s="116"/>
      <c r="Z53" s="116"/>
      <c r="AA53" s="199"/>
      <c r="AB53" s="116"/>
      <c r="AC53" s="116"/>
      <c r="AD53" s="116"/>
      <c r="AE53" s="116"/>
      <c r="AF53" s="116"/>
      <c r="AG53" s="116"/>
      <c r="AH53" s="116"/>
      <c r="AI53" s="116"/>
      <c r="AJ53" s="116"/>
      <c r="AK53" s="116"/>
      <c r="AL53" s="116"/>
      <c r="AM53" s="116"/>
      <c r="AN53" s="116"/>
      <c r="AP53" s="116"/>
      <c r="AQ53" s="116"/>
      <c r="AR53" s="116"/>
      <c r="AS53" s="116"/>
      <c r="AT53" s="116"/>
      <c r="AU53" s="116"/>
      <c r="AV53" s="51"/>
      <c r="AX53" s="51"/>
    </row>
    <row r="54" spans="1:50" s="22" customFormat="1" x14ac:dyDescent="0.2">
      <c r="A54" s="90"/>
      <c r="B54" s="90"/>
      <c r="C54" s="90"/>
      <c r="D54" s="96"/>
      <c r="E54" s="90"/>
      <c r="F54" s="97"/>
      <c r="G54" s="91"/>
      <c r="H54" s="97"/>
      <c r="I54" s="91"/>
      <c r="J54" s="98"/>
      <c r="K54" s="99"/>
      <c r="L54" s="98"/>
      <c r="M54" s="99"/>
      <c r="N54" s="99"/>
      <c r="O54" s="99"/>
      <c r="P54" s="99"/>
      <c r="Q54" s="51"/>
      <c r="R54" s="99"/>
      <c r="S54" s="99"/>
      <c r="T54" s="47"/>
      <c r="U54" s="99"/>
      <c r="V54" s="116"/>
      <c r="W54" s="99"/>
      <c r="X54" s="116"/>
      <c r="Y54" s="116"/>
      <c r="Z54" s="116"/>
      <c r="AA54" s="199"/>
      <c r="AB54" s="116"/>
      <c r="AC54" s="116"/>
      <c r="AD54" s="116"/>
      <c r="AE54" s="116"/>
      <c r="AF54" s="116"/>
      <c r="AG54" s="116"/>
      <c r="AH54" s="116"/>
      <c r="AI54" s="116"/>
      <c r="AJ54" s="116"/>
      <c r="AK54" s="116"/>
      <c r="AL54" s="116"/>
      <c r="AM54" s="116"/>
      <c r="AN54" s="116"/>
      <c r="AP54" s="116"/>
      <c r="AQ54" s="116"/>
      <c r="AR54" s="116"/>
      <c r="AS54" s="116"/>
      <c r="AT54" s="116"/>
      <c r="AU54" s="116"/>
      <c r="AV54" s="51"/>
      <c r="AX54" s="51"/>
    </row>
    <row r="55" spans="1:50" s="22" customFormat="1" x14ac:dyDescent="0.2">
      <c r="A55" s="90"/>
      <c r="B55" s="90"/>
      <c r="C55" s="90"/>
      <c r="D55" s="96"/>
      <c r="E55" s="90"/>
      <c r="F55" s="97"/>
      <c r="G55" s="91"/>
      <c r="H55" s="97"/>
      <c r="I55" s="91"/>
      <c r="J55" s="98"/>
      <c r="K55" s="99"/>
      <c r="L55" s="98"/>
      <c r="M55" s="99"/>
      <c r="N55" s="99"/>
      <c r="O55" s="99"/>
      <c r="P55" s="99"/>
      <c r="Q55" s="51"/>
      <c r="R55" s="99"/>
      <c r="S55" s="99"/>
      <c r="T55" s="47"/>
      <c r="U55" s="99"/>
      <c r="V55" s="116"/>
      <c r="W55" s="99"/>
      <c r="X55" s="116"/>
      <c r="Y55" s="116"/>
      <c r="Z55" s="116"/>
      <c r="AA55" s="199"/>
      <c r="AB55" s="116"/>
      <c r="AC55" s="116"/>
      <c r="AD55" s="116"/>
      <c r="AE55" s="116"/>
      <c r="AF55" s="116"/>
      <c r="AG55" s="116"/>
      <c r="AH55" s="116"/>
      <c r="AI55" s="116"/>
      <c r="AJ55" s="116"/>
      <c r="AK55" s="116"/>
      <c r="AL55" s="116"/>
      <c r="AM55" s="116"/>
      <c r="AN55" s="116"/>
      <c r="AP55" s="116"/>
      <c r="AQ55" s="116"/>
      <c r="AR55" s="116"/>
      <c r="AS55" s="116"/>
      <c r="AT55" s="116"/>
      <c r="AU55" s="116"/>
      <c r="AV55" s="51"/>
      <c r="AX55" s="51"/>
    </row>
    <row r="56" spans="1:50" s="22" customFormat="1" x14ac:dyDescent="0.2">
      <c r="A56" s="90"/>
      <c r="B56" s="90"/>
      <c r="C56" s="90"/>
      <c r="D56" s="96"/>
      <c r="E56" s="90"/>
      <c r="F56" s="97"/>
      <c r="G56" s="91"/>
      <c r="H56" s="97"/>
      <c r="I56" s="91"/>
      <c r="J56" s="98"/>
      <c r="K56" s="99"/>
      <c r="L56" s="98"/>
      <c r="M56" s="99"/>
      <c r="N56" s="99"/>
      <c r="O56" s="99"/>
      <c r="P56" s="99"/>
      <c r="Q56" s="51"/>
      <c r="R56" s="99"/>
      <c r="S56" s="99"/>
      <c r="T56" s="47"/>
      <c r="U56" s="99"/>
      <c r="V56" s="116"/>
      <c r="W56" s="99"/>
      <c r="X56" s="116"/>
      <c r="Y56" s="116"/>
      <c r="Z56" s="116"/>
      <c r="AA56" s="199"/>
      <c r="AB56" s="116"/>
      <c r="AC56" s="116"/>
      <c r="AD56" s="116"/>
      <c r="AE56" s="116"/>
      <c r="AF56" s="116"/>
      <c r="AG56" s="116"/>
      <c r="AH56" s="116"/>
      <c r="AI56" s="116"/>
      <c r="AJ56" s="116"/>
      <c r="AK56" s="116"/>
      <c r="AL56" s="116"/>
      <c r="AM56" s="116"/>
      <c r="AN56" s="116"/>
      <c r="AP56" s="116"/>
      <c r="AQ56" s="116"/>
      <c r="AR56" s="116"/>
      <c r="AS56" s="116"/>
      <c r="AT56" s="116"/>
      <c r="AU56" s="116"/>
      <c r="AV56" s="51"/>
      <c r="AX56" s="51"/>
    </row>
    <row r="57" spans="1:50" x14ac:dyDescent="0.2">
      <c r="J57" s="100"/>
      <c r="K57" s="101"/>
      <c r="L57" s="100"/>
      <c r="M57" s="101"/>
      <c r="N57" s="101"/>
      <c r="O57" s="101"/>
      <c r="P57" s="101"/>
      <c r="R57" s="101"/>
      <c r="S57" s="101"/>
      <c r="T57" s="48"/>
      <c r="U57" s="101"/>
      <c r="V57" s="117"/>
      <c r="W57" s="101"/>
      <c r="X57" s="117"/>
      <c r="Y57" s="117"/>
      <c r="Z57" s="117"/>
      <c r="AA57" s="198"/>
      <c r="AB57" s="117"/>
      <c r="AC57" s="117"/>
      <c r="AD57" s="117"/>
      <c r="AE57" s="117"/>
      <c r="AF57" s="117"/>
      <c r="AG57" s="117"/>
      <c r="AH57" s="117"/>
      <c r="AI57" s="117"/>
      <c r="AJ57" s="117"/>
      <c r="AK57" s="117"/>
      <c r="AL57" s="117"/>
      <c r="AM57" s="117"/>
      <c r="AN57" s="116"/>
      <c r="AP57" s="117"/>
      <c r="AQ57" s="117"/>
      <c r="AR57" s="117"/>
      <c r="AS57" s="117"/>
      <c r="AT57" s="117"/>
      <c r="AU57" s="117"/>
    </row>
    <row r="58" spans="1:50" x14ac:dyDescent="0.2">
      <c r="J58" s="100"/>
      <c r="K58" s="101"/>
      <c r="L58" s="100"/>
      <c r="M58" s="101"/>
      <c r="N58" s="101"/>
      <c r="O58" s="101"/>
      <c r="P58" s="101"/>
      <c r="R58" s="101"/>
      <c r="S58" s="101"/>
      <c r="T58" s="48"/>
      <c r="U58" s="101"/>
      <c r="V58" s="117"/>
      <c r="W58" s="101"/>
      <c r="X58" s="117"/>
      <c r="Y58" s="117"/>
      <c r="Z58" s="117"/>
      <c r="AA58" s="198"/>
      <c r="AB58" s="117"/>
      <c r="AC58" s="117"/>
      <c r="AD58" s="117"/>
      <c r="AE58" s="117"/>
      <c r="AF58" s="117"/>
      <c r="AG58" s="117"/>
      <c r="AH58" s="117"/>
      <c r="AI58" s="117"/>
      <c r="AJ58" s="117"/>
      <c r="AK58" s="117"/>
      <c r="AL58" s="117"/>
      <c r="AM58" s="117"/>
      <c r="AN58" s="116"/>
      <c r="AP58" s="117"/>
      <c r="AQ58" s="117"/>
      <c r="AR58" s="117"/>
      <c r="AS58" s="117"/>
      <c r="AT58" s="117"/>
      <c r="AU58" s="117"/>
    </row>
    <row r="59" spans="1:50" x14ac:dyDescent="0.2">
      <c r="J59" s="100"/>
      <c r="K59" s="101"/>
      <c r="L59" s="100"/>
      <c r="M59" s="101"/>
      <c r="N59" s="101"/>
      <c r="O59" s="101"/>
      <c r="P59" s="101"/>
      <c r="R59" s="101"/>
      <c r="S59" s="101"/>
      <c r="T59" s="48"/>
      <c r="U59" s="101"/>
      <c r="V59" s="117"/>
      <c r="W59" s="101"/>
      <c r="X59" s="117"/>
      <c r="Y59" s="117"/>
      <c r="Z59" s="117"/>
      <c r="AA59" s="198"/>
      <c r="AB59" s="117"/>
      <c r="AC59" s="117"/>
      <c r="AD59" s="117"/>
      <c r="AE59" s="117"/>
      <c r="AF59" s="117"/>
      <c r="AG59" s="117"/>
      <c r="AH59" s="117"/>
      <c r="AI59" s="117"/>
      <c r="AJ59" s="117"/>
      <c r="AK59" s="117"/>
      <c r="AL59" s="117"/>
      <c r="AM59" s="117"/>
      <c r="AN59" s="116"/>
      <c r="AP59" s="117"/>
      <c r="AQ59" s="117"/>
      <c r="AR59" s="117"/>
      <c r="AS59" s="117"/>
      <c r="AT59" s="117"/>
      <c r="AU59" s="117"/>
    </row>
    <row r="60" spans="1:50" x14ac:dyDescent="0.2">
      <c r="J60" s="100"/>
      <c r="K60" s="101"/>
      <c r="L60" s="100"/>
      <c r="M60" s="101"/>
      <c r="N60" s="101"/>
      <c r="O60" s="101"/>
      <c r="P60" s="101"/>
      <c r="R60" s="101"/>
      <c r="S60" s="101"/>
      <c r="T60" s="48"/>
      <c r="U60" s="101"/>
      <c r="V60" s="117"/>
      <c r="W60" s="101"/>
      <c r="X60" s="117"/>
      <c r="Y60" s="117"/>
      <c r="Z60" s="117"/>
      <c r="AA60" s="198"/>
      <c r="AB60" s="117"/>
      <c r="AC60" s="117"/>
      <c r="AD60" s="117"/>
      <c r="AE60" s="117"/>
      <c r="AF60" s="117"/>
      <c r="AG60" s="117"/>
      <c r="AH60" s="117"/>
      <c r="AI60" s="117"/>
      <c r="AJ60" s="117"/>
      <c r="AK60" s="117"/>
      <c r="AL60" s="117"/>
      <c r="AM60" s="117"/>
      <c r="AN60" s="116"/>
      <c r="AP60" s="117"/>
      <c r="AQ60" s="117"/>
      <c r="AR60" s="117"/>
      <c r="AS60" s="117"/>
      <c r="AT60" s="117"/>
      <c r="AU60" s="117"/>
    </row>
    <row r="61" spans="1:50" x14ac:dyDescent="0.2">
      <c r="J61" s="100"/>
      <c r="K61" s="101"/>
      <c r="L61" s="100"/>
      <c r="M61" s="101"/>
      <c r="N61" s="101"/>
      <c r="O61" s="101"/>
      <c r="P61" s="101"/>
      <c r="R61" s="101"/>
      <c r="S61" s="101"/>
      <c r="T61" s="48"/>
      <c r="U61" s="101"/>
      <c r="V61" s="117"/>
      <c r="W61" s="101"/>
      <c r="X61" s="117"/>
      <c r="Y61" s="117"/>
      <c r="Z61" s="117"/>
      <c r="AA61" s="198"/>
      <c r="AB61" s="117"/>
      <c r="AC61" s="117"/>
      <c r="AD61" s="117"/>
      <c r="AE61" s="117"/>
      <c r="AF61" s="117"/>
      <c r="AG61" s="117"/>
      <c r="AH61" s="117"/>
      <c r="AI61" s="117"/>
      <c r="AJ61" s="117"/>
      <c r="AK61" s="117"/>
      <c r="AL61" s="117"/>
      <c r="AM61" s="117"/>
      <c r="AN61" s="116"/>
      <c r="AP61" s="117"/>
      <c r="AQ61" s="117"/>
      <c r="AR61" s="117"/>
      <c r="AS61" s="117"/>
      <c r="AT61" s="117"/>
      <c r="AU61" s="117"/>
    </row>
    <row r="62" spans="1:50" x14ac:dyDescent="0.2">
      <c r="J62" s="100"/>
      <c r="K62" s="101"/>
      <c r="L62" s="100"/>
      <c r="M62" s="101"/>
      <c r="N62" s="101"/>
      <c r="O62" s="101"/>
      <c r="P62" s="101"/>
      <c r="R62" s="101"/>
      <c r="S62" s="101"/>
      <c r="T62" s="48"/>
      <c r="U62" s="101"/>
      <c r="V62" s="117"/>
      <c r="W62" s="101"/>
      <c r="X62" s="117"/>
      <c r="Y62" s="117"/>
      <c r="Z62" s="117"/>
      <c r="AA62" s="198"/>
      <c r="AB62" s="117"/>
      <c r="AC62" s="117"/>
      <c r="AD62" s="117"/>
      <c r="AE62" s="117"/>
      <c r="AF62" s="117"/>
      <c r="AG62" s="117"/>
      <c r="AH62" s="117"/>
      <c r="AI62" s="117"/>
      <c r="AJ62" s="117"/>
      <c r="AK62" s="117"/>
      <c r="AL62" s="117"/>
      <c r="AM62" s="117"/>
      <c r="AN62" s="116"/>
      <c r="AP62" s="117"/>
      <c r="AQ62" s="117"/>
      <c r="AR62" s="117"/>
      <c r="AS62" s="117"/>
      <c r="AT62" s="117"/>
      <c r="AU62" s="117"/>
    </row>
    <row r="63" spans="1:50" x14ac:dyDescent="0.2">
      <c r="J63" s="100"/>
      <c r="K63" s="101"/>
      <c r="L63" s="100"/>
      <c r="M63" s="101"/>
      <c r="N63" s="101"/>
      <c r="O63" s="101"/>
      <c r="P63" s="101"/>
      <c r="R63" s="101"/>
      <c r="S63" s="101"/>
      <c r="T63" s="48"/>
      <c r="U63" s="101"/>
      <c r="V63" s="117"/>
      <c r="W63" s="101"/>
      <c r="X63" s="117"/>
      <c r="Y63" s="117"/>
      <c r="Z63" s="117"/>
      <c r="AA63" s="198"/>
      <c r="AB63" s="117"/>
      <c r="AC63" s="117"/>
      <c r="AD63" s="117"/>
      <c r="AE63" s="117"/>
      <c r="AF63" s="117"/>
      <c r="AG63" s="117"/>
      <c r="AH63" s="117"/>
      <c r="AI63" s="117"/>
      <c r="AJ63" s="117"/>
      <c r="AK63" s="117"/>
      <c r="AL63" s="117"/>
      <c r="AM63" s="117"/>
      <c r="AN63" s="116"/>
      <c r="AP63" s="117"/>
      <c r="AQ63" s="117"/>
      <c r="AR63" s="117"/>
      <c r="AS63" s="117"/>
      <c r="AT63" s="117"/>
      <c r="AU63" s="117"/>
    </row>
    <row r="64" spans="1:50" x14ac:dyDescent="0.2">
      <c r="J64" s="100"/>
      <c r="K64" s="101"/>
      <c r="L64" s="100"/>
      <c r="M64" s="101"/>
      <c r="N64" s="101"/>
      <c r="O64" s="101"/>
      <c r="P64" s="101"/>
      <c r="R64" s="101"/>
      <c r="S64" s="101"/>
      <c r="T64" s="48"/>
      <c r="U64" s="101"/>
      <c r="V64" s="117"/>
      <c r="W64" s="101"/>
      <c r="X64" s="117"/>
      <c r="Y64" s="117"/>
      <c r="Z64" s="117"/>
      <c r="AA64" s="198"/>
      <c r="AB64" s="117"/>
      <c r="AC64" s="117"/>
      <c r="AD64" s="117"/>
      <c r="AE64" s="117"/>
      <c r="AF64" s="117"/>
      <c r="AG64" s="117"/>
      <c r="AH64" s="117"/>
      <c r="AI64" s="117"/>
      <c r="AJ64" s="117"/>
      <c r="AK64" s="117"/>
      <c r="AL64" s="117"/>
      <c r="AM64" s="117"/>
      <c r="AN64" s="116"/>
      <c r="AP64" s="117"/>
      <c r="AQ64" s="117"/>
      <c r="AR64" s="117"/>
      <c r="AS64" s="117"/>
      <c r="AT64" s="117"/>
      <c r="AU64" s="117"/>
    </row>
    <row r="65" spans="1:47" x14ac:dyDescent="0.2">
      <c r="J65" s="100"/>
      <c r="K65" s="101"/>
      <c r="L65" s="100"/>
      <c r="M65" s="101"/>
      <c r="N65" s="101"/>
      <c r="O65" s="101"/>
      <c r="P65" s="101"/>
      <c r="R65" s="101"/>
      <c r="S65" s="101"/>
      <c r="T65" s="48"/>
      <c r="U65" s="101"/>
      <c r="V65" s="117"/>
      <c r="W65" s="101"/>
      <c r="X65" s="117"/>
      <c r="Y65" s="117"/>
      <c r="Z65" s="117"/>
      <c r="AA65" s="198"/>
      <c r="AB65" s="117"/>
      <c r="AC65" s="117"/>
      <c r="AD65" s="117"/>
      <c r="AE65" s="117"/>
      <c r="AF65" s="117"/>
      <c r="AG65" s="117"/>
      <c r="AH65" s="117"/>
      <c r="AI65" s="117"/>
      <c r="AJ65" s="117"/>
      <c r="AK65" s="117"/>
      <c r="AL65" s="117"/>
      <c r="AM65" s="117"/>
      <c r="AN65" s="116"/>
      <c r="AP65" s="117"/>
      <c r="AQ65" s="117"/>
      <c r="AR65" s="117"/>
      <c r="AS65" s="117"/>
      <c r="AT65" s="117"/>
      <c r="AU65" s="117"/>
    </row>
    <row r="66" spans="1:47" x14ac:dyDescent="0.2">
      <c r="J66" s="100"/>
      <c r="K66" s="101"/>
      <c r="L66" s="100"/>
      <c r="M66" s="101"/>
      <c r="N66" s="101"/>
      <c r="O66" s="101"/>
      <c r="P66" s="101"/>
      <c r="R66" s="101"/>
      <c r="S66" s="101"/>
      <c r="T66" s="48"/>
      <c r="U66" s="101"/>
      <c r="V66" s="117"/>
      <c r="W66" s="101"/>
      <c r="X66" s="117"/>
      <c r="Y66" s="117"/>
      <c r="Z66" s="117"/>
      <c r="AA66" s="198"/>
      <c r="AB66" s="117"/>
      <c r="AC66" s="117"/>
      <c r="AD66" s="117"/>
      <c r="AE66" s="117"/>
      <c r="AF66" s="117"/>
      <c r="AG66" s="117"/>
      <c r="AH66" s="117"/>
      <c r="AI66" s="117"/>
      <c r="AJ66" s="117"/>
      <c r="AK66" s="117"/>
      <c r="AL66" s="117"/>
      <c r="AM66" s="117"/>
      <c r="AN66" s="116"/>
      <c r="AP66" s="117"/>
      <c r="AQ66" s="117"/>
      <c r="AR66" s="117"/>
      <c r="AS66" s="117"/>
      <c r="AT66" s="117"/>
      <c r="AU66" s="117"/>
    </row>
    <row r="67" spans="1:47" x14ac:dyDescent="0.2">
      <c r="J67" s="100"/>
      <c r="K67" s="101"/>
      <c r="L67" s="100"/>
      <c r="M67" s="101"/>
      <c r="N67" s="101"/>
      <c r="O67" s="101"/>
      <c r="P67" s="101"/>
      <c r="R67" s="101"/>
      <c r="S67" s="101"/>
      <c r="T67" s="48"/>
      <c r="U67" s="101"/>
      <c r="V67" s="117"/>
      <c r="W67" s="101"/>
      <c r="X67" s="117"/>
      <c r="Y67" s="117"/>
      <c r="Z67" s="117"/>
      <c r="AA67" s="198"/>
      <c r="AB67" s="117"/>
      <c r="AC67" s="117"/>
      <c r="AD67" s="117"/>
      <c r="AE67" s="117"/>
      <c r="AF67" s="117"/>
      <c r="AG67" s="117"/>
      <c r="AH67" s="117"/>
      <c r="AI67" s="117"/>
      <c r="AJ67" s="117"/>
      <c r="AK67" s="117"/>
      <c r="AL67" s="117"/>
      <c r="AM67" s="117"/>
      <c r="AN67" s="116"/>
      <c r="AP67" s="117"/>
      <c r="AQ67" s="117"/>
      <c r="AR67" s="117"/>
      <c r="AS67" s="117"/>
      <c r="AT67" s="117"/>
      <c r="AU67" s="117"/>
    </row>
    <row r="68" spans="1:47" x14ac:dyDescent="0.2">
      <c r="J68" s="100"/>
      <c r="K68" s="101"/>
      <c r="L68" s="100"/>
      <c r="M68" s="101"/>
      <c r="N68" s="101"/>
      <c r="O68" s="101"/>
      <c r="P68" s="101"/>
      <c r="R68" s="101"/>
      <c r="S68" s="101"/>
      <c r="T68" s="48"/>
      <c r="U68" s="101"/>
      <c r="V68" s="117"/>
      <c r="W68" s="101"/>
      <c r="X68" s="117"/>
      <c r="Y68" s="117"/>
      <c r="Z68" s="117"/>
      <c r="AA68" s="198"/>
      <c r="AB68" s="117"/>
      <c r="AC68" s="117"/>
      <c r="AD68" s="117"/>
      <c r="AE68" s="117"/>
      <c r="AF68" s="117"/>
      <c r="AG68" s="117"/>
      <c r="AH68" s="117"/>
      <c r="AI68" s="117"/>
      <c r="AJ68" s="117"/>
      <c r="AK68" s="117"/>
      <c r="AL68" s="117"/>
      <c r="AM68" s="117"/>
      <c r="AN68" s="116"/>
      <c r="AP68" s="117"/>
      <c r="AQ68" s="117"/>
      <c r="AR68" s="117"/>
      <c r="AS68" s="117"/>
      <c r="AT68" s="117"/>
      <c r="AU68" s="117"/>
    </row>
    <row r="69" spans="1:47" x14ac:dyDescent="0.2">
      <c r="J69" s="100"/>
      <c r="K69" s="101"/>
      <c r="L69" s="100"/>
      <c r="M69" s="101"/>
      <c r="N69" s="101"/>
      <c r="O69" s="101"/>
      <c r="P69" s="101"/>
      <c r="R69" s="101"/>
      <c r="S69" s="101"/>
      <c r="T69" s="48"/>
      <c r="U69" s="101"/>
      <c r="V69" s="117"/>
      <c r="W69" s="101"/>
      <c r="X69" s="117"/>
      <c r="Y69" s="117"/>
      <c r="Z69" s="117"/>
      <c r="AA69" s="198"/>
      <c r="AB69" s="117"/>
      <c r="AC69" s="117"/>
      <c r="AD69" s="117"/>
      <c r="AE69" s="117"/>
      <c r="AF69" s="117"/>
      <c r="AG69" s="117"/>
      <c r="AH69" s="117"/>
      <c r="AI69" s="117"/>
      <c r="AJ69" s="117"/>
      <c r="AK69" s="117"/>
      <c r="AL69" s="117"/>
      <c r="AM69" s="117"/>
      <c r="AN69" s="116"/>
      <c r="AP69" s="117"/>
      <c r="AQ69" s="117"/>
      <c r="AR69" s="117"/>
      <c r="AS69" s="117"/>
      <c r="AT69" s="117"/>
      <c r="AU69" s="117"/>
    </row>
    <row r="70" spans="1:47" x14ac:dyDescent="0.2">
      <c r="J70" s="100"/>
      <c r="K70" s="101"/>
      <c r="L70" s="100"/>
      <c r="M70" s="101"/>
      <c r="N70" s="101"/>
      <c r="O70" s="101"/>
      <c r="P70" s="101"/>
      <c r="R70" s="101"/>
      <c r="S70" s="101"/>
      <c r="T70" s="48"/>
      <c r="U70" s="101"/>
      <c r="V70" s="117"/>
      <c r="W70" s="101"/>
      <c r="X70" s="117"/>
      <c r="Y70" s="117"/>
      <c r="Z70" s="117"/>
      <c r="AA70" s="198"/>
      <c r="AB70" s="117"/>
      <c r="AC70" s="117"/>
      <c r="AD70" s="117"/>
      <c r="AE70" s="117"/>
      <c r="AF70" s="117"/>
      <c r="AG70" s="117"/>
      <c r="AH70" s="117"/>
      <c r="AI70" s="117"/>
      <c r="AJ70" s="117"/>
      <c r="AK70" s="117"/>
      <c r="AL70" s="117"/>
      <c r="AM70" s="117"/>
      <c r="AN70" s="116"/>
      <c r="AP70" s="117"/>
      <c r="AQ70" s="117"/>
      <c r="AR70" s="117"/>
      <c r="AS70" s="117"/>
      <c r="AT70" s="117"/>
      <c r="AU70" s="117"/>
    </row>
    <row r="71" spans="1:47" x14ac:dyDescent="0.2">
      <c r="A71" s="21"/>
      <c r="B71" s="21"/>
      <c r="C71" s="21"/>
      <c r="D71" s="21"/>
      <c r="E71" s="21"/>
      <c r="F71" s="21"/>
      <c r="G71" s="21"/>
      <c r="H71" s="24"/>
      <c r="I71" s="21"/>
      <c r="J71" s="100"/>
      <c r="K71" s="101"/>
      <c r="L71" s="100"/>
      <c r="M71" s="101"/>
      <c r="N71" s="101"/>
      <c r="O71" s="101"/>
      <c r="P71" s="101"/>
      <c r="R71" s="101"/>
      <c r="S71" s="101"/>
      <c r="T71" s="48"/>
      <c r="U71" s="101"/>
      <c r="V71" s="117"/>
      <c r="W71" s="101"/>
      <c r="X71" s="117"/>
      <c r="Y71" s="117"/>
      <c r="Z71" s="117"/>
      <c r="AA71" s="198"/>
      <c r="AB71" s="117"/>
      <c r="AC71" s="117"/>
      <c r="AD71" s="117"/>
      <c r="AE71" s="117"/>
      <c r="AF71" s="117"/>
      <c r="AG71" s="117"/>
      <c r="AH71" s="117"/>
      <c r="AI71" s="117"/>
      <c r="AJ71" s="117"/>
      <c r="AK71" s="117"/>
      <c r="AL71" s="117"/>
      <c r="AM71" s="117"/>
      <c r="AN71" s="116"/>
      <c r="AP71" s="117"/>
      <c r="AQ71" s="117"/>
      <c r="AR71" s="117"/>
      <c r="AS71" s="117"/>
      <c r="AT71" s="117"/>
      <c r="AU71" s="117"/>
    </row>
    <row r="72" spans="1:47" x14ac:dyDescent="0.2">
      <c r="A72" s="21"/>
      <c r="B72" s="21"/>
      <c r="C72" s="21"/>
      <c r="D72" s="21"/>
      <c r="E72" s="21"/>
      <c r="F72" s="21"/>
      <c r="G72" s="21"/>
      <c r="H72" s="24"/>
      <c r="I72" s="21"/>
      <c r="J72" s="100"/>
      <c r="K72" s="101"/>
      <c r="L72" s="100"/>
      <c r="M72" s="101"/>
      <c r="N72" s="101"/>
      <c r="O72" s="101"/>
      <c r="P72" s="101"/>
      <c r="R72" s="101"/>
      <c r="S72" s="101"/>
      <c r="T72" s="48"/>
      <c r="U72" s="101"/>
      <c r="V72" s="117"/>
      <c r="W72" s="101"/>
      <c r="X72" s="117"/>
      <c r="Y72" s="117"/>
      <c r="Z72" s="117"/>
      <c r="AA72" s="198"/>
      <c r="AB72" s="117"/>
      <c r="AC72" s="117"/>
      <c r="AD72" s="117"/>
      <c r="AE72" s="117"/>
      <c r="AF72" s="117"/>
      <c r="AG72" s="117"/>
      <c r="AH72" s="117"/>
      <c r="AI72" s="117"/>
      <c r="AJ72" s="117"/>
      <c r="AK72" s="117"/>
      <c r="AL72" s="117"/>
      <c r="AM72" s="117"/>
      <c r="AN72" s="116"/>
      <c r="AP72" s="117"/>
      <c r="AQ72" s="117"/>
      <c r="AR72" s="117"/>
      <c r="AS72" s="117"/>
      <c r="AT72" s="117"/>
      <c r="AU72" s="117"/>
    </row>
    <row r="73" spans="1:47" x14ac:dyDescent="0.2">
      <c r="A73" s="21"/>
      <c r="B73" s="21"/>
      <c r="C73" s="21"/>
      <c r="D73" s="21"/>
      <c r="E73" s="21"/>
      <c r="F73" s="21"/>
      <c r="G73" s="21"/>
      <c r="H73" s="24"/>
      <c r="I73" s="21"/>
      <c r="J73" s="100"/>
      <c r="K73" s="101"/>
      <c r="L73" s="100"/>
      <c r="M73" s="101"/>
      <c r="N73" s="101"/>
      <c r="O73" s="101"/>
      <c r="P73" s="101"/>
      <c r="R73" s="101"/>
      <c r="S73" s="101"/>
      <c r="T73" s="48"/>
      <c r="U73" s="101"/>
      <c r="V73" s="117"/>
      <c r="W73" s="101"/>
      <c r="X73" s="117"/>
      <c r="Y73" s="117"/>
      <c r="Z73" s="117"/>
      <c r="AA73" s="198"/>
      <c r="AB73" s="117"/>
      <c r="AC73" s="117"/>
      <c r="AD73" s="117"/>
      <c r="AE73" s="117"/>
      <c r="AF73" s="117"/>
      <c r="AG73" s="117"/>
      <c r="AH73" s="117"/>
      <c r="AI73" s="117"/>
      <c r="AJ73" s="117"/>
      <c r="AK73" s="117"/>
      <c r="AL73" s="117"/>
      <c r="AM73" s="117"/>
      <c r="AN73" s="116"/>
      <c r="AP73" s="117"/>
      <c r="AQ73" s="117"/>
      <c r="AR73" s="117"/>
      <c r="AS73" s="117"/>
      <c r="AT73" s="117"/>
      <c r="AU73" s="117"/>
    </row>
    <row r="74" spans="1:47" x14ac:dyDescent="0.2">
      <c r="A74" s="21"/>
      <c r="B74" s="21"/>
      <c r="C74" s="21"/>
      <c r="D74" s="21"/>
      <c r="E74" s="21"/>
      <c r="F74" s="21"/>
      <c r="G74" s="21"/>
      <c r="H74" s="24"/>
      <c r="I74" s="21"/>
      <c r="J74" s="100"/>
      <c r="K74" s="101"/>
      <c r="L74" s="100"/>
      <c r="M74" s="101"/>
      <c r="N74" s="101"/>
      <c r="O74" s="101"/>
      <c r="P74" s="101"/>
      <c r="R74" s="101"/>
      <c r="S74" s="101"/>
      <c r="T74" s="48"/>
      <c r="U74" s="101"/>
      <c r="V74" s="117"/>
      <c r="W74" s="101"/>
      <c r="X74" s="117"/>
      <c r="Y74" s="117"/>
      <c r="Z74" s="117"/>
      <c r="AA74" s="198"/>
      <c r="AB74" s="117"/>
      <c r="AC74" s="117"/>
      <c r="AD74" s="117"/>
      <c r="AE74" s="117"/>
      <c r="AF74" s="117"/>
      <c r="AG74" s="117"/>
      <c r="AH74" s="117"/>
      <c r="AI74" s="117"/>
      <c r="AJ74" s="117"/>
      <c r="AK74" s="117"/>
      <c r="AL74" s="117"/>
      <c r="AM74" s="117"/>
      <c r="AN74" s="116"/>
      <c r="AP74" s="117"/>
      <c r="AQ74" s="117"/>
      <c r="AR74" s="117"/>
      <c r="AS74" s="117"/>
      <c r="AT74" s="117"/>
      <c r="AU74" s="117"/>
    </row>
    <row r="75" spans="1:47" x14ac:dyDescent="0.2">
      <c r="A75" s="21"/>
      <c r="B75" s="21"/>
      <c r="C75" s="21"/>
      <c r="D75" s="21"/>
      <c r="E75" s="21"/>
      <c r="F75" s="21"/>
      <c r="G75" s="21"/>
      <c r="H75" s="24"/>
      <c r="I75" s="21"/>
      <c r="J75" s="100"/>
      <c r="K75" s="101"/>
      <c r="L75" s="100"/>
      <c r="M75" s="101"/>
      <c r="N75" s="101"/>
      <c r="O75" s="101"/>
      <c r="P75" s="101"/>
      <c r="R75" s="101"/>
      <c r="S75" s="101"/>
      <c r="T75" s="48"/>
      <c r="U75" s="101"/>
      <c r="V75" s="117"/>
      <c r="W75" s="101"/>
      <c r="X75" s="117"/>
      <c r="Y75" s="117"/>
      <c r="Z75" s="117"/>
      <c r="AA75" s="198"/>
      <c r="AB75" s="117"/>
      <c r="AC75" s="117"/>
      <c r="AD75" s="117"/>
      <c r="AE75" s="117"/>
      <c r="AF75" s="117"/>
      <c r="AG75" s="117"/>
      <c r="AH75" s="117"/>
      <c r="AI75" s="117"/>
      <c r="AJ75" s="117"/>
      <c r="AK75" s="117"/>
      <c r="AL75" s="117"/>
      <c r="AM75" s="117"/>
      <c r="AN75" s="116"/>
      <c r="AP75" s="117"/>
      <c r="AQ75" s="117"/>
      <c r="AR75" s="117"/>
      <c r="AS75" s="117"/>
      <c r="AT75" s="117"/>
      <c r="AU75" s="117"/>
    </row>
    <row r="76" spans="1:47" x14ac:dyDescent="0.2">
      <c r="A76" s="21"/>
      <c r="B76" s="21"/>
      <c r="C76" s="21"/>
      <c r="D76" s="21"/>
      <c r="E76" s="21"/>
      <c r="F76" s="21"/>
      <c r="G76" s="21"/>
      <c r="H76" s="24"/>
      <c r="I76" s="21"/>
      <c r="J76" s="100"/>
      <c r="K76" s="101"/>
      <c r="L76" s="100"/>
      <c r="M76" s="101"/>
      <c r="N76" s="101"/>
      <c r="O76" s="101"/>
      <c r="P76" s="101"/>
      <c r="R76" s="101"/>
      <c r="S76" s="101"/>
      <c r="T76" s="48"/>
      <c r="U76" s="101"/>
      <c r="V76" s="117"/>
      <c r="W76" s="101"/>
      <c r="X76" s="117"/>
      <c r="Y76" s="117"/>
      <c r="Z76" s="117"/>
      <c r="AA76" s="198"/>
      <c r="AB76" s="117"/>
      <c r="AC76" s="117"/>
      <c r="AD76" s="117"/>
      <c r="AE76" s="117"/>
      <c r="AF76" s="117"/>
      <c r="AG76" s="117"/>
      <c r="AH76" s="117"/>
      <c r="AI76" s="117"/>
      <c r="AJ76" s="117"/>
      <c r="AK76" s="117"/>
      <c r="AL76" s="117"/>
      <c r="AM76" s="117"/>
      <c r="AN76" s="116"/>
      <c r="AP76" s="117"/>
      <c r="AQ76" s="117"/>
      <c r="AR76" s="117"/>
      <c r="AS76" s="117"/>
      <c r="AT76" s="117"/>
      <c r="AU76" s="117"/>
    </row>
    <row r="77" spans="1:47" x14ac:dyDescent="0.2">
      <c r="A77" s="21"/>
      <c r="B77" s="21"/>
      <c r="C77" s="21"/>
      <c r="D77" s="21"/>
      <c r="E77" s="21"/>
      <c r="F77" s="21"/>
      <c r="G77" s="21"/>
      <c r="H77" s="24"/>
      <c r="I77" s="21"/>
      <c r="J77" s="100"/>
      <c r="K77" s="101"/>
      <c r="L77" s="100"/>
      <c r="M77" s="101"/>
      <c r="N77" s="101"/>
      <c r="O77" s="101"/>
      <c r="P77" s="101"/>
      <c r="R77" s="101"/>
      <c r="S77" s="101"/>
      <c r="T77" s="48"/>
      <c r="U77" s="101"/>
      <c r="V77" s="117"/>
      <c r="W77" s="101"/>
      <c r="X77" s="117"/>
      <c r="Y77" s="117"/>
      <c r="Z77" s="117"/>
      <c r="AA77" s="198"/>
      <c r="AB77" s="117"/>
      <c r="AC77" s="117"/>
      <c r="AD77" s="117"/>
      <c r="AE77" s="117"/>
      <c r="AF77" s="117"/>
      <c r="AG77" s="117"/>
      <c r="AH77" s="117"/>
      <c r="AI77" s="117"/>
      <c r="AJ77" s="117"/>
      <c r="AK77" s="117"/>
      <c r="AL77" s="117"/>
      <c r="AM77" s="117"/>
      <c r="AN77" s="116"/>
      <c r="AP77" s="117"/>
      <c r="AQ77" s="117"/>
      <c r="AR77" s="117"/>
      <c r="AS77" s="117"/>
      <c r="AT77" s="117"/>
      <c r="AU77" s="117"/>
    </row>
    <row r="78" spans="1:47" x14ac:dyDescent="0.2">
      <c r="A78" s="21"/>
      <c r="B78" s="21"/>
      <c r="C78" s="21"/>
      <c r="D78" s="21"/>
      <c r="E78" s="21"/>
      <c r="F78" s="21"/>
      <c r="G78" s="21"/>
      <c r="H78" s="24"/>
      <c r="I78" s="21"/>
      <c r="J78" s="100"/>
      <c r="K78" s="101"/>
      <c r="L78" s="100"/>
      <c r="M78" s="101"/>
      <c r="N78" s="101"/>
      <c r="O78" s="101"/>
      <c r="P78" s="101"/>
      <c r="R78" s="101"/>
      <c r="S78" s="101"/>
      <c r="T78" s="48"/>
      <c r="U78" s="101"/>
      <c r="V78" s="117"/>
      <c r="W78" s="101"/>
      <c r="X78" s="117"/>
      <c r="Y78" s="117"/>
      <c r="Z78" s="117"/>
      <c r="AA78" s="198"/>
      <c r="AB78" s="117"/>
      <c r="AC78" s="117"/>
      <c r="AD78" s="117"/>
      <c r="AE78" s="117"/>
      <c r="AF78" s="117"/>
      <c r="AG78" s="117"/>
      <c r="AH78" s="117"/>
      <c r="AI78" s="117"/>
      <c r="AJ78" s="117"/>
      <c r="AK78" s="117"/>
      <c r="AL78" s="117"/>
      <c r="AM78" s="117"/>
      <c r="AN78" s="116"/>
      <c r="AP78" s="117"/>
      <c r="AQ78" s="117"/>
      <c r="AR78" s="117"/>
      <c r="AS78" s="117"/>
      <c r="AT78" s="117"/>
      <c r="AU78" s="117"/>
    </row>
    <row r="79" spans="1:47" x14ac:dyDescent="0.2">
      <c r="A79" s="21"/>
      <c r="B79" s="21"/>
      <c r="C79" s="21"/>
      <c r="D79" s="21"/>
      <c r="E79" s="21"/>
      <c r="F79" s="21"/>
      <c r="G79" s="21"/>
      <c r="H79" s="24"/>
      <c r="I79" s="21"/>
      <c r="J79" s="100"/>
      <c r="K79" s="101"/>
      <c r="L79" s="100"/>
      <c r="M79" s="101"/>
      <c r="N79" s="101"/>
      <c r="O79" s="101"/>
      <c r="P79" s="101"/>
      <c r="R79" s="101"/>
      <c r="S79" s="101"/>
      <c r="T79" s="48"/>
      <c r="U79" s="101"/>
      <c r="V79" s="117"/>
      <c r="W79" s="101"/>
      <c r="X79" s="117"/>
      <c r="Y79" s="117"/>
      <c r="Z79" s="117"/>
      <c r="AA79" s="198"/>
      <c r="AB79" s="117"/>
      <c r="AC79" s="117"/>
      <c r="AD79" s="117"/>
      <c r="AE79" s="117"/>
      <c r="AF79" s="117"/>
      <c r="AG79" s="117"/>
      <c r="AH79" s="117"/>
      <c r="AI79" s="117"/>
      <c r="AJ79" s="117"/>
      <c r="AK79" s="117"/>
      <c r="AL79" s="117"/>
      <c r="AM79" s="117"/>
      <c r="AN79" s="116"/>
      <c r="AP79" s="117"/>
      <c r="AQ79" s="117"/>
      <c r="AR79" s="117"/>
      <c r="AS79" s="117"/>
      <c r="AT79" s="117"/>
      <c r="AU79" s="117"/>
    </row>
    <row r="80" spans="1:47" x14ac:dyDescent="0.2">
      <c r="A80" s="21"/>
      <c r="B80" s="21"/>
      <c r="C80" s="21"/>
      <c r="D80" s="21"/>
      <c r="E80" s="21"/>
      <c r="F80" s="21"/>
      <c r="G80" s="21"/>
      <c r="H80" s="24"/>
      <c r="I80" s="21"/>
      <c r="J80" s="100"/>
      <c r="K80" s="101"/>
      <c r="L80" s="100"/>
      <c r="M80" s="101"/>
      <c r="N80" s="101"/>
      <c r="O80" s="101"/>
      <c r="P80" s="101"/>
      <c r="R80" s="101"/>
      <c r="S80" s="101"/>
      <c r="T80" s="48"/>
      <c r="U80" s="101"/>
      <c r="V80" s="117"/>
      <c r="W80" s="101"/>
      <c r="X80" s="117"/>
      <c r="Y80" s="117"/>
      <c r="Z80" s="117"/>
      <c r="AA80" s="198"/>
      <c r="AB80" s="117"/>
      <c r="AC80" s="117"/>
      <c r="AD80" s="117"/>
      <c r="AE80" s="117"/>
      <c r="AF80" s="117"/>
      <c r="AG80" s="117"/>
      <c r="AH80" s="117"/>
      <c r="AI80" s="117"/>
      <c r="AJ80" s="117"/>
      <c r="AK80" s="117"/>
      <c r="AL80" s="117"/>
      <c r="AM80" s="117"/>
      <c r="AN80" s="116"/>
      <c r="AP80" s="117"/>
      <c r="AQ80" s="117"/>
      <c r="AR80" s="117"/>
      <c r="AS80" s="117"/>
      <c r="AT80" s="117"/>
      <c r="AU80" s="117"/>
    </row>
    <row r="81" spans="1:47" x14ac:dyDescent="0.2">
      <c r="A81" s="21"/>
      <c r="B81" s="21"/>
      <c r="C81" s="21"/>
      <c r="D81" s="21"/>
      <c r="E81" s="21"/>
      <c r="F81" s="21"/>
      <c r="G81" s="21"/>
      <c r="H81" s="24"/>
      <c r="I81" s="21"/>
      <c r="J81" s="100"/>
      <c r="K81" s="101"/>
      <c r="L81" s="100"/>
      <c r="M81" s="101"/>
      <c r="N81" s="101"/>
      <c r="O81" s="101"/>
      <c r="P81" s="101"/>
      <c r="R81" s="101"/>
      <c r="S81" s="101"/>
      <c r="T81" s="48"/>
      <c r="U81" s="101"/>
      <c r="V81" s="117"/>
      <c r="W81" s="101"/>
      <c r="X81" s="117"/>
      <c r="Y81" s="117"/>
      <c r="Z81" s="117"/>
      <c r="AA81" s="198"/>
      <c r="AB81" s="117"/>
      <c r="AC81" s="117"/>
      <c r="AD81" s="117"/>
      <c r="AE81" s="117"/>
      <c r="AF81" s="117"/>
      <c r="AG81" s="117"/>
      <c r="AH81" s="117"/>
      <c r="AI81" s="117"/>
      <c r="AJ81" s="117"/>
      <c r="AK81" s="117"/>
      <c r="AL81" s="117"/>
      <c r="AM81" s="117"/>
      <c r="AN81" s="116"/>
      <c r="AP81" s="117"/>
      <c r="AQ81" s="117"/>
      <c r="AR81" s="117"/>
      <c r="AS81" s="117"/>
      <c r="AT81" s="117"/>
      <c r="AU81" s="117"/>
    </row>
    <row r="82" spans="1:47" x14ac:dyDescent="0.2">
      <c r="A82" s="21"/>
      <c r="B82" s="21"/>
      <c r="C82" s="21"/>
      <c r="D82" s="21"/>
      <c r="E82" s="21"/>
      <c r="F82" s="21"/>
      <c r="G82" s="21"/>
      <c r="H82" s="24"/>
      <c r="I82" s="21"/>
      <c r="J82" s="100"/>
      <c r="K82" s="101"/>
      <c r="L82" s="100"/>
      <c r="M82" s="101"/>
      <c r="N82" s="101"/>
      <c r="O82" s="101"/>
      <c r="P82" s="101"/>
      <c r="R82" s="101"/>
      <c r="S82" s="101"/>
      <c r="T82" s="48"/>
      <c r="U82" s="101"/>
      <c r="V82" s="117"/>
      <c r="W82" s="101"/>
      <c r="X82" s="117"/>
      <c r="Y82" s="117"/>
      <c r="Z82" s="117"/>
      <c r="AA82" s="198"/>
      <c r="AB82" s="117"/>
      <c r="AC82" s="117"/>
      <c r="AD82" s="117"/>
      <c r="AE82" s="117"/>
      <c r="AF82" s="117"/>
      <c r="AG82" s="117"/>
      <c r="AH82" s="117"/>
      <c r="AI82" s="117"/>
      <c r="AJ82" s="117"/>
      <c r="AK82" s="117"/>
      <c r="AL82" s="117"/>
      <c r="AM82" s="117"/>
      <c r="AN82" s="116"/>
      <c r="AP82" s="117"/>
      <c r="AQ82" s="117"/>
      <c r="AR82" s="117"/>
      <c r="AS82" s="117"/>
      <c r="AT82" s="117"/>
      <c r="AU82" s="117"/>
    </row>
    <row r="83" spans="1:47" x14ac:dyDescent="0.2">
      <c r="A83" s="21"/>
      <c r="B83" s="21"/>
      <c r="C83" s="21"/>
      <c r="D83" s="21"/>
      <c r="E83" s="21"/>
      <c r="F83" s="21"/>
      <c r="G83" s="21"/>
      <c r="H83" s="24"/>
      <c r="I83" s="21"/>
      <c r="J83" s="100"/>
      <c r="K83" s="101"/>
      <c r="L83" s="100"/>
      <c r="M83" s="101"/>
      <c r="N83" s="101"/>
      <c r="O83" s="101"/>
      <c r="P83" s="101"/>
      <c r="R83" s="101"/>
      <c r="S83" s="101"/>
      <c r="T83" s="48"/>
      <c r="U83" s="101"/>
      <c r="V83" s="117"/>
      <c r="W83" s="101"/>
      <c r="X83" s="117"/>
      <c r="Y83" s="117"/>
      <c r="Z83" s="117"/>
      <c r="AA83" s="198"/>
      <c r="AB83" s="117"/>
      <c r="AC83" s="117"/>
      <c r="AD83" s="117"/>
      <c r="AE83" s="117"/>
      <c r="AF83" s="117"/>
      <c r="AG83" s="117"/>
      <c r="AH83" s="117"/>
      <c r="AI83" s="117"/>
      <c r="AJ83" s="117"/>
      <c r="AK83" s="117"/>
      <c r="AL83" s="117"/>
      <c r="AM83" s="117"/>
      <c r="AN83" s="116"/>
      <c r="AP83" s="117"/>
      <c r="AQ83" s="117"/>
      <c r="AR83" s="117"/>
      <c r="AS83" s="117"/>
      <c r="AT83" s="117"/>
      <c r="AU83" s="117"/>
    </row>
    <row r="84" spans="1:47" x14ac:dyDescent="0.2">
      <c r="A84" s="21"/>
      <c r="B84" s="21"/>
      <c r="C84" s="21"/>
      <c r="D84" s="21"/>
      <c r="E84" s="21"/>
      <c r="F84" s="21"/>
      <c r="G84" s="21"/>
      <c r="H84" s="24"/>
      <c r="I84" s="21"/>
      <c r="J84" s="100"/>
      <c r="K84" s="101"/>
      <c r="L84" s="100"/>
      <c r="M84" s="101"/>
      <c r="N84" s="101"/>
      <c r="O84" s="101"/>
      <c r="P84" s="101"/>
      <c r="R84" s="101"/>
      <c r="S84" s="101"/>
      <c r="T84" s="48"/>
      <c r="U84" s="101"/>
      <c r="V84" s="117"/>
      <c r="W84" s="101"/>
      <c r="X84" s="117"/>
      <c r="Y84" s="117"/>
      <c r="Z84" s="117"/>
      <c r="AA84" s="198"/>
      <c r="AB84" s="117"/>
      <c r="AC84" s="117"/>
      <c r="AD84" s="117"/>
      <c r="AE84" s="117"/>
      <c r="AF84" s="117"/>
      <c r="AG84" s="117"/>
      <c r="AH84" s="117"/>
      <c r="AI84" s="117"/>
      <c r="AJ84" s="117"/>
      <c r="AK84" s="117"/>
      <c r="AL84" s="117"/>
      <c r="AM84" s="117"/>
      <c r="AN84" s="116"/>
      <c r="AP84" s="117"/>
      <c r="AQ84" s="117"/>
      <c r="AR84" s="117"/>
      <c r="AS84" s="117"/>
      <c r="AT84" s="117"/>
      <c r="AU84" s="117"/>
    </row>
    <row r="85" spans="1:47" x14ac:dyDescent="0.2">
      <c r="A85" s="21"/>
      <c r="B85" s="21"/>
      <c r="C85" s="21"/>
      <c r="D85" s="21"/>
      <c r="E85" s="21"/>
      <c r="F85" s="21"/>
      <c r="G85" s="21"/>
      <c r="H85" s="24"/>
      <c r="I85" s="21"/>
      <c r="J85" s="100"/>
      <c r="K85" s="101"/>
      <c r="L85" s="100"/>
      <c r="M85" s="101"/>
      <c r="N85" s="101"/>
      <c r="O85" s="101"/>
      <c r="P85" s="101"/>
      <c r="R85" s="101"/>
      <c r="S85" s="101"/>
      <c r="T85" s="48"/>
      <c r="U85" s="101"/>
      <c r="V85" s="117"/>
      <c r="W85" s="101"/>
      <c r="X85" s="117"/>
      <c r="Y85" s="117"/>
      <c r="Z85" s="117"/>
      <c r="AA85" s="198"/>
      <c r="AB85" s="117"/>
      <c r="AC85" s="117"/>
      <c r="AD85" s="117"/>
      <c r="AE85" s="117"/>
      <c r="AF85" s="117"/>
      <c r="AG85" s="117"/>
      <c r="AH85" s="117"/>
      <c r="AI85" s="117"/>
      <c r="AJ85" s="117"/>
      <c r="AK85" s="117"/>
      <c r="AL85" s="117"/>
      <c r="AM85" s="117"/>
      <c r="AN85" s="116"/>
      <c r="AP85" s="117"/>
      <c r="AQ85" s="117"/>
      <c r="AR85" s="117"/>
      <c r="AS85" s="117"/>
      <c r="AT85" s="117"/>
      <c r="AU85" s="117"/>
    </row>
    <row r="86" spans="1:47" x14ac:dyDescent="0.2">
      <c r="A86" s="21"/>
      <c r="B86" s="21"/>
      <c r="C86" s="21"/>
      <c r="D86" s="21"/>
      <c r="E86" s="21"/>
      <c r="F86" s="21"/>
      <c r="G86" s="21"/>
      <c r="H86" s="24"/>
      <c r="I86" s="21"/>
      <c r="J86" s="100"/>
      <c r="K86" s="101"/>
      <c r="L86" s="100"/>
      <c r="M86" s="101"/>
      <c r="N86" s="101"/>
      <c r="O86" s="101"/>
      <c r="P86" s="101"/>
      <c r="R86" s="101"/>
      <c r="S86" s="101"/>
      <c r="T86" s="48"/>
      <c r="U86" s="101"/>
      <c r="V86" s="117"/>
      <c r="W86" s="101"/>
      <c r="X86" s="117"/>
      <c r="Y86" s="117"/>
      <c r="Z86" s="117"/>
      <c r="AA86" s="198"/>
      <c r="AB86" s="117"/>
      <c r="AC86" s="117"/>
      <c r="AD86" s="117"/>
      <c r="AE86" s="117"/>
      <c r="AF86" s="117"/>
      <c r="AG86" s="117"/>
      <c r="AH86" s="117"/>
      <c r="AI86" s="117"/>
      <c r="AJ86" s="117"/>
      <c r="AK86" s="117"/>
      <c r="AL86" s="117"/>
      <c r="AM86" s="117"/>
      <c r="AN86" s="116"/>
      <c r="AP86" s="117"/>
      <c r="AQ86" s="117"/>
      <c r="AR86" s="117"/>
      <c r="AS86" s="117"/>
      <c r="AT86" s="117"/>
      <c r="AU86" s="117"/>
    </row>
    <row r="87" spans="1:47" x14ac:dyDescent="0.2">
      <c r="A87" s="21"/>
      <c r="B87" s="21"/>
      <c r="C87" s="21"/>
      <c r="D87" s="21"/>
      <c r="E87" s="21"/>
      <c r="F87" s="21"/>
      <c r="G87" s="21"/>
      <c r="H87" s="24"/>
      <c r="I87" s="21"/>
      <c r="J87" s="100"/>
      <c r="K87" s="101"/>
      <c r="L87" s="100"/>
      <c r="M87" s="101"/>
      <c r="N87" s="101"/>
      <c r="O87" s="101"/>
      <c r="P87" s="101"/>
      <c r="R87" s="101"/>
      <c r="S87" s="101"/>
      <c r="T87" s="48"/>
      <c r="U87" s="101"/>
      <c r="V87" s="117"/>
      <c r="W87" s="101"/>
      <c r="X87" s="117"/>
      <c r="Y87" s="117"/>
      <c r="Z87" s="117"/>
      <c r="AA87" s="198"/>
      <c r="AB87" s="117"/>
      <c r="AC87" s="117"/>
      <c r="AD87" s="117"/>
      <c r="AE87" s="117"/>
      <c r="AF87" s="117"/>
      <c r="AG87" s="117"/>
      <c r="AH87" s="117"/>
      <c r="AI87" s="117"/>
      <c r="AJ87" s="117"/>
      <c r="AK87" s="117"/>
      <c r="AL87" s="117"/>
      <c r="AM87" s="117"/>
      <c r="AN87" s="116"/>
      <c r="AP87" s="117"/>
      <c r="AQ87" s="117"/>
      <c r="AR87" s="117"/>
      <c r="AS87" s="117"/>
      <c r="AT87" s="117"/>
      <c r="AU87" s="117"/>
    </row>
    <row r="88" spans="1:47" x14ac:dyDescent="0.2">
      <c r="A88" s="21"/>
      <c r="B88" s="21"/>
      <c r="C88" s="21"/>
      <c r="D88" s="21"/>
      <c r="E88" s="21"/>
      <c r="F88" s="21"/>
      <c r="G88" s="21"/>
      <c r="H88" s="24"/>
      <c r="I88" s="21"/>
      <c r="J88" s="100"/>
      <c r="K88" s="101"/>
      <c r="L88" s="100"/>
      <c r="M88" s="101"/>
      <c r="N88" s="101"/>
      <c r="O88" s="101"/>
      <c r="P88" s="101"/>
      <c r="R88" s="101"/>
      <c r="S88" s="101"/>
      <c r="T88" s="48"/>
      <c r="U88" s="101"/>
      <c r="V88" s="117"/>
      <c r="W88" s="101"/>
      <c r="X88" s="117"/>
      <c r="Y88" s="117"/>
      <c r="Z88" s="117"/>
      <c r="AA88" s="198"/>
      <c r="AB88" s="117"/>
      <c r="AC88" s="117"/>
      <c r="AD88" s="117"/>
      <c r="AE88" s="117"/>
      <c r="AF88" s="117"/>
      <c r="AG88" s="117"/>
      <c r="AH88" s="117"/>
      <c r="AI88" s="117"/>
      <c r="AJ88" s="117"/>
      <c r="AK88" s="117"/>
      <c r="AL88" s="117"/>
      <c r="AM88" s="117"/>
      <c r="AN88" s="116"/>
      <c r="AP88" s="117"/>
      <c r="AQ88" s="117"/>
      <c r="AR88" s="117"/>
      <c r="AS88" s="117"/>
      <c r="AT88" s="117"/>
      <c r="AU88" s="117"/>
    </row>
    <row r="89" spans="1:47" x14ac:dyDescent="0.2">
      <c r="A89" s="21"/>
      <c r="B89" s="21"/>
      <c r="C89" s="21"/>
      <c r="D89" s="21"/>
      <c r="E89" s="21"/>
      <c r="F89" s="21"/>
      <c r="G89" s="21"/>
      <c r="H89" s="24"/>
      <c r="I89" s="21"/>
      <c r="J89" s="100"/>
      <c r="K89" s="101"/>
      <c r="L89" s="100"/>
      <c r="M89" s="101"/>
      <c r="N89" s="101"/>
      <c r="O89" s="101"/>
      <c r="P89" s="101"/>
      <c r="R89" s="101"/>
      <c r="S89" s="101"/>
      <c r="T89" s="48"/>
      <c r="U89" s="101"/>
      <c r="V89" s="117"/>
      <c r="W89" s="101"/>
      <c r="X89" s="117"/>
      <c r="Y89" s="117"/>
      <c r="Z89" s="117"/>
      <c r="AA89" s="198"/>
      <c r="AB89" s="117"/>
      <c r="AC89" s="117"/>
      <c r="AD89" s="117"/>
      <c r="AE89" s="117"/>
      <c r="AF89" s="117"/>
      <c r="AG89" s="117"/>
      <c r="AH89" s="117"/>
      <c r="AI89" s="117"/>
      <c r="AJ89" s="117"/>
      <c r="AK89" s="117"/>
      <c r="AL89" s="117"/>
      <c r="AM89" s="117"/>
      <c r="AN89" s="116"/>
      <c r="AP89" s="117"/>
      <c r="AQ89" s="117"/>
      <c r="AR89" s="117"/>
      <c r="AS89" s="117"/>
      <c r="AT89" s="117"/>
      <c r="AU89" s="117"/>
    </row>
    <row r="90" spans="1:47" x14ac:dyDescent="0.2">
      <c r="A90" s="21"/>
      <c r="B90" s="21"/>
      <c r="C90" s="21"/>
      <c r="D90" s="21"/>
      <c r="E90" s="21"/>
      <c r="F90" s="21"/>
      <c r="G90" s="21"/>
      <c r="H90" s="24"/>
      <c r="I90" s="21"/>
      <c r="J90" s="100"/>
      <c r="K90" s="101"/>
      <c r="L90" s="100"/>
      <c r="M90" s="101"/>
      <c r="N90" s="101"/>
      <c r="O90" s="101"/>
      <c r="P90" s="101"/>
      <c r="R90" s="101"/>
      <c r="S90" s="101"/>
      <c r="T90" s="48"/>
      <c r="U90" s="101"/>
      <c r="V90" s="117"/>
      <c r="W90" s="101"/>
      <c r="X90" s="117"/>
      <c r="Y90" s="117"/>
      <c r="Z90" s="117"/>
      <c r="AA90" s="198"/>
      <c r="AB90" s="117"/>
      <c r="AC90" s="117"/>
      <c r="AD90" s="117"/>
      <c r="AE90" s="117"/>
      <c r="AF90" s="117"/>
      <c r="AG90" s="117"/>
      <c r="AH90" s="117"/>
      <c r="AI90" s="117"/>
      <c r="AJ90" s="117"/>
      <c r="AK90" s="117"/>
      <c r="AL90" s="117"/>
      <c r="AM90" s="117"/>
      <c r="AN90" s="116"/>
      <c r="AP90" s="117"/>
      <c r="AQ90" s="117"/>
      <c r="AR90" s="117"/>
      <c r="AS90" s="117"/>
      <c r="AT90" s="117"/>
      <c r="AU90" s="117"/>
    </row>
    <row r="91" spans="1:47" x14ac:dyDescent="0.2">
      <c r="A91" s="21"/>
      <c r="B91" s="21"/>
      <c r="C91" s="21"/>
      <c r="D91" s="21"/>
      <c r="E91" s="21"/>
      <c r="F91" s="21"/>
      <c r="G91" s="21"/>
      <c r="H91" s="24"/>
      <c r="I91" s="21"/>
      <c r="J91" s="100"/>
      <c r="K91" s="101"/>
      <c r="L91" s="100"/>
      <c r="M91" s="101"/>
      <c r="N91" s="101"/>
      <c r="O91" s="101"/>
      <c r="P91" s="101"/>
      <c r="R91" s="101"/>
      <c r="S91" s="101"/>
      <c r="T91" s="48"/>
      <c r="U91" s="101"/>
      <c r="V91" s="117"/>
      <c r="W91" s="101"/>
      <c r="X91" s="117"/>
      <c r="Y91" s="117"/>
      <c r="Z91" s="117"/>
      <c r="AA91" s="198"/>
      <c r="AB91" s="117"/>
      <c r="AC91" s="117"/>
      <c r="AD91" s="117"/>
      <c r="AE91" s="117"/>
      <c r="AF91" s="117"/>
      <c r="AG91" s="117"/>
      <c r="AH91" s="117"/>
      <c r="AI91" s="117"/>
      <c r="AJ91" s="117"/>
      <c r="AK91" s="117"/>
      <c r="AL91" s="117"/>
      <c r="AM91" s="117"/>
      <c r="AN91" s="116"/>
      <c r="AP91" s="117"/>
      <c r="AQ91" s="117"/>
      <c r="AR91" s="117"/>
      <c r="AS91" s="117"/>
      <c r="AT91" s="117"/>
      <c r="AU91" s="117"/>
    </row>
    <row r="92" spans="1:47" x14ac:dyDescent="0.2">
      <c r="A92" s="21"/>
      <c r="B92" s="21"/>
      <c r="C92" s="21"/>
      <c r="D92" s="21"/>
      <c r="E92" s="21"/>
      <c r="F92" s="21"/>
      <c r="G92" s="21"/>
      <c r="H92" s="24"/>
      <c r="I92" s="21"/>
      <c r="J92" s="100"/>
      <c r="K92" s="101"/>
      <c r="L92" s="100"/>
      <c r="M92" s="101"/>
      <c r="N92" s="101"/>
      <c r="O92" s="101"/>
      <c r="P92" s="101"/>
      <c r="R92" s="101"/>
      <c r="S92" s="101"/>
      <c r="T92" s="48"/>
      <c r="U92" s="101"/>
      <c r="V92" s="117"/>
      <c r="W92" s="101"/>
      <c r="X92" s="117"/>
      <c r="Y92" s="117"/>
      <c r="Z92" s="117"/>
      <c r="AA92" s="198"/>
      <c r="AB92" s="117"/>
      <c r="AC92" s="117"/>
      <c r="AD92" s="117"/>
      <c r="AE92" s="117"/>
      <c r="AF92" s="117"/>
      <c r="AG92" s="117"/>
      <c r="AH92" s="117"/>
      <c r="AI92" s="117"/>
      <c r="AJ92" s="117"/>
      <c r="AK92" s="117"/>
      <c r="AL92" s="117"/>
      <c r="AM92" s="117"/>
      <c r="AN92" s="116"/>
      <c r="AP92" s="117"/>
      <c r="AQ92" s="117"/>
      <c r="AR92" s="117"/>
      <c r="AS92" s="117"/>
      <c r="AT92" s="117"/>
      <c r="AU92" s="117"/>
    </row>
    <row r="93" spans="1:47" x14ac:dyDescent="0.2">
      <c r="A93" s="21"/>
      <c r="B93" s="21"/>
      <c r="C93" s="21"/>
      <c r="D93" s="21"/>
      <c r="E93" s="21"/>
      <c r="F93" s="21"/>
      <c r="G93" s="21"/>
      <c r="H93" s="24"/>
      <c r="I93" s="21"/>
      <c r="J93" s="100"/>
      <c r="K93" s="101"/>
      <c r="L93" s="100"/>
      <c r="M93" s="101"/>
      <c r="N93" s="101"/>
      <c r="O93" s="101"/>
      <c r="P93" s="101"/>
      <c r="R93" s="101"/>
      <c r="S93" s="101"/>
      <c r="T93" s="48"/>
      <c r="U93" s="101"/>
      <c r="V93" s="117"/>
      <c r="W93" s="101"/>
      <c r="X93" s="117"/>
      <c r="Y93" s="117"/>
      <c r="Z93" s="117"/>
      <c r="AA93" s="198"/>
      <c r="AB93" s="117"/>
      <c r="AC93" s="117"/>
      <c r="AD93" s="117"/>
      <c r="AE93" s="117"/>
      <c r="AF93" s="117"/>
      <c r="AG93" s="117"/>
      <c r="AH93" s="117"/>
      <c r="AI93" s="117"/>
      <c r="AJ93" s="117"/>
      <c r="AK93" s="117"/>
      <c r="AL93" s="117"/>
      <c r="AM93" s="117"/>
      <c r="AN93" s="116"/>
      <c r="AP93" s="117"/>
      <c r="AQ93" s="117"/>
      <c r="AR93" s="117"/>
      <c r="AS93" s="117"/>
      <c r="AT93" s="117"/>
      <c r="AU93" s="117"/>
    </row>
    <row r="94" spans="1:47" x14ac:dyDescent="0.2">
      <c r="A94" s="21"/>
      <c r="B94" s="21"/>
      <c r="C94" s="21"/>
      <c r="D94" s="21"/>
      <c r="E94" s="21"/>
      <c r="F94" s="21"/>
      <c r="G94" s="21"/>
      <c r="H94" s="24"/>
      <c r="I94" s="21"/>
      <c r="J94" s="100"/>
      <c r="K94" s="101"/>
      <c r="L94" s="100"/>
      <c r="M94" s="101"/>
      <c r="N94" s="101"/>
      <c r="O94" s="101"/>
      <c r="P94" s="101"/>
      <c r="R94" s="101"/>
      <c r="S94" s="101"/>
      <c r="T94" s="48"/>
      <c r="U94" s="101"/>
      <c r="V94" s="117"/>
      <c r="W94" s="101"/>
      <c r="X94" s="117"/>
      <c r="Y94" s="117"/>
      <c r="Z94" s="117"/>
      <c r="AA94" s="198"/>
      <c r="AB94" s="117"/>
      <c r="AC94" s="117"/>
      <c r="AD94" s="117"/>
      <c r="AE94" s="117"/>
      <c r="AF94" s="117"/>
      <c r="AG94" s="117"/>
      <c r="AH94" s="117"/>
      <c r="AI94" s="117"/>
      <c r="AJ94" s="117"/>
      <c r="AK94" s="117"/>
      <c r="AL94" s="117"/>
      <c r="AM94" s="117"/>
      <c r="AN94" s="116"/>
      <c r="AP94" s="117"/>
      <c r="AQ94" s="117"/>
      <c r="AR94" s="117"/>
      <c r="AS94" s="117"/>
      <c r="AT94" s="117"/>
      <c r="AU94" s="117"/>
    </row>
    <row r="95" spans="1:47" x14ac:dyDescent="0.2">
      <c r="A95" s="21"/>
      <c r="B95" s="21"/>
      <c r="C95" s="21"/>
      <c r="D95" s="21"/>
      <c r="E95" s="21"/>
      <c r="F95" s="21"/>
      <c r="G95" s="21"/>
      <c r="H95" s="24"/>
      <c r="I95" s="21"/>
      <c r="J95" s="100"/>
      <c r="K95" s="101"/>
      <c r="L95" s="100"/>
      <c r="M95" s="101"/>
      <c r="N95" s="101"/>
      <c r="O95" s="101"/>
      <c r="P95" s="101"/>
      <c r="R95" s="101"/>
      <c r="S95" s="101"/>
      <c r="T95" s="48"/>
      <c r="U95" s="101"/>
      <c r="V95" s="117"/>
      <c r="W95" s="101"/>
      <c r="X95" s="117"/>
      <c r="Y95" s="117"/>
      <c r="Z95" s="117"/>
      <c r="AA95" s="198"/>
      <c r="AB95" s="117"/>
      <c r="AC95" s="117"/>
      <c r="AD95" s="117"/>
      <c r="AE95" s="117"/>
      <c r="AF95" s="117"/>
      <c r="AG95" s="117"/>
      <c r="AH95" s="117"/>
      <c r="AI95" s="117"/>
      <c r="AJ95" s="117"/>
      <c r="AK95" s="117"/>
      <c r="AL95" s="117"/>
      <c r="AM95" s="117"/>
      <c r="AN95" s="116"/>
      <c r="AP95" s="117"/>
      <c r="AQ95" s="117"/>
      <c r="AR95" s="117"/>
      <c r="AS95" s="117"/>
      <c r="AT95" s="117"/>
      <c r="AU95" s="117"/>
    </row>
    <row r="96" spans="1:47" x14ac:dyDescent="0.2">
      <c r="A96" s="21"/>
      <c r="B96" s="21"/>
      <c r="C96" s="21"/>
      <c r="D96" s="21"/>
      <c r="E96" s="21"/>
      <c r="F96" s="21"/>
      <c r="G96" s="21"/>
      <c r="H96" s="24"/>
      <c r="I96" s="21"/>
      <c r="J96" s="100"/>
      <c r="K96" s="101"/>
      <c r="L96" s="100"/>
      <c r="M96" s="101"/>
      <c r="N96" s="101"/>
      <c r="O96" s="101"/>
      <c r="P96" s="101"/>
      <c r="R96" s="101"/>
      <c r="S96" s="101"/>
      <c r="T96" s="48"/>
      <c r="U96" s="101"/>
      <c r="V96" s="117"/>
      <c r="W96" s="101"/>
      <c r="X96" s="117"/>
      <c r="Y96" s="117"/>
      <c r="Z96" s="117"/>
      <c r="AA96" s="198"/>
      <c r="AB96" s="117"/>
      <c r="AC96" s="117"/>
      <c r="AD96" s="117"/>
      <c r="AE96" s="117"/>
      <c r="AF96" s="117"/>
      <c r="AG96" s="117"/>
      <c r="AH96" s="117"/>
      <c r="AI96" s="117"/>
      <c r="AJ96" s="117"/>
      <c r="AK96" s="117"/>
      <c r="AL96" s="117"/>
      <c r="AM96" s="117"/>
      <c r="AN96" s="116"/>
      <c r="AP96" s="117"/>
      <c r="AQ96" s="117"/>
      <c r="AR96" s="117"/>
      <c r="AS96" s="117"/>
      <c r="AT96" s="117"/>
      <c r="AU96" s="117"/>
    </row>
    <row r="97" spans="1:47" x14ac:dyDescent="0.2">
      <c r="A97" s="21"/>
      <c r="B97" s="21"/>
      <c r="C97" s="21"/>
      <c r="D97" s="21"/>
      <c r="E97" s="21"/>
      <c r="F97" s="21"/>
      <c r="G97" s="21"/>
      <c r="H97" s="24"/>
      <c r="I97" s="21"/>
      <c r="J97" s="100"/>
      <c r="K97" s="101"/>
      <c r="L97" s="100"/>
      <c r="M97" s="101"/>
      <c r="N97" s="101"/>
      <c r="O97" s="101"/>
      <c r="P97" s="101"/>
      <c r="R97" s="101"/>
      <c r="S97" s="101"/>
      <c r="T97" s="48"/>
      <c r="U97" s="101"/>
      <c r="V97" s="117"/>
      <c r="W97" s="101"/>
      <c r="X97" s="117"/>
      <c r="Y97" s="117"/>
      <c r="Z97" s="117"/>
      <c r="AA97" s="198"/>
      <c r="AB97" s="117"/>
      <c r="AC97" s="117"/>
      <c r="AD97" s="117"/>
      <c r="AE97" s="117"/>
      <c r="AF97" s="117"/>
      <c r="AG97" s="117"/>
      <c r="AH97" s="117"/>
      <c r="AI97" s="117"/>
      <c r="AJ97" s="117"/>
      <c r="AK97" s="117"/>
      <c r="AL97" s="117"/>
      <c r="AM97" s="117"/>
      <c r="AN97" s="116"/>
      <c r="AP97" s="117"/>
      <c r="AQ97" s="117"/>
      <c r="AR97" s="117"/>
      <c r="AS97" s="117"/>
      <c r="AT97" s="117"/>
      <c r="AU97" s="117"/>
    </row>
    <row r="98" spans="1:47" x14ac:dyDescent="0.2">
      <c r="A98" s="21"/>
      <c r="B98" s="21"/>
      <c r="C98" s="21"/>
      <c r="D98" s="21"/>
      <c r="E98" s="21"/>
      <c r="F98" s="21"/>
      <c r="G98" s="21"/>
      <c r="H98" s="24"/>
      <c r="I98" s="21"/>
      <c r="J98" s="100"/>
      <c r="K98" s="101"/>
      <c r="L98" s="100"/>
      <c r="M98" s="101"/>
      <c r="N98" s="101"/>
      <c r="O98" s="101"/>
      <c r="P98" s="101"/>
      <c r="R98" s="101"/>
      <c r="S98" s="101"/>
      <c r="T98" s="48"/>
      <c r="U98" s="101"/>
      <c r="V98" s="117"/>
      <c r="W98" s="101"/>
      <c r="X98" s="117"/>
      <c r="Y98" s="117"/>
      <c r="Z98" s="117"/>
      <c r="AA98" s="198"/>
      <c r="AB98" s="117"/>
      <c r="AC98" s="117"/>
      <c r="AD98" s="117"/>
      <c r="AE98" s="117"/>
      <c r="AF98" s="117"/>
      <c r="AG98" s="117"/>
      <c r="AH98" s="117"/>
      <c r="AI98" s="117"/>
      <c r="AJ98" s="117"/>
      <c r="AK98" s="117"/>
      <c r="AL98" s="117"/>
      <c r="AM98" s="117"/>
      <c r="AN98" s="116"/>
      <c r="AP98" s="117"/>
      <c r="AQ98" s="117"/>
      <c r="AR98" s="117"/>
      <c r="AS98" s="117"/>
      <c r="AT98" s="117"/>
      <c r="AU98" s="117"/>
    </row>
    <row r="99" spans="1:47" x14ac:dyDescent="0.2">
      <c r="A99" s="21"/>
      <c r="B99" s="21"/>
      <c r="C99" s="21"/>
      <c r="D99" s="21"/>
      <c r="E99" s="21"/>
      <c r="F99" s="21"/>
      <c r="G99" s="21"/>
      <c r="H99" s="24"/>
      <c r="I99" s="21"/>
      <c r="J99" s="100"/>
      <c r="K99" s="101"/>
      <c r="L99" s="100"/>
      <c r="M99" s="101"/>
      <c r="N99" s="101"/>
      <c r="O99" s="101"/>
      <c r="P99" s="101"/>
      <c r="R99" s="101"/>
      <c r="S99" s="101"/>
      <c r="T99" s="48"/>
      <c r="U99" s="101"/>
      <c r="V99" s="117"/>
      <c r="W99" s="101"/>
      <c r="X99" s="117"/>
      <c r="Y99" s="117"/>
      <c r="Z99" s="117"/>
      <c r="AA99" s="198"/>
      <c r="AB99" s="117"/>
      <c r="AC99" s="117"/>
      <c r="AD99" s="117"/>
      <c r="AE99" s="117"/>
      <c r="AF99" s="117"/>
      <c r="AG99" s="117"/>
      <c r="AH99" s="117"/>
      <c r="AI99" s="117"/>
      <c r="AJ99" s="117"/>
      <c r="AK99" s="117"/>
      <c r="AL99" s="117"/>
      <c r="AM99" s="117"/>
      <c r="AN99" s="116"/>
      <c r="AP99" s="117"/>
      <c r="AQ99" s="117"/>
      <c r="AR99" s="117"/>
      <c r="AS99" s="117"/>
      <c r="AT99" s="117"/>
      <c r="AU99" s="117"/>
    </row>
    <row r="100" spans="1:47" x14ac:dyDescent="0.2">
      <c r="A100" s="21"/>
      <c r="B100" s="21"/>
      <c r="C100" s="21"/>
      <c r="D100" s="21"/>
      <c r="E100" s="21"/>
      <c r="F100" s="21"/>
      <c r="G100" s="21"/>
      <c r="H100" s="24"/>
      <c r="I100" s="21"/>
      <c r="J100" s="100"/>
      <c r="K100" s="101"/>
      <c r="L100" s="100"/>
      <c r="M100" s="101"/>
      <c r="N100" s="101"/>
      <c r="O100" s="101"/>
      <c r="P100" s="101"/>
      <c r="R100" s="101"/>
      <c r="S100" s="101"/>
      <c r="T100" s="48"/>
      <c r="U100" s="101"/>
      <c r="V100" s="117"/>
      <c r="W100" s="101"/>
      <c r="X100" s="117"/>
      <c r="Y100" s="117"/>
      <c r="Z100" s="117"/>
      <c r="AA100" s="198"/>
      <c r="AB100" s="117"/>
      <c r="AC100" s="117"/>
      <c r="AD100" s="117"/>
      <c r="AE100" s="117"/>
      <c r="AF100" s="117"/>
      <c r="AG100" s="117"/>
      <c r="AH100" s="117"/>
      <c r="AI100" s="117"/>
      <c r="AJ100" s="117"/>
      <c r="AK100" s="117"/>
      <c r="AL100" s="117"/>
      <c r="AM100" s="117"/>
      <c r="AN100" s="116"/>
      <c r="AP100" s="117"/>
      <c r="AQ100" s="117"/>
      <c r="AR100" s="117"/>
      <c r="AS100" s="117"/>
      <c r="AT100" s="117"/>
      <c r="AU100" s="117"/>
    </row>
    <row r="101" spans="1:47" x14ac:dyDescent="0.2">
      <c r="A101" s="21"/>
      <c r="B101" s="21"/>
      <c r="C101" s="21"/>
      <c r="D101" s="21"/>
      <c r="E101" s="21"/>
      <c r="F101" s="21"/>
      <c r="G101" s="21"/>
      <c r="H101" s="24"/>
      <c r="I101" s="21"/>
      <c r="J101" s="100"/>
      <c r="K101" s="101"/>
      <c r="L101" s="100"/>
      <c r="M101" s="101"/>
      <c r="N101" s="101"/>
      <c r="O101" s="101"/>
      <c r="P101" s="101"/>
      <c r="R101" s="101"/>
      <c r="S101" s="101"/>
      <c r="T101" s="48"/>
      <c r="U101" s="101"/>
      <c r="V101" s="117"/>
      <c r="W101" s="101"/>
      <c r="X101" s="117"/>
      <c r="Y101" s="117"/>
      <c r="Z101" s="117"/>
      <c r="AA101" s="198"/>
      <c r="AB101" s="117"/>
      <c r="AC101" s="117"/>
      <c r="AD101" s="117"/>
      <c r="AE101" s="117"/>
      <c r="AF101" s="117"/>
      <c r="AG101" s="117"/>
      <c r="AH101" s="117"/>
      <c r="AI101" s="117"/>
      <c r="AJ101" s="117"/>
      <c r="AK101" s="117"/>
      <c r="AL101" s="117"/>
      <c r="AM101" s="117"/>
      <c r="AN101" s="116"/>
      <c r="AP101" s="117"/>
      <c r="AQ101" s="117"/>
      <c r="AR101" s="117"/>
      <c r="AS101" s="117"/>
      <c r="AT101" s="117"/>
      <c r="AU101" s="117"/>
    </row>
    <row r="102" spans="1:47" x14ac:dyDescent="0.2">
      <c r="A102" s="21"/>
      <c r="B102" s="21"/>
      <c r="C102" s="21"/>
      <c r="D102" s="21"/>
      <c r="E102" s="21"/>
      <c r="F102" s="21"/>
      <c r="G102" s="21"/>
      <c r="H102" s="24"/>
      <c r="I102" s="21"/>
      <c r="J102" s="100"/>
      <c r="K102" s="101"/>
      <c r="L102" s="100"/>
      <c r="M102" s="101"/>
      <c r="N102" s="101"/>
      <c r="O102" s="101"/>
      <c r="P102" s="101"/>
      <c r="R102" s="101"/>
      <c r="S102" s="101"/>
      <c r="T102" s="48"/>
      <c r="U102" s="101"/>
      <c r="V102" s="117"/>
      <c r="W102" s="101"/>
      <c r="X102" s="117"/>
      <c r="Y102" s="117"/>
      <c r="Z102" s="117"/>
      <c r="AA102" s="198"/>
      <c r="AB102" s="117"/>
      <c r="AC102" s="117"/>
      <c r="AD102" s="117"/>
      <c r="AE102" s="117"/>
      <c r="AF102" s="117"/>
      <c r="AG102" s="117"/>
      <c r="AH102" s="117"/>
      <c r="AI102" s="117"/>
      <c r="AJ102" s="117"/>
      <c r="AK102" s="117"/>
      <c r="AL102" s="117"/>
      <c r="AM102" s="117"/>
      <c r="AN102" s="116"/>
      <c r="AP102" s="117"/>
      <c r="AQ102" s="117"/>
      <c r="AR102" s="117"/>
      <c r="AS102" s="117"/>
      <c r="AT102" s="117"/>
      <c r="AU102" s="117"/>
    </row>
    <row r="103" spans="1:47" x14ac:dyDescent="0.2">
      <c r="A103" s="21"/>
      <c r="B103" s="21"/>
      <c r="C103" s="21"/>
      <c r="D103" s="21"/>
      <c r="E103" s="21"/>
      <c r="F103" s="21"/>
      <c r="G103" s="21"/>
      <c r="H103" s="24"/>
      <c r="I103" s="21"/>
      <c r="J103" s="100"/>
      <c r="K103" s="101"/>
      <c r="L103" s="100"/>
      <c r="M103" s="101"/>
      <c r="N103" s="101"/>
      <c r="O103" s="101"/>
      <c r="P103" s="101"/>
      <c r="R103" s="101"/>
      <c r="S103" s="101"/>
      <c r="T103" s="48"/>
      <c r="U103" s="101"/>
      <c r="V103" s="117"/>
      <c r="W103" s="101"/>
      <c r="X103" s="117"/>
      <c r="Y103" s="117"/>
      <c r="Z103" s="117"/>
      <c r="AA103" s="198"/>
      <c r="AB103" s="117"/>
      <c r="AC103" s="117"/>
      <c r="AD103" s="117"/>
      <c r="AE103" s="117"/>
      <c r="AF103" s="117"/>
      <c r="AG103" s="117"/>
      <c r="AH103" s="117"/>
      <c r="AI103" s="117"/>
      <c r="AJ103" s="117"/>
      <c r="AK103" s="117"/>
      <c r="AL103" s="117"/>
      <c r="AM103" s="117"/>
      <c r="AN103" s="116"/>
      <c r="AP103" s="117"/>
      <c r="AQ103" s="117"/>
      <c r="AR103" s="117"/>
      <c r="AS103" s="117"/>
      <c r="AT103" s="117"/>
      <c r="AU103" s="117"/>
    </row>
    <row r="104" spans="1:47" x14ac:dyDescent="0.2">
      <c r="A104" s="21"/>
      <c r="B104" s="21"/>
      <c r="C104" s="21"/>
      <c r="D104" s="21"/>
      <c r="E104" s="21"/>
      <c r="F104" s="21"/>
      <c r="G104" s="21"/>
      <c r="H104" s="24"/>
      <c r="I104" s="21"/>
      <c r="J104" s="100"/>
      <c r="K104" s="101"/>
      <c r="L104" s="100"/>
      <c r="M104" s="101"/>
      <c r="N104" s="101"/>
      <c r="O104" s="101"/>
      <c r="P104" s="101"/>
      <c r="R104" s="101"/>
      <c r="S104" s="101"/>
      <c r="T104" s="48"/>
      <c r="U104" s="101"/>
      <c r="V104" s="117"/>
      <c r="W104" s="101"/>
      <c r="X104" s="117"/>
      <c r="Y104" s="117"/>
      <c r="Z104" s="117"/>
      <c r="AA104" s="198"/>
      <c r="AB104" s="117"/>
      <c r="AC104" s="117"/>
      <c r="AD104" s="117"/>
      <c r="AE104" s="117"/>
      <c r="AF104" s="117"/>
      <c r="AG104" s="117"/>
      <c r="AH104" s="117"/>
      <c r="AI104" s="117"/>
      <c r="AJ104" s="117"/>
      <c r="AK104" s="117"/>
      <c r="AL104" s="117"/>
      <c r="AM104" s="117"/>
      <c r="AN104" s="116"/>
      <c r="AP104" s="117"/>
      <c r="AQ104" s="117"/>
      <c r="AR104" s="117"/>
      <c r="AS104" s="117"/>
      <c r="AT104" s="117"/>
      <c r="AU104" s="117"/>
    </row>
    <row r="105" spans="1:47" x14ac:dyDescent="0.2">
      <c r="A105" s="21"/>
      <c r="B105" s="21"/>
      <c r="C105" s="21"/>
      <c r="D105" s="21"/>
      <c r="E105" s="21"/>
      <c r="F105" s="21"/>
      <c r="G105" s="21"/>
      <c r="H105" s="24"/>
      <c r="I105" s="21"/>
      <c r="J105" s="100"/>
      <c r="K105" s="101"/>
      <c r="L105" s="100"/>
      <c r="M105" s="101"/>
      <c r="N105" s="101"/>
      <c r="O105" s="101"/>
      <c r="P105" s="101"/>
      <c r="R105" s="101"/>
      <c r="S105" s="101"/>
      <c r="T105" s="48"/>
      <c r="U105" s="101"/>
      <c r="V105" s="117"/>
      <c r="W105" s="101"/>
      <c r="X105" s="117"/>
      <c r="Y105" s="117"/>
      <c r="Z105" s="117"/>
      <c r="AA105" s="198"/>
      <c r="AB105" s="117"/>
      <c r="AC105" s="117"/>
      <c r="AD105" s="117"/>
      <c r="AE105" s="117"/>
      <c r="AF105" s="117"/>
      <c r="AG105" s="117"/>
      <c r="AH105" s="117"/>
      <c r="AI105" s="117"/>
      <c r="AJ105" s="117"/>
      <c r="AK105" s="117"/>
      <c r="AL105" s="117"/>
      <c r="AM105" s="117"/>
      <c r="AN105" s="116"/>
      <c r="AP105" s="117"/>
      <c r="AQ105" s="117"/>
      <c r="AR105" s="117"/>
      <c r="AS105" s="117"/>
      <c r="AT105" s="117"/>
      <c r="AU105" s="117"/>
    </row>
    <row r="106" spans="1:47" x14ac:dyDescent="0.2">
      <c r="A106" s="21"/>
      <c r="B106" s="21"/>
      <c r="C106" s="21"/>
      <c r="D106" s="21"/>
      <c r="E106" s="21"/>
      <c r="F106" s="21"/>
      <c r="G106" s="21"/>
      <c r="H106" s="24"/>
      <c r="I106" s="21"/>
      <c r="J106" s="100"/>
      <c r="K106" s="101"/>
      <c r="L106" s="100"/>
      <c r="M106" s="101"/>
      <c r="N106" s="101"/>
      <c r="O106" s="101"/>
      <c r="P106" s="101"/>
      <c r="R106" s="101"/>
      <c r="S106" s="101"/>
      <c r="T106" s="48"/>
      <c r="U106" s="101"/>
      <c r="V106" s="117"/>
      <c r="W106" s="101"/>
      <c r="X106" s="117"/>
      <c r="Y106" s="117"/>
      <c r="Z106" s="117"/>
      <c r="AA106" s="198"/>
      <c r="AB106" s="117"/>
      <c r="AC106" s="117"/>
      <c r="AD106" s="117"/>
      <c r="AE106" s="117"/>
      <c r="AF106" s="117"/>
      <c r="AG106" s="117"/>
      <c r="AH106" s="117"/>
      <c r="AI106" s="117"/>
      <c r="AJ106" s="117"/>
      <c r="AK106" s="117"/>
      <c r="AL106" s="117"/>
      <c r="AM106" s="117"/>
      <c r="AN106" s="116"/>
      <c r="AP106" s="117"/>
      <c r="AQ106" s="117"/>
      <c r="AR106" s="117"/>
      <c r="AS106" s="117"/>
      <c r="AT106" s="117"/>
      <c r="AU106" s="117"/>
    </row>
    <row r="107" spans="1:47" x14ac:dyDescent="0.2">
      <c r="A107" s="21"/>
      <c r="B107" s="21"/>
      <c r="C107" s="21"/>
      <c r="D107" s="21"/>
      <c r="E107" s="21"/>
      <c r="F107" s="21"/>
      <c r="G107" s="21"/>
      <c r="H107" s="24"/>
      <c r="I107" s="21"/>
      <c r="J107" s="100"/>
      <c r="K107" s="101"/>
      <c r="L107" s="100"/>
      <c r="M107" s="101"/>
      <c r="N107" s="101"/>
      <c r="O107" s="101"/>
      <c r="P107" s="101"/>
      <c r="R107" s="101"/>
      <c r="S107" s="101"/>
      <c r="T107" s="48"/>
      <c r="U107" s="101"/>
      <c r="V107" s="117"/>
      <c r="W107" s="101"/>
      <c r="X107" s="117"/>
      <c r="Y107" s="117"/>
      <c r="Z107" s="117"/>
      <c r="AA107" s="198"/>
      <c r="AB107" s="117"/>
      <c r="AC107" s="117"/>
      <c r="AD107" s="117"/>
      <c r="AE107" s="117"/>
      <c r="AF107" s="117"/>
      <c r="AG107" s="117"/>
      <c r="AH107" s="117"/>
      <c r="AI107" s="117"/>
      <c r="AJ107" s="117"/>
      <c r="AK107" s="117"/>
      <c r="AL107" s="117"/>
      <c r="AM107" s="117"/>
      <c r="AN107" s="116"/>
      <c r="AP107" s="117"/>
      <c r="AQ107" s="117"/>
      <c r="AR107" s="117"/>
      <c r="AS107" s="117"/>
      <c r="AT107" s="117"/>
      <c r="AU107" s="117"/>
    </row>
    <row r="108" spans="1:47" x14ac:dyDescent="0.2">
      <c r="A108" s="21"/>
      <c r="B108" s="21"/>
      <c r="C108" s="21"/>
      <c r="D108" s="21"/>
      <c r="E108" s="21"/>
      <c r="F108" s="21"/>
      <c r="G108" s="21"/>
      <c r="H108" s="24"/>
      <c r="I108" s="21"/>
      <c r="J108" s="100"/>
      <c r="K108" s="101"/>
      <c r="L108" s="100"/>
      <c r="M108" s="101"/>
      <c r="N108" s="101"/>
      <c r="O108" s="101"/>
      <c r="P108" s="101"/>
      <c r="R108" s="101"/>
      <c r="S108" s="101"/>
      <c r="T108" s="48"/>
      <c r="U108" s="101"/>
      <c r="V108" s="117"/>
      <c r="W108" s="101"/>
      <c r="X108" s="117"/>
      <c r="Y108" s="117"/>
      <c r="Z108" s="117"/>
      <c r="AA108" s="198"/>
      <c r="AB108" s="117"/>
      <c r="AC108" s="117"/>
      <c r="AD108" s="117"/>
      <c r="AE108" s="117"/>
      <c r="AF108" s="117"/>
      <c r="AG108" s="117"/>
      <c r="AH108" s="117"/>
      <c r="AI108" s="117"/>
      <c r="AJ108" s="117"/>
      <c r="AK108" s="117"/>
      <c r="AL108" s="117"/>
      <c r="AM108" s="117"/>
      <c r="AN108" s="116"/>
      <c r="AP108" s="117"/>
      <c r="AQ108" s="117"/>
      <c r="AR108" s="117"/>
      <c r="AS108" s="117"/>
      <c r="AT108" s="117"/>
      <c r="AU108" s="117"/>
    </row>
    <row r="109" spans="1:47" x14ac:dyDescent="0.2">
      <c r="A109" s="21"/>
      <c r="B109" s="21"/>
      <c r="C109" s="21"/>
      <c r="D109" s="21"/>
      <c r="E109" s="21"/>
      <c r="F109" s="21"/>
      <c r="G109" s="21"/>
      <c r="H109" s="24"/>
      <c r="I109" s="21"/>
      <c r="J109" s="100"/>
      <c r="K109" s="101"/>
      <c r="L109" s="100"/>
      <c r="M109" s="101"/>
      <c r="N109" s="101"/>
      <c r="O109" s="101"/>
      <c r="P109" s="101"/>
      <c r="R109" s="101"/>
      <c r="S109" s="101"/>
      <c r="T109" s="48"/>
      <c r="U109" s="101"/>
      <c r="V109" s="117"/>
      <c r="W109" s="101"/>
      <c r="X109" s="117"/>
      <c r="Y109" s="117"/>
      <c r="Z109" s="117"/>
      <c r="AA109" s="198"/>
      <c r="AB109" s="117"/>
      <c r="AC109" s="117"/>
      <c r="AD109" s="117"/>
      <c r="AE109" s="117"/>
      <c r="AF109" s="117"/>
      <c r="AG109" s="117"/>
      <c r="AH109" s="117"/>
      <c r="AI109" s="117"/>
      <c r="AJ109" s="117"/>
      <c r="AK109" s="117"/>
      <c r="AL109" s="117"/>
      <c r="AM109" s="117"/>
      <c r="AN109" s="116"/>
      <c r="AP109" s="117"/>
      <c r="AQ109" s="117"/>
      <c r="AR109" s="117"/>
      <c r="AS109" s="117"/>
      <c r="AT109" s="117"/>
      <c r="AU109" s="117"/>
    </row>
    <row r="110" spans="1:47" x14ac:dyDescent="0.2">
      <c r="A110" s="21"/>
      <c r="B110" s="21"/>
      <c r="C110" s="21"/>
      <c r="D110" s="21"/>
      <c r="E110" s="21"/>
      <c r="F110" s="21"/>
      <c r="G110" s="21"/>
      <c r="H110" s="24"/>
      <c r="I110" s="21"/>
      <c r="J110" s="100"/>
      <c r="K110" s="101"/>
      <c r="L110" s="100"/>
      <c r="M110" s="101"/>
      <c r="N110" s="101"/>
      <c r="O110" s="101"/>
      <c r="P110" s="101"/>
      <c r="R110" s="101"/>
      <c r="S110" s="101"/>
      <c r="T110" s="48"/>
      <c r="U110" s="101"/>
      <c r="V110" s="117"/>
      <c r="W110" s="101"/>
      <c r="X110" s="117"/>
      <c r="Y110" s="117"/>
      <c r="Z110" s="117"/>
      <c r="AA110" s="198"/>
      <c r="AB110" s="117"/>
      <c r="AC110" s="117"/>
      <c r="AD110" s="117"/>
      <c r="AE110" s="117"/>
      <c r="AF110" s="117"/>
      <c r="AG110" s="117"/>
      <c r="AH110" s="117"/>
      <c r="AI110" s="117"/>
      <c r="AJ110" s="117"/>
      <c r="AK110" s="117"/>
      <c r="AL110" s="117"/>
      <c r="AM110" s="117"/>
      <c r="AN110" s="116"/>
      <c r="AP110" s="117"/>
      <c r="AQ110" s="117"/>
      <c r="AR110" s="117"/>
      <c r="AS110" s="117"/>
      <c r="AT110" s="117"/>
      <c r="AU110" s="117"/>
    </row>
    <row r="111" spans="1:47" x14ac:dyDescent="0.2">
      <c r="A111" s="21"/>
      <c r="B111" s="21"/>
      <c r="C111" s="21"/>
      <c r="D111" s="21"/>
      <c r="E111" s="21"/>
      <c r="F111" s="21"/>
      <c r="G111" s="21"/>
      <c r="H111" s="24"/>
      <c r="I111" s="21"/>
      <c r="J111" s="100"/>
      <c r="K111" s="101"/>
      <c r="L111" s="100"/>
      <c r="M111" s="101"/>
      <c r="N111" s="101"/>
      <c r="O111" s="101"/>
      <c r="P111" s="101"/>
      <c r="R111" s="101"/>
      <c r="S111" s="101"/>
      <c r="T111" s="48"/>
      <c r="U111" s="101"/>
      <c r="V111" s="117"/>
      <c r="W111" s="101"/>
      <c r="X111" s="117"/>
      <c r="Y111" s="117"/>
      <c r="Z111" s="117"/>
      <c r="AA111" s="198"/>
      <c r="AB111" s="117"/>
      <c r="AC111" s="117"/>
      <c r="AD111" s="117"/>
      <c r="AE111" s="117"/>
      <c r="AF111" s="117"/>
      <c r="AG111" s="117"/>
      <c r="AH111" s="117"/>
      <c r="AI111" s="117"/>
      <c r="AJ111" s="117"/>
      <c r="AK111" s="117"/>
      <c r="AL111" s="117"/>
      <c r="AM111" s="117"/>
      <c r="AN111" s="116"/>
      <c r="AP111" s="117"/>
      <c r="AQ111" s="117"/>
      <c r="AR111" s="117"/>
      <c r="AS111" s="117"/>
      <c r="AT111" s="117"/>
      <c r="AU111" s="117"/>
    </row>
    <row r="112" spans="1:47" x14ac:dyDescent="0.2">
      <c r="A112" s="21"/>
      <c r="B112" s="21"/>
      <c r="C112" s="21"/>
      <c r="D112" s="21"/>
      <c r="E112" s="21"/>
      <c r="F112" s="21"/>
      <c r="G112" s="21"/>
      <c r="H112" s="24"/>
      <c r="I112" s="21"/>
      <c r="J112" s="100"/>
      <c r="K112" s="101"/>
      <c r="L112" s="100"/>
      <c r="M112" s="101"/>
      <c r="N112" s="101"/>
      <c r="O112" s="101"/>
      <c r="P112" s="101"/>
      <c r="R112" s="101"/>
      <c r="S112" s="101"/>
      <c r="T112" s="48"/>
      <c r="U112" s="101"/>
      <c r="V112" s="117"/>
      <c r="W112" s="101"/>
      <c r="X112" s="117"/>
      <c r="Y112" s="117"/>
      <c r="Z112" s="117"/>
      <c r="AA112" s="198"/>
      <c r="AB112" s="117"/>
      <c r="AC112" s="117"/>
      <c r="AD112" s="117"/>
      <c r="AE112" s="117"/>
      <c r="AF112" s="117"/>
      <c r="AG112" s="117"/>
      <c r="AH112" s="117"/>
      <c r="AI112" s="117"/>
      <c r="AJ112" s="117"/>
      <c r="AK112" s="117"/>
      <c r="AL112" s="117"/>
      <c r="AM112" s="117"/>
      <c r="AN112" s="116"/>
      <c r="AP112" s="117"/>
      <c r="AQ112" s="117"/>
      <c r="AR112" s="117"/>
      <c r="AS112" s="117"/>
      <c r="AT112" s="117"/>
      <c r="AU112" s="117"/>
    </row>
    <row r="113" spans="1:47" x14ac:dyDescent="0.2">
      <c r="A113" s="21"/>
      <c r="B113" s="21"/>
      <c r="C113" s="21"/>
      <c r="D113" s="21"/>
      <c r="E113" s="21"/>
      <c r="F113" s="21"/>
      <c r="G113" s="21"/>
      <c r="H113" s="24"/>
      <c r="I113" s="21"/>
      <c r="J113" s="100"/>
      <c r="K113" s="101"/>
      <c r="L113" s="100"/>
      <c r="M113" s="101"/>
      <c r="N113" s="101"/>
      <c r="O113" s="101"/>
      <c r="P113" s="101"/>
      <c r="R113" s="101"/>
      <c r="S113" s="101"/>
      <c r="T113" s="48"/>
      <c r="U113" s="101"/>
      <c r="V113" s="117"/>
      <c r="W113" s="101"/>
      <c r="X113" s="117"/>
      <c r="Y113" s="117"/>
      <c r="Z113" s="117"/>
      <c r="AA113" s="198"/>
      <c r="AB113" s="117"/>
      <c r="AC113" s="117"/>
      <c r="AD113" s="117"/>
      <c r="AE113" s="117"/>
      <c r="AF113" s="117"/>
      <c r="AG113" s="117"/>
      <c r="AH113" s="117"/>
      <c r="AI113" s="117"/>
      <c r="AJ113" s="117"/>
      <c r="AK113" s="117"/>
      <c r="AL113" s="117"/>
      <c r="AM113" s="117"/>
      <c r="AN113" s="116"/>
      <c r="AP113" s="117"/>
      <c r="AQ113" s="117"/>
      <c r="AR113" s="117"/>
      <c r="AS113" s="117"/>
      <c r="AT113" s="117"/>
      <c r="AU113" s="117"/>
    </row>
    <row r="114" spans="1:47" x14ac:dyDescent="0.2">
      <c r="A114" s="21"/>
      <c r="B114" s="21"/>
      <c r="C114" s="21"/>
      <c r="D114" s="21"/>
      <c r="E114" s="21"/>
      <c r="F114" s="21"/>
      <c r="G114" s="21"/>
      <c r="H114" s="24"/>
      <c r="I114" s="21"/>
      <c r="J114" s="100"/>
      <c r="K114" s="101"/>
      <c r="L114" s="100"/>
      <c r="M114" s="101"/>
      <c r="N114" s="101"/>
      <c r="O114" s="101"/>
      <c r="P114" s="101"/>
      <c r="R114" s="101"/>
      <c r="S114" s="101"/>
      <c r="T114" s="48"/>
      <c r="U114" s="101"/>
      <c r="V114" s="117"/>
      <c r="W114" s="101"/>
      <c r="X114" s="117"/>
      <c r="Y114" s="117"/>
      <c r="Z114" s="117"/>
      <c r="AA114" s="198"/>
      <c r="AB114" s="117"/>
      <c r="AC114" s="117"/>
      <c r="AD114" s="117"/>
      <c r="AE114" s="117"/>
      <c r="AF114" s="117"/>
      <c r="AG114" s="117"/>
      <c r="AH114" s="117"/>
      <c r="AI114" s="117"/>
      <c r="AJ114" s="117"/>
      <c r="AK114" s="117"/>
      <c r="AL114" s="117"/>
      <c r="AM114" s="117"/>
      <c r="AN114" s="116"/>
      <c r="AP114" s="117"/>
      <c r="AQ114" s="117"/>
      <c r="AR114" s="117"/>
      <c r="AS114" s="117"/>
      <c r="AT114" s="117"/>
      <c r="AU114" s="117"/>
    </row>
    <row r="115" spans="1:47" x14ac:dyDescent="0.2">
      <c r="A115" s="21"/>
      <c r="B115" s="21"/>
      <c r="C115" s="21"/>
      <c r="D115" s="21"/>
      <c r="E115" s="21"/>
      <c r="F115" s="21"/>
      <c r="G115" s="21"/>
      <c r="H115" s="24"/>
      <c r="I115" s="21"/>
      <c r="J115" s="100"/>
      <c r="K115" s="101"/>
      <c r="L115" s="100"/>
      <c r="M115" s="101"/>
      <c r="N115" s="101"/>
      <c r="O115" s="101"/>
      <c r="P115" s="101"/>
      <c r="R115" s="101"/>
      <c r="S115" s="101"/>
      <c r="T115" s="48"/>
      <c r="U115" s="101"/>
      <c r="V115" s="117"/>
      <c r="W115" s="101"/>
      <c r="X115" s="117"/>
      <c r="Y115" s="117"/>
      <c r="Z115" s="117"/>
      <c r="AA115" s="198"/>
      <c r="AB115" s="117"/>
      <c r="AC115" s="117"/>
      <c r="AD115" s="117"/>
      <c r="AE115" s="117"/>
      <c r="AF115" s="117"/>
      <c r="AG115" s="117"/>
      <c r="AH115" s="117"/>
      <c r="AI115" s="117"/>
      <c r="AJ115" s="117"/>
      <c r="AK115" s="117"/>
      <c r="AL115" s="117"/>
      <c r="AM115" s="117"/>
      <c r="AN115" s="116"/>
      <c r="AP115" s="117"/>
      <c r="AQ115" s="117"/>
      <c r="AR115" s="117"/>
      <c r="AS115" s="117"/>
      <c r="AT115" s="117"/>
      <c r="AU115" s="117"/>
    </row>
    <row r="116" spans="1:47" x14ac:dyDescent="0.2">
      <c r="A116" s="21"/>
      <c r="B116" s="21"/>
      <c r="C116" s="21"/>
      <c r="D116" s="21"/>
      <c r="E116" s="21"/>
      <c r="F116" s="21"/>
      <c r="G116" s="21"/>
      <c r="H116" s="24"/>
      <c r="I116" s="21"/>
      <c r="J116" s="100"/>
      <c r="K116" s="101"/>
      <c r="L116" s="100"/>
      <c r="M116" s="101"/>
      <c r="N116" s="101"/>
      <c r="O116" s="101"/>
      <c r="P116" s="101"/>
      <c r="R116" s="101"/>
      <c r="S116" s="101"/>
      <c r="T116" s="48"/>
      <c r="U116" s="101"/>
      <c r="V116" s="117"/>
      <c r="W116" s="101"/>
      <c r="X116" s="117"/>
      <c r="Y116" s="117"/>
      <c r="Z116" s="117"/>
      <c r="AA116" s="198"/>
      <c r="AB116" s="117"/>
      <c r="AC116" s="117"/>
      <c r="AD116" s="117"/>
      <c r="AE116" s="117"/>
      <c r="AF116" s="117"/>
      <c r="AG116" s="117"/>
      <c r="AH116" s="117"/>
      <c r="AI116" s="117"/>
      <c r="AJ116" s="117"/>
      <c r="AK116" s="117"/>
      <c r="AL116" s="117"/>
      <c r="AM116" s="117"/>
      <c r="AN116" s="116"/>
      <c r="AP116" s="117"/>
      <c r="AQ116" s="117"/>
      <c r="AR116" s="117"/>
      <c r="AS116" s="117"/>
      <c r="AT116" s="117"/>
      <c r="AU116" s="117"/>
    </row>
    <row r="117" spans="1:47" x14ac:dyDescent="0.2">
      <c r="A117" s="21"/>
      <c r="B117" s="21"/>
      <c r="C117" s="21"/>
      <c r="D117" s="21"/>
      <c r="E117" s="21"/>
      <c r="F117" s="21"/>
      <c r="G117" s="21"/>
      <c r="H117" s="24"/>
      <c r="I117" s="21"/>
      <c r="J117" s="100"/>
      <c r="K117" s="101"/>
      <c r="L117" s="100"/>
      <c r="M117" s="101"/>
      <c r="N117" s="101"/>
      <c r="O117" s="101"/>
      <c r="P117" s="101"/>
      <c r="R117" s="101"/>
      <c r="S117" s="101"/>
      <c r="T117" s="48"/>
      <c r="U117" s="101"/>
      <c r="V117" s="117"/>
      <c r="W117" s="101"/>
      <c r="X117" s="117"/>
      <c r="Y117" s="117"/>
      <c r="Z117" s="117"/>
      <c r="AA117" s="198"/>
      <c r="AB117" s="117"/>
      <c r="AC117" s="117"/>
      <c r="AD117" s="117"/>
      <c r="AE117" s="117"/>
      <c r="AF117" s="117"/>
      <c r="AG117" s="117"/>
      <c r="AH117" s="117"/>
      <c r="AI117" s="117"/>
      <c r="AJ117" s="117"/>
      <c r="AK117" s="117"/>
      <c r="AL117" s="117"/>
      <c r="AM117" s="117"/>
      <c r="AN117" s="116"/>
      <c r="AP117" s="117"/>
      <c r="AQ117" s="117"/>
      <c r="AR117" s="117"/>
      <c r="AS117" s="117"/>
      <c r="AT117" s="117"/>
      <c r="AU117" s="117"/>
    </row>
    <row r="118" spans="1:47" x14ac:dyDescent="0.2">
      <c r="A118" s="21"/>
      <c r="B118" s="21"/>
      <c r="C118" s="21"/>
      <c r="D118" s="21"/>
      <c r="E118" s="21"/>
      <c r="F118" s="21"/>
      <c r="G118" s="21"/>
      <c r="H118" s="24"/>
      <c r="I118" s="21"/>
      <c r="J118" s="100"/>
      <c r="K118" s="101"/>
      <c r="L118" s="100"/>
      <c r="M118" s="101"/>
      <c r="N118" s="101"/>
      <c r="O118" s="101"/>
      <c r="P118" s="101"/>
      <c r="R118" s="101"/>
      <c r="S118" s="101"/>
      <c r="T118" s="48"/>
      <c r="U118" s="101"/>
      <c r="V118" s="117"/>
      <c r="W118" s="101"/>
      <c r="X118" s="117"/>
      <c r="Y118" s="117"/>
      <c r="Z118" s="117"/>
      <c r="AA118" s="198"/>
      <c r="AB118" s="117"/>
      <c r="AC118" s="117"/>
      <c r="AD118" s="117"/>
      <c r="AE118" s="117"/>
      <c r="AF118" s="117"/>
      <c r="AG118" s="117"/>
      <c r="AH118" s="117"/>
      <c r="AI118" s="117"/>
      <c r="AJ118" s="117"/>
      <c r="AK118" s="117"/>
      <c r="AL118" s="117"/>
      <c r="AM118" s="117"/>
      <c r="AN118" s="116"/>
      <c r="AP118" s="117"/>
      <c r="AQ118" s="117"/>
      <c r="AR118" s="117"/>
      <c r="AS118" s="117"/>
      <c r="AT118" s="117"/>
      <c r="AU118" s="117"/>
    </row>
    <row r="119" spans="1:47" x14ac:dyDescent="0.2">
      <c r="A119" s="21"/>
      <c r="B119" s="21"/>
      <c r="C119" s="21"/>
      <c r="D119" s="21"/>
      <c r="E119" s="21"/>
      <c r="F119" s="21"/>
      <c r="G119" s="21"/>
      <c r="H119" s="24"/>
      <c r="I119" s="21"/>
      <c r="J119" s="100"/>
      <c r="K119" s="101"/>
      <c r="L119" s="100"/>
      <c r="M119" s="101"/>
      <c r="N119" s="101"/>
      <c r="O119" s="101"/>
      <c r="P119" s="101"/>
      <c r="R119" s="101"/>
      <c r="S119" s="101"/>
      <c r="T119" s="48"/>
      <c r="U119" s="101"/>
      <c r="V119" s="117"/>
      <c r="W119" s="101"/>
      <c r="X119" s="117"/>
      <c r="Y119" s="117"/>
      <c r="Z119" s="117"/>
      <c r="AA119" s="198"/>
      <c r="AB119" s="117"/>
      <c r="AC119" s="117"/>
      <c r="AD119" s="117"/>
      <c r="AE119" s="117"/>
      <c r="AF119" s="117"/>
      <c r="AG119" s="117"/>
      <c r="AH119" s="117"/>
      <c r="AI119" s="117"/>
      <c r="AJ119" s="117"/>
      <c r="AK119" s="117"/>
      <c r="AL119" s="117"/>
      <c r="AM119" s="117"/>
      <c r="AN119" s="116"/>
      <c r="AP119" s="117"/>
      <c r="AQ119" s="117"/>
      <c r="AR119" s="117"/>
      <c r="AS119" s="117"/>
      <c r="AT119" s="117"/>
      <c r="AU119" s="117"/>
    </row>
    <row r="120" spans="1:47" x14ac:dyDescent="0.2">
      <c r="A120" s="21"/>
      <c r="B120" s="21"/>
      <c r="C120" s="21"/>
      <c r="D120" s="21"/>
      <c r="E120" s="21"/>
      <c r="F120" s="21"/>
      <c r="G120" s="21"/>
      <c r="H120" s="24"/>
      <c r="I120" s="21"/>
      <c r="J120" s="100"/>
      <c r="K120" s="101"/>
      <c r="L120" s="100"/>
      <c r="M120" s="101"/>
      <c r="N120" s="101"/>
      <c r="O120" s="101"/>
      <c r="P120" s="101"/>
      <c r="R120" s="101"/>
      <c r="S120" s="101"/>
      <c r="T120" s="48"/>
      <c r="U120" s="101"/>
      <c r="V120" s="117"/>
      <c r="W120" s="101"/>
      <c r="X120" s="117"/>
      <c r="Y120" s="117"/>
      <c r="Z120" s="117"/>
      <c r="AA120" s="198"/>
      <c r="AB120" s="117"/>
      <c r="AC120" s="117"/>
      <c r="AD120" s="117"/>
      <c r="AE120" s="117"/>
      <c r="AF120" s="117"/>
      <c r="AG120" s="117"/>
      <c r="AH120" s="117"/>
      <c r="AI120" s="117"/>
      <c r="AJ120" s="117"/>
      <c r="AK120" s="117"/>
      <c r="AL120" s="117"/>
      <c r="AM120" s="117"/>
      <c r="AN120" s="116"/>
      <c r="AP120" s="117"/>
      <c r="AQ120" s="117"/>
      <c r="AR120" s="117"/>
      <c r="AS120" s="117"/>
      <c r="AT120" s="117"/>
      <c r="AU120" s="117"/>
    </row>
    <row r="121" spans="1:47" x14ac:dyDescent="0.2">
      <c r="A121" s="21"/>
      <c r="B121" s="21"/>
      <c r="C121" s="21"/>
      <c r="D121" s="21"/>
      <c r="E121" s="21"/>
      <c r="F121" s="21"/>
      <c r="G121" s="21"/>
      <c r="H121" s="24"/>
      <c r="I121" s="21"/>
      <c r="J121" s="100"/>
      <c r="K121" s="101"/>
      <c r="L121" s="100"/>
      <c r="M121" s="101"/>
      <c r="N121" s="101"/>
      <c r="O121" s="101"/>
      <c r="P121" s="101"/>
      <c r="R121" s="101"/>
      <c r="S121" s="101"/>
      <c r="T121" s="48"/>
      <c r="U121" s="101"/>
      <c r="V121" s="117"/>
      <c r="W121" s="101"/>
      <c r="X121" s="117"/>
      <c r="Y121" s="117"/>
      <c r="Z121" s="117"/>
      <c r="AA121" s="198"/>
      <c r="AB121" s="117"/>
      <c r="AC121" s="117"/>
      <c r="AD121" s="117"/>
      <c r="AE121" s="117"/>
      <c r="AF121" s="117"/>
      <c r="AG121" s="117"/>
      <c r="AH121" s="117"/>
      <c r="AI121" s="117"/>
      <c r="AJ121" s="117"/>
      <c r="AK121" s="117"/>
      <c r="AL121" s="117"/>
      <c r="AM121" s="117"/>
      <c r="AN121" s="116"/>
      <c r="AP121" s="117"/>
      <c r="AQ121" s="117"/>
      <c r="AR121" s="117"/>
      <c r="AS121" s="117"/>
      <c r="AT121" s="117"/>
      <c r="AU121" s="117"/>
    </row>
    <row r="122" spans="1:47" x14ac:dyDescent="0.2">
      <c r="A122" s="21"/>
      <c r="B122" s="21"/>
      <c r="C122" s="21"/>
      <c r="D122" s="21"/>
      <c r="E122" s="21"/>
      <c r="F122" s="21"/>
      <c r="G122" s="21"/>
      <c r="H122" s="24"/>
      <c r="I122" s="21"/>
      <c r="J122" s="100"/>
      <c r="K122" s="101"/>
      <c r="L122" s="100"/>
      <c r="M122" s="101"/>
      <c r="N122" s="101"/>
      <c r="O122" s="101"/>
      <c r="P122" s="101"/>
      <c r="R122" s="101"/>
      <c r="S122" s="101"/>
      <c r="T122" s="48"/>
      <c r="U122" s="101"/>
      <c r="V122" s="117"/>
      <c r="W122" s="101"/>
      <c r="X122" s="117"/>
      <c r="Y122" s="117"/>
      <c r="Z122" s="117"/>
      <c r="AA122" s="198"/>
      <c r="AB122" s="117"/>
      <c r="AC122" s="117"/>
      <c r="AD122" s="117"/>
      <c r="AE122" s="117"/>
      <c r="AF122" s="117"/>
      <c r="AG122" s="117"/>
      <c r="AH122" s="117"/>
      <c r="AI122" s="117"/>
      <c r="AJ122" s="117"/>
      <c r="AK122" s="117"/>
      <c r="AL122" s="117"/>
      <c r="AM122" s="117"/>
      <c r="AN122" s="116"/>
      <c r="AP122" s="117"/>
      <c r="AQ122" s="117"/>
      <c r="AR122" s="117"/>
      <c r="AS122" s="117"/>
      <c r="AT122" s="117"/>
      <c r="AU122" s="117"/>
    </row>
    <row r="123" spans="1:47" x14ac:dyDescent="0.2">
      <c r="A123" s="21"/>
      <c r="B123" s="21"/>
      <c r="C123" s="21"/>
      <c r="D123" s="21"/>
      <c r="E123" s="21"/>
      <c r="F123" s="21"/>
      <c r="G123" s="21"/>
      <c r="H123" s="24"/>
      <c r="I123" s="21"/>
      <c r="J123" s="100"/>
      <c r="K123" s="101"/>
      <c r="L123" s="100"/>
      <c r="M123" s="101"/>
      <c r="N123" s="101"/>
      <c r="O123" s="101"/>
      <c r="P123" s="101"/>
      <c r="R123" s="101"/>
      <c r="S123" s="101"/>
      <c r="T123" s="48"/>
      <c r="U123" s="101"/>
      <c r="V123" s="117"/>
      <c r="W123" s="101"/>
      <c r="X123" s="117"/>
      <c r="Y123" s="117"/>
      <c r="Z123" s="117"/>
      <c r="AA123" s="198"/>
      <c r="AB123" s="117"/>
      <c r="AC123" s="117"/>
      <c r="AD123" s="117"/>
      <c r="AE123" s="117"/>
      <c r="AF123" s="117"/>
      <c r="AG123" s="117"/>
      <c r="AH123" s="117"/>
      <c r="AI123" s="117"/>
      <c r="AJ123" s="117"/>
      <c r="AK123" s="117"/>
      <c r="AL123" s="117"/>
      <c r="AM123" s="117"/>
      <c r="AN123" s="116"/>
      <c r="AP123" s="117"/>
      <c r="AQ123" s="117"/>
      <c r="AR123" s="117"/>
      <c r="AS123" s="117"/>
      <c r="AT123" s="117"/>
      <c r="AU123" s="117"/>
    </row>
    <row r="124" spans="1:47" x14ac:dyDescent="0.2">
      <c r="A124" s="21"/>
      <c r="B124" s="21"/>
      <c r="C124" s="21"/>
      <c r="D124" s="21"/>
      <c r="E124" s="21"/>
      <c r="F124" s="21"/>
      <c r="G124" s="21"/>
      <c r="H124" s="24"/>
      <c r="I124" s="21"/>
      <c r="J124" s="100"/>
      <c r="K124" s="101"/>
      <c r="L124" s="100"/>
      <c r="M124" s="101"/>
      <c r="N124" s="101"/>
      <c r="O124" s="101"/>
      <c r="P124" s="101"/>
      <c r="R124" s="101"/>
      <c r="S124" s="101"/>
      <c r="T124" s="48"/>
      <c r="U124" s="101"/>
      <c r="V124" s="117"/>
      <c r="W124" s="101"/>
      <c r="X124" s="117"/>
      <c r="Y124" s="117"/>
      <c r="Z124" s="117"/>
      <c r="AA124" s="198"/>
      <c r="AB124" s="117"/>
      <c r="AC124" s="117"/>
      <c r="AD124" s="117"/>
      <c r="AE124" s="117"/>
      <c r="AF124" s="117"/>
      <c r="AG124" s="117"/>
      <c r="AH124" s="117"/>
      <c r="AI124" s="117"/>
      <c r="AJ124" s="117"/>
      <c r="AK124" s="117"/>
      <c r="AL124" s="117"/>
      <c r="AM124" s="117"/>
      <c r="AN124" s="116"/>
      <c r="AP124" s="117"/>
      <c r="AQ124" s="117"/>
      <c r="AR124" s="117"/>
      <c r="AS124" s="117"/>
      <c r="AT124" s="117"/>
      <c r="AU124" s="117"/>
    </row>
    <row r="125" spans="1:47" x14ac:dyDescent="0.2">
      <c r="A125" s="21"/>
      <c r="B125" s="21"/>
      <c r="C125" s="21"/>
      <c r="D125" s="21"/>
      <c r="E125" s="21"/>
      <c r="F125" s="21"/>
      <c r="G125" s="21"/>
      <c r="H125" s="24"/>
      <c r="I125" s="21"/>
      <c r="J125" s="100"/>
      <c r="K125" s="101"/>
      <c r="L125" s="100"/>
      <c r="M125" s="101"/>
      <c r="N125" s="101"/>
      <c r="O125" s="101"/>
      <c r="P125" s="101"/>
      <c r="R125" s="101"/>
      <c r="S125" s="101"/>
      <c r="T125" s="48"/>
      <c r="U125" s="101"/>
      <c r="V125" s="117"/>
      <c r="W125" s="101"/>
      <c r="X125" s="117"/>
      <c r="Y125" s="117"/>
      <c r="Z125" s="117"/>
      <c r="AA125" s="198"/>
      <c r="AB125" s="117"/>
      <c r="AC125" s="117"/>
      <c r="AD125" s="117"/>
      <c r="AE125" s="117"/>
      <c r="AF125" s="117"/>
      <c r="AG125" s="117"/>
      <c r="AH125" s="117"/>
      <c r="AI125" s="117"/>
      <c r="AJ125" s="117"/>
      <c r="AK125" s="117"/>
      <c r="AL125" s="117"/>
      <c r="AM125" s="117"/>
      <c r="AN125" s="116"/>
      <c r="AP125" s="117"/>
      <c r="AQ125" s="117"/>
      <c r="AR125" s="117"/>
      <c r="AS125" s="117"/>
      <c r="AT125" s="117"/>
      <c r="AU125" s="117"/>
    </row>
    <row r="126" spans="1:47" x14ac:dyDescent="0.2">
      <c r="A126" s="21"/>
      <c r="B126" s="21"/>
      <c r="C126" s="21"/>
      <c r="D126" s="21"/>
      <c r="E126" s="21"/>
      <c r="F126" s="21"/>
      <c r="G126" s="21"/>
      <c r="H126" s="24"/>
      <c r="I126" s="21"/>
      <c r="J126" s="100"/>
      <c r="K126" s="101"/>
      <c r="L126" s="100"/>
      <c r="M126" s="101"/>
      <c r="N126" s="101"/>
      <c r="O126" s="101"/>
      <c r="P126" s="101"/>
      <c r="R126" s="101"/>
      <c r="S126" s="101"/>
      <c r="T126" s="48"/>
      <c r="U126" s="101"/>
      <c r="V126" s="117"/>
      <c r="W126" s="101"/>
      <c r="X126" s="117"/>
      <c r="Y126" s="117"/>
      <c r="Z126" s="117"/>
      <c r="AA126" s="198"/>
      <c r="AB126" s="117"/>
      <c r="AC126" s="117"/>
      <c r="AD126" s="117"/>
      <c r="AE126" s="117"/>
      <c r="AF126" s="117"/>
      <c r="AG126" s="117"/>
      <c r="AH126" s="117"/>
      <c r="AI126" s="117"/>
      <c r="AJ126" s="117"/>
      <c r="AK126" s="117"/>
      <c r="AL126" s="117"/>
      <c r="AM126" s="117"/>
      <c r="AN126" s="116"/>
      <c r="AP126" s="117"/>
      <c r="AQ126" s="117"/>
      <c r="AR126" s="117"/>
      <c r="AS126" s="117"/>
      <c r="AT126" s="117"/>
      <c r="AU126" s="117"/>
    </row>
    <row r="127" spans="1:47" x14ac:dyDescent="0.2">
      <c r="A127" s="21"/>
      <c r="B127" s="21"/>
      <c r="C127" s="21"/>
      <c r="D127" s="21"/>
      <c r="E127" s="21"/>
      <c r="F127" s="21"/>
      <c r="G127" s="21"/>
      <c r="H127" s="24"/>
      <c r="I127" s="21"/>
      <c r="J127" s="100"/>
      <c r="K127" s="101"/>
      <c r="L127" s="100"/>
      <c r="M127" s="101"/>
      <c r="N127" s="101"/>
      <c r="O127" s="101"/>
      <c r="P127" s="101"/>
      <c r="R127" s="101"/>
      <c r="S127" s="101"/>
      <c r="T127" s="48"/>
      <c r="U127" s="101"/>
      <c r="V127" s="117"/>
      <c r="W127" s="101"/>
      <c r="X127" s="117"/>
      <c r="Y127" s="117"/>
      <c r="Z127" s="117"/>
      <c r="AA127" s="198"/>
      <c r="AB127" s="117"/>
      <c r="AC127" s="117"/>
      <c r="AD127" s="117"/>
      <c r="AE127" s="117"/>
      <c r="AF127" s="117"/>
      <c r="AG127" s="117"/>
      <c r="AH127" s="117"/>
      <c r="AI127" s="117"/>
      <c r="AJ127" s="117"/>
      <c r="AK127" s="117"/>
      <c r="AL127" s="117"/>
      <c r="AM127" s="117"/>
      <c r="AN127" s="116"/>
      <c r="AP127" s="117"/>
      <c r="AQ127" s="117"/>
      <c r="AR127" s="117"/>
      <c r="AS127" s="117"/>
      <c r="AT127" s="117"/>
      <c r="AU127" s="117"/>
    </row>
    <row r="128" spans="1:47" x14ac:dyDescent="0.2">
      <c r="A128" s="21"/>
      <c r="B128" s="21"/>
      <c r="C128" s="21"/>
      <c r="D128" s="21"/>
      <c r="E128" s="21"/>
      <c r="F128" s="21"/>
      <c r="G128" s="21"/>
      <c r="H128" s="24"/>
      <c r="I128" s="21"/>
      <c r="J128" s="100"/>
      <c r="K128" s="101"/>
      <c r="L128" s="100"/>
      <c r="M128" s="101"/>
      <c r="N128" s="101"/>
      <c r="O128" s="101"/>
      <c r="P128" s="101"/>
      <c r="R128" s="101"/>
      <c r="S128" s="101"/>
      <c r="T128" s="48"/>
      <c r="U128" s="101"/>
      <c r="V128" s="117"/>
      <c r="W128" s="101"/>
      <c r="X128" s="117"/>
      <c r="Y128" s="117"/>
      <c r="Z128" s="117"/>
      <c r="AA128" s="198"/>
      <c r="AB128" s="117"/>
      <c r="AC128" s="117"/>
      <c r="AD128" s="117"/>
      <c r="AE128" s="117"/>
      <c r="AF128" s="117"/>
      <c r="AG128" s="117"/>
      <c r="AH128" s="117"/>
      <c r="AI128" s="117"/>
      <c r="AJ128" s="117"/>
      <c r="AK128" s="117"/>
      <c r="AL128" s="117"/>
      <c r="AM128" s="117"/>
      <c r="AN128" s="116"/>
      <c r="AP128" s="117"/>
      <c r="AQ128" s="117"/>
      <c r="AR128" s="117"/>
      <c r="AS128" s="117"/>
      <c r="AT128" s="117"/>
      <c r="AU128" s="117"/>
    </row>
    <row r="129" spans="1:47" x14ac:dyDescent="0.2">
      <c r="A129" s="21"/>
      <c r="B129" s="21"/>
      <c r="C129" s="21"/>
      <c r="D129" s="21"/>
      <c r="E129" s="21"/>
      <c r="F129" s="21"/>
      <c r="G129" s="21"/>
      <c r="H129" s="24"/>
      <c r="I129" s="21"/>
      <c r="J129" s="100"/>
      <c r="K129" s="101"/>
      <c r="L129" s="100"/>
      <c r="M129" s="101"/>
      <c r="N129" s="101"/>
      <c r="O129" s="101"/>
      <c r="P129" s="101"/>
      <c r="R129" s="101"/>
      <c r="S129" s="101"/>
      <c r="T129" s="48"/>
      <c r="U129" s="101"/>
      <c r="V129" s="117"/>
      <c r="W129" s="101"/>
      <c r="X129" s="117"/>
      <c r="Y129" s="117"/>
      <c r="Z129" s="117"/>
      <c r="AA129" s="198"/>
      <c r="AB129" s="117"/>
      <c r="AC129" s="117"/>
      <c r="AD129" s="117"/>
      <c r="AE129" s="117"/>
      <c r="AF129" s="117"/>
      <c r="AG129" s="117"/>
      <c r="AH129" s="117"/>
      <c r="AI129" s="117"/>
      <c r="AJ129" s="117"/>
      <c r="AK129" s="117"/>
      <c r="AL129" s="117"/>
      <c r="AM129" s="117"/>
      <c r="AN129" s="116"/>
      <c r="AP129" s="117"/>
      <c r="AQ129" s="117"/>
      <c r="AR129" s="117"/>
      <c r="AS129" s="117"/>
      <c r="AT129" s="117"/>
      <c r="AU129" s="117"/>
    </row>
    <row r="130" spans="1:47" x14ac:dyDescent="0.2">
      <c r="A130" s="21"/>
      <c r="B130" s="21"/>
      <c r="C130" s="21"/>
      <c r="D130" s="21"/>
      <c r="E130" s="21"/>
      <c r="F130" s="21"/>
      <c r="G130" s="21"/>
      <c r="H130" s="24"/>
      <c r="I130" s="21"/>
      <c r="J130" s="100"/>
      <c r="K130" s="101"/>
      <c r="L130" s="100"/>
      <c r="M130" s="101"/>
      <c r="N130" s="101"/>
      <c r="O130" s="101"/>
      <c r="P130" s="101"/>
      <c r="R130" s="101"/>
      <c r="S130" s="101"/>
      <c r="T130" s="48"/>
      <c r="U130" s="101"/>
      <c r="V130" s="117"/>
      <c r="W130" s="101"/>
      <c r="X130" s="117"/>
      <c r="Y130" s="117"/>
      <c r="Z130" s="117"/>
      <c r="AA130" s="198"/>
      <c r="AB130" s="117"/>
      <c r="AC130" s="117"/>
      <c r="AD130" s="117"/>
      <c r="AE130" s="117"/>
      <c r="AF130" s="117"/>
      <c r="AG130" s="117"/>
      <c r="AH130" s="117"/>
      <c r="AI130" s="117"/>
      <c r="AJ130" s="117"/>
      <c r="AK130" s="117"/>
      <c r="AL130" s="117"/>
      <c r="AM130" s="117"/>
      <c r="AN130" s="116"/>
      <c r="AP130" s="117"/>
      <c r="AQ130" s="117"/>
      <c r="AR130" s="117"/>
      <c r="AS130" s="117"/>
      <c r="AT130" s="117"/>
      <c r="AU130" s="117"/>
    </row>
    <row r="131" spans="1:47" x14ac:dyDescent="0.2">
      <c r="A131" s="21"/>
      <c r="B131" s="21"/>
      <c r="C131" s="21"/>
      <c r="D131" s="21"/>
      <c r="E131" s="21"/>
      <c r="F131" s="21"/>
      <c r="G131" s="21"/>
      <c r="H131" s="24"/>
      <c r="I131" s="21"/>
      <c r="J131" s="100"/>
      <c r="K131" s="101"/>
      <c r="L131" s="100"/>
      <c r="M131" s="101"/>
      <c r="N131" s="101"/>
      <c r="O131" s="101"/>
      <c r="P131" s="101"/>
      <c r="R131" s="101"/>
      <c r="S131" s="101"/>
      <c r="T131" s="48"/>
      <c r="U131" s="101"/>
      <c r="V131" s="117"/>
      <c r="W131" s="101"/>
      <c r="X131" s="117"/>
      <c r="Y131" s="117"/>
      <c r="Z131" s="117"/>
      <c r="AA131" s="198"/>
      <c r="AB131" s="117"/>
      <c r="AC131" s="117"/>
      <c r="AD131" s="117"/>
      <c r="AE131" s="117"/>
      <c r="AF131" s="117"/>
      <c r="AG131" s="117"/>
      <c r="AH131" s="117"/>
      <c r="AI131" s="117"/>
      <c r="AJ131" s="117"/>
      <c r="AK131" s="117"/>
      <c r="AL131" s="117"/>
      <c r="AM131" s="117"/>
      <c r="AN131" s="116"/>
      <c r="AP131" s="117"/>
      <c r="AQ131" s="117"/>
      <c r="AR131" s="117"/>
      <c r="AS131" s="117"/>
      <c r="AT131" s="117"/>
      <c r="AU131" s="117"/>
    </row>
    <row r="132" spans="1:47" x14ac:dyDescent="0.2">
      <c r="A132" s="21"/>
      <c r="B132" s="21"/>
      <c r="C132" s="21"/>
      <c r="D132" s="21"/>
      <c r="E132" s="21"/>
      <c r="F132" s="21"/>
      <c r="G132" s="21"/>
      <c r="H132" s="24"/>
      <c r="I132" s="21"/>
      <c r="J132" s="100"/>
      <c r="K132" s="101"/>
      <c r="L132" s="100"/>
      <c r="M132" s="101"/>
      <c r="N132" s="101"/>
      <c r="O132" s="101"/>
      <c r="P132" s="101"/>
      <c r="R132" s="101"/>
      <c r="S132" s="101"/>
      <c r="T132" s="48"/>
      <c r="U132" s="101"/>
      <c r="V132" s="117"/>
      <c r="W132" s="101"/>
      <c r="X132" s="117"/>
      <c r="Y132" s="117"/>
      <c r="Z132" s="117"/>
      <c r="AA132" s="198"/>
      <c r="AB132" s="117"/>
      <c r="AC132" s="117"/>
      <c r="AD132" s="117"/>
      <c r="AE132" s="117"/>
      <c r="AF132" s="117"/>
      <c r="AG132" s="117"/>
      <c r="AH132" s="117"/>
      <c r="AI132" s="117"/>
      <c r="AJ132" s="117"/>
      <c r="AK132" s="117"/>
      <c r="AL132" s="117"/>
      <c r="AM132" s="117"/>
      <c r="AN132" s="116"/>
      <c r="AP132" s="117"/>
      <c r="AQ132" s="117"/>
      <c r="AR132" s="117"/>
      <c r="AS132" s="117"/>
      <c r="AT132" s="117"/>
      <c r="AU132" s="117"/>
    </row>
    <row r="133" spans="1:47" x14ac:dyDescent="0.2">
      <c r="A133" s="21"/>
      <c r="B133" s="21"/>
      <c r="C133" s="21"/>
      <c r="D133" s="21"/>
      <c r="E133" s="21"/>
      <c r="F133" s="21"/>
      <c r="G133" s="21"/>
      <c r="H133" s="24"/>
      <c r="I133" s="21"/>
      <c r="J133" s="100"/>
      <c r="K133" s="101"/>
      <c r="L133" s="100"/>
      <c r="M133" s="101"/>
      <c r="N133" s="101"/>
      <c r="O133" s="101"/>
      <c r="P133" s="101"/>
      <c r="R133" s="101"/>
      <c r="S133" s="101"/>
      <c r="T133" s="48"/>
      <c r="U133" s="101"/>
      <c r="V133" s="117"/>
      <c r="W133" s="101"/>
      <c r="X133" s="117"/>
      <c r="Y133" s="117"/>
      <c r="Z133" s="117"/>
      <c r="AA133" s="198"/>
      <c r="AB133" s="117"/>
      <c r="AC133" s="117"/>
      <c r="AD133" s="117"/>
      <c r="AE133" s="117"/>
      <c r="AF133" s="117"/>
      <c r="AG133" s="117"/>
      <c r="AH133" s="117"/>
      <c r="AI133" s="117"/>
      <c r="AJ133" s="117"/>
      <c r="AK133" s="117"/>
      <c r="AL133" s="117"/>
      <c r="AM133" s="117"/>
      <c r="AN133" s="116"/>
      <c r="AP133" s="117"/>
      <c r="AQ133" s="117"/>
      <c r="AR133" s="117"/>
      <c r="AS133" s="117"/>
      <c r="AT133" s="117"/>
      <c r="AU133" s="117"/>
    </row>
    <row r="134" spans="1:47" x14ac:dyDescent="0.2">
      <c r="A134" s="21"/>
      <c r="B134" s="21"/>
      <c r="C134" s="21"/>
      <c r="D134" s="21"/>
      <c r="E134" s="21"/>
      <c r="F134" s="21"/>
      <c r="G134" s="21"/>
      <c r="H134" s="24"/>
      <c r="I134" s="21"/>
      <c r="J134" s="100"/>
      <c r="K134" s="101"/>
      <c r="L134" s="100"/>
      <c r="M134" s="101"/>
      <c r="N134" s="101"/>
      <c r="O134" s="101"/>
      <c r="P134" s="101"/>
      <c r="R134" s="101"/>
      <c r="S134" s="101"/>
      <c r="T134" s="48"/>
      <c r="U134" s="101"/>
      <c r="V134" s="117"/>
      <c r="W134" s="101"/>
      <c r="X134" s="117"/>
      <c r="Y134" s="117"/>
      <c r="Z134" s="117"/>
      <c r="AA134" s="198"/>
      <c r="AB134" s="117"/>
      <c r="AC134" s="117"/>
      <c r="AD134" s="117"/>
      <c r="AE134" s="117"/>
      <c r="AF134" s="117"/>
      <c r="AG134" s="117"/>
      <c r="AH134" s="117"/>
      <c r="AI134" s="117"/>
      <c r="AJ134" s="117"/>
      <c r="AK134" s="117"/>
      <c r="AL134" s="117"/>
      <c r="AM134" s="117"/>
      <c r="AN134" s="116"/>
      <c r="AP134" s="117"/>
      <c r="AQ134" s="117"/>
      <c r="AR134" s="117"/>
      <c r="AS134" s="117"/>
      <c r="AT134" s="117"/>
      <c r="AU134" s="117"/>
    </row>
    <row r="135" spans="1:47" x14ac:dyDescent="0.2">
      <c r="A135" s="21"/>
      <c r="B135" s="21"/>
      <c r="C135" s="21"/>
      <c r="D135" s="21"/>
      <c r="E135" s="21"/>
      <c r="F135" s="21"/>
      <c r="G135" s="21"/>
      <c r="H135" s="24"/>
      <c r="I135" s="21"/>
      <c r="J135" s="100"/>
      <c r="K135" s="101"/>
      <c r="L135" s="100"/>
      <c r="M135" s="101"/>
      <c r="N135" s="101"/>
      <c r="O135" s="101"/>
      <c r="P135" s="101"/>
      <c r="R135" s="101"/>
      <c r="S135" s="101"/>
      <c r="T135" s="48"/>
      <c r="U135" s="101"/>
      <c r="V135" s="117"/>
      <c r="W135" s="101"/>
      <c r="X135" s="117"/>
      <c r="Y135" s="117"/>
      <c r="Z135" s="117"/>
      <c r="AA135" s="198"/>
      <c r="AB135" s="117"/>
      <c r="AC135" s="117"/>
      <c r="AD135" s="117"/>
      <c r="AE135" s="117"/>
      <c r="AF135" s="117"/>
      <c r="AG135" s="117"/>
      <c r="AH135" s="117"/>
      <c r="AI135" s="117"/>
      <c r="AJ135" s="117"/>
      <c r="AK135" s="117"/>
      <c r="AL135" s="117"/>
      <c r="AM135" s="117"/>
      <c r="AN135" s="116"/>
      <c r="AP135" s="117"/>
      <c r="AQ135" s="117"/>
      <c r="AR135" s="117"/>
      <c r="AS135" s="117"/>
      <c r="AT135" s="117"/>
      <c r="AU135" s="117"/>
    </row>
    <row r="136" spans="1:47" x14ac:dyDescent="0.2">
      <c r="A136" s="21"/>
      <c r="B136" s="21"/>
      <c r="C136" s="21"/>
      <c r="D136" s="21"/>
      <c r="E136" s="21"/>
      <c r="F136" s="21"/>
      <c r="G136" s="21"/>
      <c r="H136" s="24"/>
      <c r="I136" s="21"/>
      <c r="J136" s="100"/>
      <c r="K136" s="101"/>
      <c r="L136" s="100"/>
      <c r="M136" s="101"/>
      <c r="N136" s="101"/>
      <c r="O136" s="101"/>
      <c r="P136" s="101"/>
      <c r="R136" s="101"/>
      <c r="S136" s="101"/>
      <c r="T136" s="48"/>
      <c r="U136" s="101"/>
      <c r="V136" s="117"/>
      <c r="W136" s="101"/>
      <c r="X136" s="117"/>
      <c r="Y136" s="117"/>
      <c r="Z136" s="117"/>
      <c r="AA136" s="198"/>
      <c r="AB136" s="117"/>
      <c r="AC136" s="117"/>
      <c r="AD136" s="117"/>
      <c r="AE136" s="117"/>
      <c r="AF136" s="117"/>
      <c r="AG136" s="117"/>
      <c r="AH136" s="117"/>
      <c r="AI136" s="117"/>
      <c r="AJ136" s="117"/>
      <c r="AK136" s="117"/>
      <c r="AL136" s="117"/>
      <c r="AM136" s="117"/>
      <c r="AN136" s="116"/>
      <c r="AP136" s="117"/>
      <c r="AQ136" s="117"/>
      <c r="AR136" s="117"/>
      <c r="AS136" s="117"/>
      <c r="AT136" s="117"/>
      <c r="AU136" s="117"/>
    </row>
    <row r="137" spans="1:47" x14ac:dyDescent="0.2">
      <c r="A137" s="21"/>
      <c r="B137" s="21"/>
      <c r="C137" s="21"/>
      <c r="D137" s="21"/>
      <c r="E137" s="21"/>
      <c r="F137" s="21"/>
      <c r="G137" s="21"/>
      <c r="H137" s="24"/>
      <c r="I137" s="21"/>
      <c r="J137" s="100"/>
      <c r="K137" s="101"/>
      <c r="L137" s="100"/>
      <c r="M137" s="101"/>
      <c r="N137" s="101"/>
      <c r="O137" s="101"/>
      <c r="P137" s="101"/>
      <c r="R137" s="101"/>
      <c r="S137" s="101"/>
      <c r="T137" s="48"/>
      <c r="U137" s="101"/>
      <c r="V137" s="117"/>
      <c r="W137" s="101"/>
      <c r="X137" s="117"/>
      <c r="Y137" s="117"/>
      <c r="Z137" s="117"/>
      <c r="AA137" s="198"/>
      <c r="AB137" s="117"/>
      <c r="AC137" s="117"/>
      <c r="AD137" s="117"/>
      <c r="AE137" s="117"/>
      <c r="AF137" s="117"/>
      <c r="AG137" s="117"/>
      <c r="AH137" s="117"/>
      <c r="AI137" s="117"/>
      <c r="AJ137" s="117"/>
      <c r="AK137" s="117"/>
      <c r="AL137" s="117"/>
      <c r="AM137" s="117"/>
      <c r="AN137" s="116"/>
      <c r="AP137" s="117"/>
      <c r="AQ137" s="117"/>
      <c r="AR137" s="117"/>
      <c r="AS137" s="117"/>
      <c r="AT137" s="117"/>
      <c r="AU137" s="117"/>
    </row>
    <row r="138" spans="1:47" x14ac:dyDescent="0.2">
      <c r="A138" s="21"/>
      <c r="B138" s="21"/>
      <c r="C138" s="21"/>
      <c r="D138" s="21"/>
      <c r="E138" s="21"/>
      <c r="F138" s="21"/>
      <c r="G138" s="21"/>
      <c r="H138" s="24"/>
      <c r="I138" s="21"/>
      <c r="J138" s="100"/>
      <c r="K138" s="101"/>
      <c r="L138" s="100"/>
      <c r="M138" s="101"/>
      <c r="N138" s="101"/>
      <c r="O138" s="101"/>
      <c r="P138" s="101"/>
      <c r="R138" s="101"/>
      <c r="S138" s="101"/>
      <c r="T138" s="48"/>
      <c r="U138" s="101"/>
      <c r="V138" s="117"/>
      <c r="W138" s="101"/>
      <c r="X138" s="117"/>
      <c r="Y138" s="117"/>
      <c r="Z138" s="117"/>
      <c r="AA138" s="198"/>
      <c r="AB138" s="117"/>
      <c r="AC138" s="117"/>
      <c r="AD138" s="117"/>
      <c r="AE138" s="117"/>
      <c r="AF138" s="117"/>
      <c r="AG138" s="117"/>
      <c r="AH138" s="117"/>
      <c r="AI138" s="117"/>
      <c r="AJ138" s="117"/>
      <c r="AK138" s="117"/>
      <c r="AL138" s="117"/>
      <c r="AM138" s="117"/>
      <c r="AN138" s="116"/>
      <c r="AP138" s="117"/>
      <c r="AQ138" s="117"/>
      <c r="AR138" s="117"/>
      <c r="AS138" s="117"/>
      <c r="AT138" s="117"/>
      <c r="AU138" s="117"/>
    </row>
    <row r="139" spans="1:47" x14ac:dyDescent="0.2">
      <c r="A139" s="21"/>
      <c r="B139" s="21"/>
      <c r="C139" s="21"/>
      <c r="D139" s="21"/>
      <c r="E139" s="21"/>
      <c r="F139" s="21"/>
      <c r="G139" s="21"/>
      <c r="H139" s="24"/>
      <c r="I139" s="21"/>
      <c r="J139" s="100"/>
      <c r="K139" s="101"/>
      <c r="L139" s="100"/>
      <c r="M139" s="101"/>
      <c r="N139" s="101"/>
      <c r="O139" s="101"/>
      <c r="P139" s="101"/>
      <c r="R139" s="101"/>
      <c r="S139" s="101"/>
      <c r="T139" s="48"/>
      <c r="U139" s="101"/>
      <c r="V139" s="117"/>
      <c r="W139" s="101"/>
      <c r="X139" s="117"/>
      <c r="Y139" s="117"/>
      <c r="Z139" s="117"/>
      <c r="AA139" s="198"/>
      <c r="AB139" s="117"/>
      <c r="AC139" s="117"/>
      <c r="AD139" s="117"/>
      <c r="AE139" s="117"/>
      <c r="AF139" s="117"/>
      <c r="AG139" s="117"/>
      <c r="AH139" s="117"/>
      <c r="AI139" s="117"/>
      <c r="AJ139" s="117"/>
      <c r="AK139" s="117"/>
      <c r="AL139" s="117"/>
      <c r="AM139" s="117"/>
      <c r="AN139" s="116"/>
      <c r="AP139" s="117"/>
      <c r="AQ139" s="117"/>
      <c r="AR139" s="117"/>
      <c r="AS139" s="117"/>
      <c r="AT139" s="117"/>
      <c r="AU139" s="117"/>
    </row>
    <row r="140" spans="1:47" x14ac:dyDescent="0.2">
      <c r="A140" s="21"/>
      <c r="B140" s="21"/>
      <c r="C140" s="21"/>
      <c r="D140" s="21"/>
      <c r="E140" s="21"/>
      <c r="F140" s="21"/>
      <c r="G140" s="21"/>
      <c r="H140" s="24"/>
      <c r="I140" s="21"/>
      <c r="J140" s="100"/>
      <c r="K140" s="101"/>
      <c r="L140" s="100"/>
      <c r="M140" s="101"/>
      <c r="N140" s="101"/>
      <c r="O140" s="101"/>
      <c r="P140" s="101"/>
      <c r="R140" s="101"/>
      <c r="S140" s="101"/>
      <c r="T140" s="48"/>
      <c r="U140" s="101"/>
      <c r="V140" s="117"/>
      <c r="W140" s="101"/>
      <c r="X140" s="117"/>
      <c r="Y140" s="117"/>
      <c r="Z140" s="117"/>
      <c r="AA140" s="198"/>
      <c r="AB140" s="117"/>
      <c r="AC140" s="117"/>
      <c r="AD140" s="117"/>
      <c r="AE140" s="117"/>
      <c r="AF140" s="117"/>
      <c r="AG140" s="117"/>
      <c r="AH140" s="117"/>
      <c r="AI140" s="117"/>
      <c r="AJ140" s="117"/>
      <c r="AK140" s="117"/>
      <c r="AL140" s="117"/>
      <c r="AM140" s="117"/>
      <c r="AN140" s="116"/>
      <c r="AP140" s="117"/>
      <c r="AQ140" s="117"/>
      <c r="AR140" s="117"/>
      <c r="AS140" s="117"/>
      <c r="AT140" s="117"/>
      <c r="AU140" s="117"/>
    </row>
    <row r="141" spans="1:47" x14ac:dyDescent="0.2">
      <c r="A141" s="21"/>
      <c r="B141" s="21"/>
      <c r="C141" s="21"/>
      <c r="D141" s="21"/>
      <c r="E141" s="21"/>
      <c r="F141" s="21"/>
      <c r="G141" s="21"/>
      <c r="H141" s="24"/>
      <c r="I141" s="21"/>
      <c r="J141" s="100"/>
      <c r="K141" s="101"/>
      <c r="L141" s="100"/>
      <c r="M141" s="101"/>
      <c r="N141" s="101"/>
      <c r="O141" s="101"/>
      <c r="P141" s="101"/>
      <c r="R141" s="101"/>
      <c r="S141" s="101"/>
      <c r="T141" s="48"/>
      <c r="U141" s="101"/>
      <c r="V141" s="117"/>
      <c r="W141" s="101"/>
      <c r="X141" s="117"/>
      <c r="Y141" s="117"/>
      <c r="Z141" s="117"/>
      <c r="AA141" s="198"/>
      <c r="AB141" s="117"/>
      <c r="AC141" s="117"/>
      <c r="AD141" s="117"/>
      <c r="AE141" s="117"/>
      <c r="AF141" s="117"/>
      <c r="AG141" s="117"/>
      <c r="AH141" s="117"/>
      <c r="AI141" s="117"/>
      <c r="AJ141" s="117"/>
      <c r="AK141" s="117"/>
      <c r="AL141" s="117"/>
      <c r="AM141" s="117"/>
      <c r="AN141" s="116"/>
      <c r="AP141" s="117"/>
      <c r="AQ141" s="117"/>
      <c r="AR141" s="117"/>
      <c r="AS141" s="117"/>
      <c r="AT141" s="117"/>
      <c r="AU141" s="117"/>
    </row>
    <row r="142" spans="1:47" x14ac:dyDescent="0.2">
      <c r="A142" s="21"/>
      <c r="B142" s="21"/>
      <c r="C142" s="21"/>
      <c r="D142" s="21"/>
      <c r="E142" s="21"/>
      <c r="F142" s="21"/>
      <c r="G142" s="21"/>
      <c r="H142" s="24"/>
      <c r="I142" s="21"/>
      <c r="J142" s="100"/>
      <c r="K142" s="101"/>
      <c r="L142" s="100"/>
      <c r="M142" s="101"/>
      <c r="N142" s="101"/>
      <c r="O142" s="101"/>
      <c r="P142" s="101"/>
      <c r="R142" s="101"/>
      <c r="S142" s="101"/>
      <c r="T142" s="48"/>
      <c r="U142" s="101"/>
      <c r="V142" s="117"/>
      <c r="W142" s="101"/>
      <c r="X142" s="117"/>
      <c r="Y142" s="117"/>
      <c r="Z142" s="117"/>
      <c r="AA142" s="198"/>
      <c r="AB142" s="117"/>
      <c r="AC142" s="117"/>
      <c r="AD142" s="117"/>
      <c r="AE142" s="117"/>
      <c r="AF142" s="117"/>
      <c r="AG142" s="117"/>
      <c r="AH142" s="117"/>
      <c r="AI142" s="117"/>
      <c r="AJ142" s="117"/>
      <c r="AK142" s="117"/>
      <c r="AL142" s="117"/>
      <c r="AM142" s="117"/>
      <c r="AN142" s="116"/>
      <c r="AP142" s="117"/>
      <c r="AQ142" s="117"/>
      <c r="AR142" s="117"/>
      <c r="AS142" s="117"/>
      <c r="AT142" s="117"/>
      <c r="AU142" s="117"/>
    </row>
    <row r="143" spans="1:47" x14ac:dyDescent="0.2">
      <c r="A143" s="21"/>
      <c r="B143" s="21"/>
      <c r="C143" s="21"/>
      <c r="D143" s="21"/>
      <c r="E143" s="21"/>
      <c r="F143" s="21"/>
      <c r="G143" s="21"/>
      <c r="H143" s="24"/>
      <c r="I143" s="21"/>
      <c r="J143" s="100"/>
      <c r="K143" s="101"/>
      <c r="L143" s="100"/>
      <c r="M143" s="101"/>
      <c r="N143" s="101"/>
      <c r="O143" s="101"/>
      <c r="P143" s="101"/>
      <c r="R143" s="101"/>
      <c r="S143" s="101"/>
      <c r="T143" s="48"/>
      <c r="U143" s="101"/>
      <c r="V143" s="117"/>
      <c r="W143" s="101"/>
      <c r="X143" s="117"/>
      <c r="Y143" s="117"/>
      <c r="Z143" s="117"/>
      <c r="AA143" s="198"/>
      <c r="AB143" s="117"/>
      <c r="AC143" s="117"/>
      <c r="AD143" s="117"/>
      <c r="AE143" s="117"/>
      <c r="AF143" s="117"/>
      <c r="AG143" s="117"/>
      <c r="AH143" s="117"/>
      <c r="AI143" s="117"/>
      <c r="AJ143" s="117"/>
      <c r="AK143" s="117"/>
      <c r="AL143" s="117"/>
      <c r="AM143" s="117"/>
      <c r="AN143" s="116"/>
      <c r="AP143" s="117"/>
      <c r="AQ143" s="117"/>
      <c r="AR143" s="117"/>
      <c r="AS143" s="117"/>
      <c r="AT143" s="117"/>
      <c r="AU143" s="117"/>
    </row>
    <row r="144" spans="1:47" x14ac:dyDescent="0.2">
      <c r="A144" s="21"/>
      <c r="B144" s="21"/>
      <c r="C144" s="21"/>
      <c r="D144" s="21"/>
      <c r="E144" s="21"/>
      <c r="F144" s="21"/>
      <c r="G144" s="21"/>
      <c r="H144" s="24"/>
      <c r="I144" s="21"/>
      <c r="J144" s="100"/>
      <c r="K144" s="101"/>
      <c r="L144" s="100"/>
      <c r="M144" s="101"/>
      <c r="N144" s="101"/>
      <c r="O144" s="101"/>
      <c r="P144" s="101"/>
      <c r="R144" s="101"/>
      <c r="S144" s="101"/>
      <c r="T144" s="48"/>
      <c r="U144" s="101"/>
      <c r="V144" s="117"/>
      <c r="W144" s="101"/>
      <c r="X144" s="117"/>
      <c r="Y144" s="117"/>
      <c r="Z144" s="117"/>
      <c r="AA144" s="198"/>
      <c r="AB144" s="117"/>
      <c r="AC144" s="117"/>
      <c r="AD144" s="117"/>
      <c r="AE144" s="117"/>
      <c r="AF144" s="117"/>
      <c r="AG144" s="117"/>
      <c r="AH144" s="117"/>
      <c r="AI144" s="117"/>
      <c r="AJ144" s="117"/>
      <c r="AK144" s="117"/>
      <c r="AL144" s="117"/>
      <c r="AM144" s="117"/>
      <c r="AN144" s="116"/>
      <c r="AP144" s="117"/>
      <c r="AQ144" s="117"/>
      <c r="AR144" s="117"/>
      <c r="AS144" s="117"/>
      <c r="AT144" s="117"/>
      <c r="AU144" s="117"/>
    </row>
    <row r="145" spans="1:47" x14ac:dyDescent="0.2">
      <c r="A145" s="21"/>
      <c r="B145" s="21"/>
      <c r="C145" s="21"/>
      <c r="D145" s="21"/>
      <c r="E145" s="21"/>
      <c r="F145" s="21"/>
      <c r="G145" s="21"/>
      <c r="H145" s="24"/>
      <c r="I145" s="21"/>
      <c r="J145" s="100"/>
      <c r="K145" s="101"/>
      <c r="L145" s="100"/>
      <c r="M145" s="101"/>
      <c r="N145" s="101"/>
      <c r="O145" s="101"/>
      <c r="P145" s="101"/>
      <c r="R145" s="101"/>
      <c r="S145" s="101"/>
      <c r="T145" s="48"/>
      <c r="U145" s="101"/>
      <c r="V145" s="117"/>
      <c r="W145" s="101"/>
      <c r="X145" s="117"/>
      <c r="Y145" s="117"/>
      <c r="Z145" s="117"/>
      <c r="AA145" s="198"/>
      <c r="AB145" s="117"/>
      <c r="AC145" s="117"/>
      <c r="AD145" s="117"/>
      <c r="AE145" s="117"/>
      <c r="AF145" s="117"/>
      <c r="AG145" s="117"/>
      <c r="AH145" s="117"/>
      <c r="AI145" s="117"/>
      <c r="AJ145" s="117"/>
      <c r="AK145" s="117"/>
      <c r="AL145" s="117"/>
      <c r="AM145" s="117"/>
      <c r="AN145" s="116"/>
      <c r="AP145" s="117"/>
      <c r="AQ145" s="117"/>
      <c r="AR145" s="117"/>
      <c r="AS145" s="117"/>
      <c r="AT145" s="117"/>
      <c r="AU145" s="117"/>
    </row>
    <row r="146" spans="1:47" x14ac:dyDescent="0.2">
      <c r="A146" s="21"/>
      <c r="B146" s="21"/>
      <c r="C146" s="21"/>
      <c r="D146" s="21"/>
      <c r="E146" s="21"/>
      <c r="F146" s="21"/>
      <c r="G146" s="21"/>
      <c r="H146" s="24"/>
      <c r="I146" s="21"/>
      <c r="J146" s="100"/>
      <c r="K146" s="101"/>
      <c r="L146" s="100"/>
      <c r="M146" s="101"/>
      <c r="N146" s="101"/>
      <c r="O146" s="101"/>
      <c r="P146" s="101"/>
      <c r="R146" s="101"/>
      <c r="S146" s="101"/>
      <c r="T146" s="48"/>
      <c r="U146" s="101"/>
      <c r="V146" s="117"/>
      <c r="W146" s="101"/>
      <c r="X146" s="117"/>
      <c r="Y146" s="117"/>
      <c r="Z146" s="117"/>
      <c r="AA146" s="198"/>
      <c r="AB146" s="117"/>
      <c r="AC146" s="117"/>
      <c r="AD146" s="117"/>
      <c r="AE146" s="117"/>
      <c r="AF146" s="117"/>
      <c r="AG146" s="117"/>
      <c r="AH146" s="117"/>
      <c r="AI146" s="117"/>
      <c r="AJ146" s="117"/>
      <c r="AK146" s="117"/>
      <c r="AL146" s="117"/>
      <c r="AM146" s="117"/>
      <c r="AN146" s="116"/>
      <c r="AP146" s="117"/>
      <c r="AQ146" s="117"/>
      <c r="AR146" s="117"/>
      <c r="AS146" s="117"/>
      <c r="AT146" s="117"/>
      <c r="AU146" s="117"/>
    </row>
    <row r="147" spans="1:47" x14ac:dyDescent="0.2">
      <c r="A147" s="21"/>
      <c r="B147" s="21"/>
      <c r="C147" s="21"/>
      <c r="D147" s="21"/>
      <c r="E147" s="21"/>
      <c r="F147" s="21"/>
      <c r="G147" s="21"/>
      <c r="H147" s="24"/>
      <c r="I147" s="21"/>
      <c r="J147" s="100"/>
      <c r="K147" s="101"/>
      <c r="L147" s="100"/>
      <c r="M147" s="101"/>
      <c r="N147" s="101"/>
      <c r="O147" s="101"/>
      <c r="P147" s="101"/>
      <c r="R147" s="101"/>
      <c r="S147" s="101"/>
      <c r="T147" s="48"/>
      <c r="U147" s="101"/>
      <c r="V147" s="117"/>
      <c r="W147" s="101"/>
      <c r="X147" s="117"/>
      <c r="Y147" s="117"/>
      <c r="Z147" s="117"/>
      <c r="AA147" s="198"/>
      <c r="AB147" s="117"/>
      <c r="AC147" s="117"/>
      <c r="AD147" s="117"/>
      <c r="AE147" s="117"/>
      <c r="AF147" s="117"/>
      <c r="AG147" s="117"/>
      <c r="AH147" s="117"/>
      <c r="AI147" s="117"/>
      <c r="AJ147" s="117"/>
      <c r="AK147" s="117"/>
      <c r="AL147" s="117"/>
      <c r="AM147" s="117"/>
      <c r="AN147" s="116"/>
      <c r="AP147" s="117"/>
      <c r="AQ147" s="117"/>
      <c r="AR147" s="117"/>
      <c r="AS147" s="117"/>
      <c r="AT147" s="117"/>
      <c r="AU147" s="117"/>
    </row>
    <row r="148" spans="1:47" x14ac:dyDescent="0.2">
      <c r="A148" s="21"/>
      <c r="B148" s="21"/>
      <c r="C148" s="21"/>
      <c r="D148" s="21"/>
      <c r="E148" s="21"/>
      <c r="F148" s="21"/>
      <c r="G148" s="21"/>
      <c r="H148" s="24"/>
      <c r="I148" s="21"/>
      <c r="J148" s="100"/>
      <c r="K148" s="101"/>
      <c r="L148" s="100"/>
      <c r="M148" s="101"/>
      <c r="N148" s="101"/>
      <c r="O148" s="101"/>
      <c r="P148" s="101"/>
      <c r="R148" s="101"/>
      <c r="S148" s="101"/>
      <c r="T148" s="48"/>
      <c r="U148" s="101"/>
      <c r="V148" s="117"/>
      <c r="W148" s="101"/>
      <c r="X148" s="117"/>
      <c r="Y148" s="117"/>
      <c r="Z148" s="117"/>
      <c r="AA148" s="198"/>
      <c r="AB148" s="117"/>
      <c r="AC148" s="117"/>
      <c r="AD148" s="117"/>
      <c r="AE148" s="117"/>
      <c r="AF148" s="117"/>
      <c r="AG148" s="117"/>
      <c r="AH148" s="117"/>
      <c r="AI148" s="117"/>
      <c r="AJ148" s="117"/>
      <c r="AK148" s="117"/>
      <c r="AL148" s="117"/>
      <c r="AM148" s="117"/>
      <c r="AN148" s="116"/>
      <c r="AP148" s="117"/>
      <c r="AQ148" s="117"/>
      <c r="AR148" s="117"/>
      <c r="AS148" s="117"/>
      <c r="AT148" s="117"/>
      <c r="AU148" s="117"/>
    </row>
    <row r="149" spans="1:47" x14ac:dyDescent="0.2">
      <c r="A149" s="21"/>
      <c r="B149" s="21"/>
      <c r="C149" s="21"/>
      <c r="D149" s="21"/>
      <c r="E149" s="21"/>
      <c r="F149" s="21"/>
      <c r="G149" s="21"/>
      <c r="H149" s="24"/>
      <c r="I149" s="21"/>
      <c r="J149" s="100"/>
      <c r="K149" s="101"/>
      <c r="L149" s="100"/>
      <c r="M149" s="101"/>
      <c r="N149" s="101"/>
      <c r="O149" s="101"/>
      <c r="P149" s="101"/>
      <c r="R149" s="101"/>
      <c r="S149" s="101"/>
      <c r="T149" s="48"/>
      <c r="U149" s="101"/>
      <c r="V149" s="117"/>
      <c r="W149" s="101"/>
      <c r="X149" s="117"/>
      <c r="Y149" s="117"/>
      <c r="Z149" s="117"/>
      <c r="AA149" s="198"/>
      <c r="AB149" s="117"/>
      <c r="AC149" s="117"/>
      <c r="AD149" s="117"/>
      <c r="AE149" s="117"/>
      <c r="AF149" s="117"/>
      <c r="AG149" s="117"/>
      <c r="AH149" s="117"/>
      <c r="AI149" s="117"/>
      <c r="AJ149" s="117"/>
      <c r="AK149" s="117"/>
      <c r="AL149" s="117"/>
      <c r="AM149" s="117"/>
      <c r="AN149" s="116"/>
      <c r="AP149" s="117"/>
      <c r="AQ149" s="117"/>
      <c r="AR149" s="117"/>
      <c r="AS149" s="117"/>
      <c r="AT149" s="117"/>
      <c r="AU149" s="117"/>
    </row>
    <row r="150" spans="1:47" x14ac:dyDescent="0.2">
      <c r="A150" s="21"/>
      <c r="B150" s="21"/>
      <c r="C150" s="21"/>
      <c r="D150" s="21"/>
      <c r="E150" s="21"/>
      <c r="F150" s="21"/>
      <c r="G150" s="21"/>
      <c r="H150" s="24"/>
      <c r="I150" s="21"/>
      <c r="J150" s="100"/>
      <c r="K150" s="101"/>
      <c r="L150" s="100"/>
      <c r="M150" s="101"/>
      <c r="N150" s="101"/>
      <c r="O150" s="101"/>
      <c r="P150" s="101"/>
      <c r="R150" s="101"/>
      <c r="S150" s="101"/>
      <c r="T150" s="48"/>
      <c r="U150" s="101"/>
      <c r="V150" s="117"/>
      <c r="W150" s="101"/>
      <c r="X150" s="117"/>
      <c r="Y150" s="117"/>
      <c r="Z150" s="117"/>
      <c r="AA150" s="198"/>
      <c r="AB150" s="117"/>
      <c r="AC150" s="117"/>
      <c r="AD150" s="117"/>
      <c r="AE150" s="117"/>
      <c r="AF150" s="117"/>
      <c r="AG150" s="117"/>
      <c r="AH150" s="117"/>
      <c r="AI150" s="117"/>
      <c r="AJ150" s="117"/>
      <c r="AK150" s="117"/>
      <c r="AL150" s="117"/>
      <c r="AM150" s="117"/>
      <c r="AN150" s="116"/>
      <c r="AP150" s="117"/>
      <c r="AQ150" s="117"/>
      <c r="AR150" s="117"/>
      <c r="AS150" s="117"/>
      <c r="AT150" s="117"/>
      <c r="AU150" s="117"/>
    </row>
    <row r="151" spans="1:47" x14ac:dyDescent="0.2">
      <c r="A151" s="21"/>
      <c r="B151" s="21"/>
      <c r="C151" s="21"/>
      <c r="D151" s="21"/>
      <c r="E151" s="21"/>
      <c r="F151" s="21"/>
      <c r="G151" s="21"/>
      <c r="H151" s="24"/>
      <c r="I151" s="21"/>
      <c r="J151" s="100"/>
      <c r="K151" s="101"/>
      <c r="L151" s="100"/>
      <c r="M151" s="101"/>
      <c r="N151" s="101"/>
      <c r="O151" s="101"/>
      <c r="P151" s="101"/>
      <c r="R151" s="101"/>
      <c r="S151" s="101"/>
      <c r="T151" s="48"/>
      <c r="U151" s="101"/>
      <c r="V151" s="117"/>
      <c r="W151" s="101"/>
      <c r="X151" s="117"/>
      <c r="Y151" s="117"/>
      <c r="Z151" s="117"/>
      <c r="AA151" s="198"/>
      <c r="AB151" s="117"/>
      <c r="AC151" s="117"/>
      <c r="AD151" s="117"/>
      <c r="AE151" s="117"/>
      <c r="AF151" s="117"/>
      <c r="AG151" s="117"/>
      <c r="AH151" s="117"/>
      <c r="AI151" s="117"/>
      <c r="AJ151" s="117"/>
      <c r="AK151" s="117"/>
      <c r="AL151" s="117"/>
      <c r="AM151" s="117"/>
      <c r="AN151" s="116"/>
      <c r="AP151" s="117"/>
      <c r="AQ151" s="117"/>
      <c r="AR151" s="117"/>
      <c r="AS151" s="117"/>
      <c r="AT151" s="117"/>
      <c r="AU151" s="117"/>
    </row>
    <row r="152" spans="1:47" x14ac:dyDescent="0.2">
      <c r="A152" s="21"/>
      <c r="B152" s="21"/>
      <c r="C152" s="21"/>
      <c r="D152" s="21"/>
      <c r="E152" s="21"/>
      <c r="F152" s="21"/>
      <c r="G152" s="21"/>
      <c r="H152" s="24"/>
      <c r="I152" s="21"/>
      <c r="J152" s="100"/>
      <c r="K152" s="101"/>
      <c r="L152" s="100"/>
      <c r="M152" s="101"/>
      <c r="N152" s="101"/>
      <c r="O152" s="101"/>
      <c r="P152" s="101"/>
      <c r="R152" s="101"/>
      <c r="S152" s="101"/>
      <c r="T152" s="48"/>
      <c r="U152" s="101"/>
      <c r="V152" s="117"/>
      <c r="W152" s="101"/>
      <c r="X152" s="117"/>
      <c r="Y152" s="117"/>
      <c r="Z152" s="117"/>
      <c r="AA152" s="198"/>
      <c r="AB152" s="117"/>
      <c r="AC152" s="117"/>
      <c r="AD152" s="117"/>
      <c r="AE152" s="117"/>
      <c r="AF152" s="117"/>
      <c r="AG152" s="117"/>
      <c r="AH152" s="117"/>
      <c r="AI152" s="117"/>
      <c r="AJ152" s="117"/>
      <c r="AK152" s="117"/>
      <c r="AL152" s="117"/>
      <c r="AM152" s="117"/>
      <c r="AN152" s="116"/>
      <c r="AP152" s="117"/>
      <c r="AQ152" s="117"/>
      <c r="AR152" s="117"/>
      <c r="AS152" s="117"/>
      <c r="AT152" s="117"/>
      <c r="AU152" s="117"/>
    </row>
    <row r="153" spans="1:47" x14ac:dyDescent="0.2">
      <c r="A153" s="21"/>
      <c r="B153" s="21"/>
      <c r="C153" s="21"/>
      <c r="D153" s="21"/>
      <c r="E153" s="21"/>
      <c r="F153" s="21"/>
      <c r="G153" s="21"/>
      <c r="H153" s="24"/>
      <c r="I153" s="21"/>
      <c r="J153" s="100"/>
      <c r="K153" s="101"/>
      <c r="L153" s="100"/>
      <c r="M153" s="101"/>
      <c r="N153" s="101"/>
      <c r="O153" s="101"/>
      <c r="P153" s="101"/>
      <c r="R153" s="101"/>
      <c r="S153" s="101"/>
      <c r="T153" s="48"/>
      <c r="U153" s="101"/>
      <c r="V153" s="117"/>
      <c r="W153" s="101"/>
      <c r="X153" s="117"/>
      <c r="Y153" s="117"/>
      <c r="Z153" s="117"/>
      <c r="AA153" s="198"/>
      <c r="AB153" s="117"/>
      <c r="AC153" s="117"/>
      <c r="AD153" s="117"/>
      <c r="AE153" s="117"/>
      <c r="AF153" s="117"/>
      <c r="AG153" s="117"/>
      <c r="AH153" s="117"/>
      <c r="AI153" s="117"/>
      <c r="AJ153" s="117"/>
      <c r="AK153" s="117"/>
      <c r="AL153" s="117"/>
      <c r="AM153" s="117"/>
      <c r="AN153" s="116"/>
      <c r="AP153" s="117"/>
      <c r="AQ153" s="117"/>
      <c r="AR153" s="117"/>
      <c r="AS153" s="117"/>
      <c r="AT153" s="117"/>
      <c r="AU153" s="117"/>
    </row>
    <row r="154" spans="1:47" x14ac:dyDescent="0.2">
      <c r="A154" s="21"/>
      <c r="B154" s="21"/>
      <c r="C154" s="21"/>
      <c r="D154" s="21"/>
      <c r="E154" s="21"/>
      <c r="F154" s="21"/>
      <c r="G154" s="21"/>
      <c r="H154" s="24"/>
      <c r="I154" s="21"/>
      <c r="J154" s="100"/>
      <c r="K154" s="101"/>
      <c r="L154" s="100"/>
      <c r="M154" s="101"/>
      <c r="N154" s="101"/>
      <c r="O154" s="101"/>
      <c r="P154" s="101"/>
      <c r="R154" s="101"/>
      <c r="S154" s="101"/>
      <c r="T154" s="48"/>
      <c r="U154" s="101"/>
      <c r="V154" s="117"/>
      <c r="W154" s="101"/>
      <c r="X154" s="117"/>
      <c r="Y154" s="117"/>
      <c r="Z154" s="117"/>
      <c r="AA154" s="198"/>
      <c r="AB154" s="117"/>
      <c r="AC154" s="117"/>
      <c r="AD154" s="117"/>
      <c r="AE154" s="117"/>
      <c r="AF154" s="117"/>
      <c r="AG154" s="117"/>
      <c r="AH154" s="117"/>
      <c r="AI154" s="117"/>
      <c r="AJ154" s="117"/>
      <c r="AK154" s="117"/>
      <c r="AL154" s="117"/>
      <c r="AM154" s="117"/>
      <c r="AN154" s="116"/>
      <c r="AP154" s="117"/>
      <c r="AQ154" s="117"/>
      <c r="AR154" s="117"/>
      <c r="AS154" s="117"/>
      <c r="AT154" s="117"/>
      <c r="AU154" s="117"/>
    </row>
    <row r="155" spans="1:47" x14ac:dyDescent="0.2">
      <c r="A155" s="21"/>
      <c r="B155" s="21"/>
      <c r="C155" s="21"/>
      <c r="D155" s="21"/>
      <c r="E155" s="21"/>
      <c r="F155" s="21"/>
      <c r="G155" s="21"/>
      <c r="H155" s="24"/>
      <c r="I155" s="21"/>
      <c r="J155" s="100"/>
      <c r="K155" s="101"/>
      <c r="L155" s="100"/>
      <c r="M155" s="101"/>
      <c r="N155" s="101"/>
      <c r="O155" s="101"/>
      <c r="P155" s="101"/>
      <c r="R155" s="101"/>
      <c r="S155" s="101"/>
      <c r="T155" s="48"/>
      <c r="U155" s="101"/>
      <c r="V155" s="117"/>
      <c r="W155" s="101"/>
      <c r="X155" s="117"/>
      <c r="Y155" s="117"/>
      <c r="Z155" s="117"/>
      <c r="AA155" s="198"/>
      <c r="AB155" s="117"/>
      <c r="AC155" s="117"/>
      <c r="AD155" s="117"/>
      <c r="AE155" s="117"/>
      <c r="AF155" s="117"/>
      <c r="AG155" s="117"/>
      <c r="AH155" s="117"/>
      <c r="AI155" s="117"/>
      <c r="AJ155" s="117"/>
      <c r="AK155" s="117"/>
      <c r="AL155" s="117"/>
      <c r="AM155" s="117"/>
      <c r="AN155" s="116"/>
      <c r="AP155" s="117"/>
      <c r="AQ155" s="117"/>
      <c r="AR155" s="117"/>
      <c r="AS155" s="117"/>
      <c r="AT155" s="117"/>
      <c r="AU155" s="117"/>
    </row>
    <row r="156" spans="1:47" x14ac:dyDescent="0.2">
      <c r="A156" s="21"/>
      <c r="B156" s="21"/>
      <c r="C156" s="21"/>
      <c r="D156" s="21"/>
      <c r="E156" s="21"/>
      <c r="F156" s="21"/>
      <c r="G156" s="21"/>
      <c r="H156" s="24"/>
      <c r="I156" s="21"/>
      <c r="J156" s="100"/>
      <c r="K156" s="101"/>
      <c r="L156" s="100"/>
      <c r="M156" s="101"/>
      <c r="N156" s="101"/>
      <c r="O156" s="101"/>
      <c r="P156" s="101"/>
      <c r="R156" s="101"/>
      <c r="S156" s="101"/>
      <c r="T156" s="48"/>
      <c r="U156" s="101"/>
      <c r="V156" s="117"/>
      <c r="W156" s="101"/>
      <c r="X156" s="117"/>
      <c r="Y156" s="117"/>
      <c r="Z156" s="117"/>
      <c r="AA156" s="198"/>
      <c r="AB156" s="117"/>
      <c r="AC156" s="117"/>
      <c r="AD156" s="117"/>
      <c r="AE156" s="117"/>
      <c r="AF156" s="117"/>
      <c r="AG156" s="117"/>
      <c r="AH156" s="117"/>
      <c r="AI156" s="117"/>
      <c r="AJ156" s="117"/>
      <c r="AK156" s="117"/>
      <c r="AL156" s="117"/>
      <c r="AM156" s="117"/>
      <c r="AN156" s="116"/>
      <c r="AP156" s="117"/>
      <c r="AQ156" s="117"/>
      <c r="AR156" s="117"/>
      <c r="AS156" s="117"/>
      <c r="AT156" s="117"/>
      <c r="AU156" s="117"/>
    </row>
    <row r="157" spans="1:47" x14ac:dyDescent="0.2">
      <c r="A157" s="21"/>
      <c r="B157" s="21"/>
      <c r="C157" s="21"/>
      <c r="D157" s="21"/>
      <c r="E157" s="21"/>
      <c r="F157" s="21"/>
      <c r="G157" s="21"/>
      <c r="H157" s="24"/>
      <c r="I157" s="21"/>
      <c r="J157" s="100"/>
      <c r="K157" s="101"/>
      <c r="L157" s="100"/>
      <c r="M157" s="101"/>
      <c r="N157" s="101"/>
      <c r="O157" s="101"/>
      <c r="P157" s="101"/>
      <c r="R157" s="101"/>
      <c r="S157" s="101"/>
      <c r="T157" s="48"/>
      <c r="U157" s="101"/>
      <c r="V157" s="117"/>
      <c r="W157" s="101"/>
      <c r="X157" s="117"/>
      <c r="Y157" s="117"/>
      <c r="Z157" s="117"/>
      <c r="AA157" s="198"/>
      <c r="AB157" s="117"/>
      <c r="AC157" s="117"/>
      <c r="AD157" s="117"/>
      <c r="AE157" s="117"/>
      <c r="AF157" s="117"/>
      <c r="AG157" s="117"/>
      <c r="AH157" s="117"/>
      <c r="AI157" s="117"/>
      <c r="AJ157" s="117"/>
      <c r="AK157" s="117"/>
      <c r="AL157" s="117"/>
      <c r="AM157" s="117"/>
      <c r="AN157" s="116"/>
      <c r="AP157" s="117"/>
      <c r="AQ157" s="117"/>
      <c r="AR157" s="117"/>
      <c r="AS157" s="117"/>
      <c r="AT157" s="117"/>
      <c r="AU157" s="117"/>
    </row>
    <row r="158" spans="1:47" x14ac:dyDescent="0.2">
      <c r="A158" s="21"/>
      <c r="B158" s="21"/>
      <c r="C158" s="21"/>
      <c r="D158" s="21"/>
      <c r="E158" s="21"/>
      <c r="F158" s="21"/>
      <c r="G158" s="21"/>
      <c r="H158" s="24"/>
      <c r="I158" s="21"/>
      <c r="J158" s="100"/>
      <c r="K158" s="101"/>
      <c r="L158" s="100"/>
      <c r="M158" s="101"/>
      <c r="N158" s="101"/>
      <c r="O158" s="101"/>
      <c r="P158" s="101"/>
      <c r="R158" s="101"/>
      <c r="S158" s="101"/>
      <c r="T158" s="48"/>
      <c r="U158" s="101"/>
      <c r="V158" s="117"/>
      <c r="W158" s="101"/>
      <c r="X158" s="117"/>
      <c r="Y158" s="117"/>
      <c r="Z158" s="117"/>
      <c r="AA158" s="198"/>
      <c r="AB158" s="117"/>
      <c r="AC158" s="117"/>
      <c r="AD158" s="117"/>
      <c r="AE158" s="117"/>
      <c r="AF158" s="117"/>
      <c r="AG158" s="117"/>
      <c r="AH158" s="117"/>
      <c r="AI158" s="117"/>
      <c r="AJ158" s="117"/>
      <c r="AK158" s="117"/>
      <c r="AL158" s="117"/>
      <c r="AM158" s="117"/>
      <c r="AN158" s="116"/>
      <c r="AP158" s="117"/>
      <c r="AQ158" s="117"/>
      <c r="AR158" s="117"/>
      <c r="AS158" s="117"/>
      <c r="AT158" s="117"/>
      <c r="AU158" s="117"/>
    </row>
    <row r="159" spans="1:47" x14ac:dyDescent="0.2">
      <c r="A159" s="21"/>
      <c r="B159" s="21"/>
      <c r="C159" s="21"/>
      <c r="D159" s="21"/>
      <c r="E159" s="21"/>
      <c r="F159" s="21"/>
      <c r="G159" s="21"/>
      <c r="H159" s="24"/>
      <c r="I159" s="21"/>
      <c r="J159" s="100"/>
      <c r="K159" s="101"/>
      <c r="L159" s="100"/>
      <c r="M159" s="101"/>
      <c r="N159" s="101"/>
      <c r="O159" s="101"/>
      <c r="P159" s="101"/>
      <c r="R159" s="101"/>
      <c r="S159" s="101"/>
      <c r="T159" s="48"/>
      <c r="U159" s="101"/>
      <c r="V159" s="117"/>
      <c r="W159" s="101"/>
      <c r="X159" s="117"/>
      <c r="Y159" s="117"/>
      <c r="Z159" s="117"/>
      <c r="AA159" s="198"/>
      <c r="AB159" s="117"/>
      <c r="AC159" s="117"/>
      <c r="AD159" s="117"/>
      <c r="AE159" s="117"/>
      <c r="AF159" s="117"/>
      <c r="AG159" s="117"/>
      <c r="AH159" s="117"/>
      <c r="AI159" s="117"/>
      <c r="AJ159" s="117"/>
      <c r="AK159" s="117"/>
      <c r="AL159" s="117"/>
      <c r="AM159" s="117"/>
      <c r="AN159" s="116"/>
      <c r="AP159" s="117"/>
      <c r="AQ159" s="117"/>
      <c r="AR159" s="117"/>
      <c r="AS159" s="117"/>
      <c r="AT159" s="117"/>
      <c r="AU159" s="117"/>
    </row>
    <row r="160" spans="1:47" x14ac:dyDescent="0.2">
      <c r="A160" s="21"/>
      <c r="B160" s="21"/>
      <c r="C160" s="21"/>
      <c r="D160" s="21"/>
      <c r="E160" s="21"/>
      <c r="F160" s="21"/>
      <c r="G160" s="21"/>
      <c r="H160" s="24"/>
      <c r="I160" s="21"/>
      <c r="J160" s="100"/>
      <c r="K160" s="101"/>
      <c r="L160" s="100"/>
      <c r="M160" s="101"/>
      <c r="N160" s="101"/>
      <c r="O160" s="101"/>
      <c r="P160" s="101"/>
      <c r="R160" s="101"/>
      <c r="S160" s="101"/>
      <c r="T160" s="48"/>
      <c r="U160" s="101"/>
      <c r="V160" s="117"/>
      <c r="W160" s="101"/>
      <c r="X160" s="117"/>
      <c r="Y160" s="117"/>
      <c r="Z160" s="117"/>
      <c r="AA160" s="198"/>
      <c r="AB160" s="117"/>
      <c r="AC160" s="117"/>
      <c r="AD160" s="117"/>
      <c r="AE160" s="117"/>
      <c r="AF160" s="117"/>
      <c r="AG160" s="117"/>
      <c r="AH160" s="117"/>
      <c r="AI160" s="117"/>
      <c r="AJ160" s="117"/>
      <c r="AK160" s="117"/>
      <c r="AL160" s="117"/>
      <c r="AM160" s="117"/>
      <c r="AN160" s="116"/>
      <c r="AP160" s="117"/>
      <c r="AQ160" s="117"/>
      <c r="AR160" s="117"/>
      <c r="AS160" s="117"/>
      <c r="AT160" s="117"/>
      <c r="AU160" s="117"/>
    </row>
    <row r="161" spans="1:47" x14ac:dyDescent="0.2">
      <c r="A161" s="21"/>
      <c r="B161" s="21"/>
      <c r="C161" s="21"/>
      <c r="D161" s="21"/>
      <c r="E161" s="21"/>
      <c r="F161" s="21"/>
      <c r="G161" s="21"/>
      <c r="H161" s="24"/>
      <c r="I161" s="21"/>
      <c r="J161" s="100"/>
      <c r="K161" s="101"/>
      <c r="L161" s="100"/>
      <c r="M161" s="101"/>
      <c r="N161" s="101"/>
      <c r="O161" s="101"/>
      <c r="P161" s="101"/>
      <c r="R161" s="101"/>
      <c r="S161" s="101"/>
      <c r="T161" s="48"/>
      <c r="U161" s="101"/>
      <c r="V161" s="117"/>
      <c r="W161" s="101"/>
      <c r="X161" s="117"/>
      <c r="Y161" s="117"/>
      <c r="Z161" s="117"/>
      <c r="AA161" s="198"/>
      <c r="AB161" s="117"/>
      <c r="AC161" s="117"/>
      <c r="AD161" s="117"/>
      <c r="AE161" s="117"/>
      <c r="AF161" s="117"/>
      <c r="AG161" s="117"/>
      <c r="AH161" s="117"/>
      <c r="AI161" s="117"/>
      <c r="AJ161" s="117"/>
      <c r="AK161" s="117"/>
      <c r="AL161" s="117"/>
      <c r="AM161" s="117"/>
      <c r="AN161" s="116"/>
      <c r="AP161" s="117"/>
      <c r="AQ161" s="117"/>
      <c r="AR161" s="117"/>
      <c r="AS161" s="117"/>
      <c r="AT161" s="117"/>
      <c r="AU161" s="117"/>
    </row>
    <row r="162" spans="1:47" x14ac:dyDescent="0.2">
      <c r="A162" s="21"/>
      <c r="B162" s="21"/>
      <c r="C162" s="21"/>
      <c r="D162" s="21"/>
      <c r="E162" s="21"/>
      <c r="F162" s="21"/>
      <c r="G162" s="21"/>
      <c r="H162" s="24"/>
      <c r="I162" s="21"/>
      <c r="J162" s="100"/>
      <c r="K162" s="101"/>
      <c r="L162" s="100"/>
      <c r="M162" s="101"/>
      <c r="N162" s="101"/>
      <c r="O162" s="101"/>
      <c r="P162" s="101"/>
      <c r="R162" s="101"/>
      <c r="S162" s="101"/>
      <c r="T162" s="48"/>
      <c r="U162" s="101"/>
      <c r="V162" s="117"/>
      <c r="W162" s="101"/>
      <c r="X162" s="117"/>
      <c r="Y162" s="117"/>
      <c r="Z162" s="117"/>
      <c r="AA162" s="198"/>
      <c r="AB162" s="117"/>
      <c r="AC162" s="117"/>
      <c r="AD162" s="117"/>
      <c r="AE162" s="117"/>
      <c r="AF162" s="117"/>
      <c r="AG162" s="117"/>
      <c r="AH162" s="117"/>
      <c r="AI162" s="117"/>
      <c r="AJ162" s="117"/>
      <c r="AK162" s="117"/>
      <c r="AL162" s="117"/>
      <c r="AM162" s="117"/>
      <c r="AN162" s="116"/>
      <c r="AP162" s="117"/>
      <c r="AQ162" s="117"/>
      <c r="AR162" s="117"/>
      <c r="AS162" s="117"/>
      <c r="AT162" s="117"/>
      <c r="AU162" s="117"/>
    </row>
    <row r="163" spans="1:47" x14ac:dyDescent="0.2">
      <c r="A163" s="21"/>
      <c r="B163" s="21"/>
      <c r="C163" s="21"/>
      <c r="D163" s="21"/>
      <c r="E163" s="21"/>
      <c r="F163" s="21"/>
      <c r="G163" s="21"/>
      <c r="H163" s="24"/>
      <c r="I163" s="21"/>
      <c r="J163" s="100"/>
      <c r="K163" s="101"/>
      <c r="L163" s="100"/>
      <c r="M163" s="101"/>
      <c r="N163" s="101"/>
      <c r="O163" s="101"/>
      <c r="P163" s="101"/>
      <c r="R163" s="101"/>
      <c r="S163" s="101"/>
      <c r="T163" s="48"/>
      <c r="U163" s="101"/>
      <c r="V163" s="117"/>
      <c r="W163" s="101"/>
      <c r="X163" s="117"/>
      <c r="Y163" s="117"/>
      <c r="Z163" s="117"/>
      <c r="AA163" s="198"/>
      <c r="AB163" s="117"/>
      <c r="AC163" s="117"/>
      <c r="AD163" s="117"/>
      <c r="AE163" s="117"/>
      <c r="AF163" s="117"/>
      <c r="AG163" s="117"/>
      <c r="AH163" s="117"/>
      <c r="AI163" s="117"/>
      <c r="AJ163" s="117"/>
      <c r="AK163" s="117"/>
      <c r="AL163" s="117"/>
      <c r="AM163" s="117"/>
      <c r="AN163" s="116"/>
      <c r="AP163" s="117"/>
      <c r="AQ163" s="117"/>
      <c r="AR163" s="117"/>
      <c r="AS163" s="117"/>
      <c r="AT163" s="117"/>
      <c r="AU163" s="117"/>
    </row>
    <row r="164" spans="1:47" x14ac:dyDescent="0.2">
      <c r="A164" s="21"/>
      <c r="B164" s="21"/>
      <c r="C164" s="21"/>
      <c r="D164" s="21"/>
      <c r="E164" s="21"/>
      <c r="F164" s="21"/>
      <c r="G164" s="21"/>
      <c r="H164" s="24"/>
      <c r="I164" s="21"/>
      <c r="J164" s="100"/>
      <c r="K164" s="101"/>
      <c r="L164" s="100"/>
      <c r="M164" s="101"/>
      <c r="N164" s="101"/>
      <c r="O164" s="101"/>
      <c r="P164" s="101"/>
      <c r="R164" s="101"/>
      <c r="S164" s="101"/>
      <c r="T164" s="48"/>
      <c r="U164" s="101"/>
      <c r="V164" s="117"/>
      <c r="W164" s="101"/>
      <c r="X164" s="117"/>
      <c r="Y164" s="117"/>
      <c r="Z164" s="117"/>
      <c r="AA164" s="198"/>
      <c r="AB164" s="117"/>
      <c r="AC164" s="117"/>
      <c r="AD164" s="117"/>
      <c r="AE164" s="117"/>
      <c r="AF164" s="117"/>
      <c r="AG164" s="117"/>
      <c r="AH164" s="117"/>
      <c r="AI164" s="117"/>
      <c r="AJ164" s="117"/>
      <c r="AK164" s="117"/>
      <c r="AL164" s="117"/>
      <c r="AM164" s="117"/>
      <c r="AN164" s="116"/>
      <c r="AP164" s="117"/>
      <c r="AQ164" s="117"/>
      <c r="AR164" s="117"/>
      <c r="AS164" s="117"/>
      <c r="AT164" s="117"/>
      <c r="AU164" s="117"/>
    </row>
    <row r="165" spans="1:47" x14ac:dyDescent="0.2">
      <c r="A165" s="21"/>
      <c r="B165" s="21"/>
      <c r="C165" s="21"/>
      <c r="D165" s="21"/>
      <c r="E165" s="21"/>
      <c r="F165" s="21"/>
      <c r="G165" s="21"/>
      <c r="H165" s="24"/>
      <c r="I165" s="21"/>
      <c r="J165" s="100"/>
      <c r="K165" s="101"/>
      <c r="L165" s="100"/>
      <c r="M165" s="101"/>
      <c r="N165" s="101"/>
      <c r="O165" s="101"/>
      <c r="P165" s="101"/>
      <c r="R165" s="101"/>
      <c r="S165" s="101"/>
      <c r="T165" s="48"/>
      <c r="U165" s="101"/>
      <c r="V165" s="117"/>
      <c r="W165" s="101"/>
      <c r="X165" s="117"/>
      <c r="Y165" s="117"/>
      <c r="Z165" s="117"/>
      <c r="AA165" s="198"/>
      <c r="AB165" s="117"/>
      <c r="AC165" s="117"/>
      <c r="AD165" s="117"/>
      <c r="AE165" s="117"/>
      <c r="AF165" s="117"/>
      <c r="AG165" s="117"/>
      <c r="AH165" s="117"/>
      <c r="AI165" s="117"/>
      <c r="AJ165" s="117"/>
      <c r="AK165" s="117"/>
      <c r="AL165" s="117"/>
      <c r="AM165" s="117"/>
      <c r="AN165" s="116"/>
      <c r="AP165" s="117"/>
      <c r="AQ165" s="117"/>
      <c r="AR165" s="117"/>
      <c r="AS165" s="117"/>
      <c r="AT165" s="117"/>
      <c r="AU165" s="117"/>
    </row>
    <row r="166" spans="1:47" x14ac:dyDescent="0.2">
      <c r="A166" s="21"/>
      <c r="B166" s="21"/>
      <c r="C166" s="21"/>
      <c r="D166" s="21"/>
      <c r="E166" s="21"/>
      <c r="F166" s="21"/>
      <c r="G166" s="21"/>
      <c r="H166" s="24"/>
      <c r="I166" s="21"/>
      <c r="J166" s="100"/>
      <c r="K166" s="101"/>
      <c r="L166" s="100"/>
      <c r="M166" s="101"/>
      <c r="N166" s="101"/>
      <c r="O166" s="101"/>
      <c r="P166" s="101"/>
      <c r="R166" s="101"/>
      <c r="S166" s="101"/>
      <c r="T166" s="48"/>
      <c r="U166" s="101"/>
      <c r="V166" s="117"/>
      <c r="W166" s="101"/>
      <c r="X166" s="117"/>
      <c r="Y166" s="117"/>
      <c r="Z166" s="117"/>
      <c r="AA166" s="198"/>
      <c r="AB166" s="117"/>
      <c r="AC166" s="117"/>
      <c r="AD166" s="117"/>
      <c r="AE166" s="117"/>
      <c r="AF166" s="117"/>
      <c r="AG166" s="117"/>
      <c r="AH166" s="117"/>
      <c r="AI166" s="117"/>
      <c r="AJ166" s="117"/>
      <c r="AK166" s="117"/>
      <c r="AL166" s="117"/>
      <c r="AM166" s="117"/>
      <c r="AN166" s="116"/>
      <c r="AP166" s="117"/>
      <c r="AQ166" s="117"/>
      <c r="AR166" s="117"/>
      <c r="AS166" s="117"/>
      <c r="AT166" s="117"/>
      <c r="AU166" s="117"/>
    </row>
    <row r="167" spans="1:47" x14ac:dyDescent="0.2">
      <c r="A167" s="21"/>
      <c r="B167" s="21"/>
      <c r="C167" s="21"/>
      <c r="D167" s="21"/>
      <c r="E167" s="21"/>
      <c r="F167" s="21"/>
      <c r="G167" s="21"/>
      <c r="H167" s="24"/>
      <c r="I167" s="21"/>
      <c r="J167" s="100"/>
      <c r="K167" s="101"/>
      <c r="L167" s="100"/>
      <c r="M167" s="101"/>
      <c r="N167" s="101"/>
      <c r="O167" s="101"/>
      <c r="P167" s="101"/>
      <c r="R167" s="101"/>
      <c r="S167" s="101"/>
      <c r="T167" s="48"/>
      <c r="U167" s="101"/>
      <c r="V167" s="117"/>
      <c r="W167" s="101"/>
      <c r="X167" s="117"/>
      <c r="Y167" s="117"/>
      <c r="Z167" s="117"/>
      <c r="AA167" s="198"/>
      <c r="AB167" s="117"/>
      <c r="AC167" s="117"/>
      <c r="AD167" s="117"/>
      <c r="AE167" s="117"/>
      <c r="AF167" s="117"/>
      <c r="AG167" s="117"/>
      <c r="AH167" s="117"/>
      <c r="AI167" s="117"/>
      <c r="AJ167" s="117"/>
      <c r="AK167" s="117"/>
      <c r="AL167" s="117"/>
      <c r="AM167" s="117"/>
      <c r="AN167" s="116"/>
      <c r="AP167" s="117"/>
      <c r="AQ167" s="117"/>
      <c r="AR167" s="117"/>
      <c r="AS167" s="117"/>
      <c r="AT167" s="117"/>
      <c r="AU167" s="117"/>
    </row>
    <row r="168" spans="1:47" x14ac:dyDescent="0.2">
      <c r="A168" s="21"/>
      <c r="B168" s="21"/>
      <c r="C168" s="21"/>
      <c r="D168" s="21"/>
      <c r="E168" s="21"/>
      <c r="F168" s="21"/>
      <c r="G168" s="21"/>
      <c r="H168" s="24"/>
      <c r="I168" s="21"/>
      <c r="J168" s="100"/>
      <c r="K168" s="101"/>
      <c r="L168" s="100"/>
      <c r="M168" s="101"/>
      <c r="N168" s="101"/>
      <c r="O168" s="101"/>
      <c r="P168" s="101"/>
      <c r="R168" s="101"/>
      <c r="S168" s="101"/>
      <c r="T168" s="48"/>
      <c r="U168" s="101"/>
      <c r="V168" s="117"/>
      <c r="W168" s="101"/>
      <c r="X168" s="117"/>
      <c r="Y168" s="117"/>
      <c r="Z168" s="117"/>
      <c r="AA168" s="198"/>
      <c r="AB168" s="117"/>
      <c r="AC168" s="117"/>
      <c r="AD168" s="117"/>
      <c r="AE168" s="117"/>
      <c r="AF168" s="117"/>
      <c r="AG168" s="117"/>
      <c r="AH168" s="117"/>
      <c r="AI168" s="117"/>
      <c r="AJ168" s="117"/>
      <c r="AK168" s="117"/>
      <c r="AL168" s="117"/>
      <c r="AM168" s="117"/>
      <c r="AN168" s="116"/>
      <c r="AP168" s="117"/>
      <c r="AQ168" s="117"/>
      <c r="AR168" s="117"/>
      <c r="AS168" s="117"/>
      <c r="AT168" s="117"/>
      <c r="AU168" s="117"/>
    </row>
    <row r="169" spans="1:47" x14ac:dyDescent="0.2">
      <c r="A169" s="21"/>
      <c r="B169" s="21"/>
      <c r="C169" s="21"/>
      <c r="D169" s="21"/>
      <c r="E169" s="21"/>
      <c r="F169" s="21"/>
      <c r="G169" s="21"/>
      <c r="H169" s="24"/>
      <c r="I169" s="21"/>
      <c r="J169" s="100"/>
      <c r="K169" s="101"/>
      <c r="L169" s="100"/>
      <c r="M169" s="101"/>
      <c r="N169" s="101"/>
      <c r="O169" s="101"/>
      <c r="P169" s="101"/>
      <c r="R169" s="101"/>
      <c r="S169" s="101"/>
      <c r="T169" s="48"/>
      <c r="U169" s="101"/>
      <c r="V169" s="117"/>
      <c r="W169" s="101"/>
      <c r="X169" s="117"/>
      <c r="Y169" s="117"/>
      <c r="Z169" s="117"/>
      <c r="AA169" s="198"/>
      <c r="AB169" s="117"/>
      <c r="AC169" s="117"/>
      <c r="AD169" s="117"/>
      <c r="AE169" s="117"/>
      <c r="AF169" s="117"/>
      <c r="AG169" s="117"/>
      <c r="AH169" s="117"/>
      <c r="AI169" s="117"/>
      <c r="AJ169" s="117"/>
      <c r="AK169" s="117"/>
      <c r="AL169" s="117"/>
      <c r="AM169" s="117"/>
      <c r="AN169" s="116"/>
      <c r="AP169" s="117"/>
      <c r="AQ169" s="117"/>
      <c r="AR169" s="117"/>
      <c r="AS169" s="117"/>
      <c r="AT169" s="117"/>
      <c r="AU169" s="117"/>
    </row>
    <row r="170" spans="1:47" x14ac:dyDescent="0.2">
      <c r="A170" s="21"/>
      <c r="B170" s="21"/>
      <c r="C170" s="21"/>
      <c r="D170" s="21"/>
      <c r="E170" s="21"/>
      <c r="F170" s="21"/>
      <c r="G170" s="21"/>
      <c r="H170" s="24"/>
      <c r="I170" s="21"/>
      <c r="J170" s="100"/>
      <c r="K170" s="101"/>
      <c r="L170" s="100"/>
      <c r="M170" s="101"/>
      <c r="N170" s="101"/>
      <c r="O170" s="101"/>
      <c r="P170" s="101"/>
      <c r="R170" s="101"/>
      <c r="S170" s="101"/>
      <c r="T170" s="48"/>
      <c r="U170" s="101"/>
      <c r="V170" s="117"/>
      <c r="W170" s="101"/>
      <c r="X170" s="117"/>
      <c r="Y170" s="117"/>
      <c r="Z170" s="117"/>
      <c r="AA170" s="198"/>
      <c r="AB170" s="117"/>
      <c r="AC170" s="117"/>
      <c r="AD170" s="117"/>
      <c r="AE170" s="117"/>
      <c r="AF170" s="117"/>
      <c r="AG170" s="117"/>
      <c r="AH170" s="117"/>
      <c r="AI170" s="117"/>
      <c r="AJ170" s="117"/>
      <c r="AK170" s="117"/>
      <c r="AL170" s="117"/>
      <c r="AM170" s="117"/>
      <c r="AN170" s="116"/>
      <c r="AP170" s="117"/>
      <c r="AQ170" s="117"/>
      <c r="AR170" s="117"/>
      <c r="AS170" s="117"/>
      <c r="AT170" s="117"/>
      <c r="AU170" s="117"/>
    </row>
    <row r="171" spans="1:47" x14ac:dyDescent="0.2">
      <c r="A171" s="21"/>
      <c r="B171" s="21"/>
      <c r="C171" s="21"/>
      <c r="D171" s="21"/>
      <c r="E171" s="21"/>
      <c r="F171" s="21"/>
      <c r="G171" s="21"/>
      <c r="H171" s="24"/>
      <c r="I171" s="21"/>
      <c r="J171" s="100"/>
      <c r="K171" s="101"/>
      <c r="L171" s="100"/>
      <c r="M171" s="101"/>
      <c r="N171" s="101"/>
      <c r="O171" s="101"/>
      <c r="P171" s="101"/>
      <c r="R171" s="101"/>
      <c r="S171" s="101"/>
      <c r="T171" s="48"/>
      <c r="U171" s="101"/>
      <c r="V171" s="117"/>
      <c r="W171" s="101"/>
      <c r="X171" s="117"/>
      <c r="Y171" s="117"/>
      <c r="Z171" s="117"/>
      <c r="AA171" s="198"/>
      <c r="AB171" s="117"/>
      <c r="AC171" s="117"/>
      <c r="AD171" s="117"/>
      <c r="AE171" s="117"/>
      <c r="AF171" s="117"/>
      <c r="AG171" s="117"/>
      <c r="AH171" s="117"/>
      <c r="AI171" s="117"/>
      <c r="AJ171" s="117"/>
      <c r="AK171" s="117"/>
      <c r="AL171" s="117"/>
      <c r="AM171" s="117"/>
      <c r="AN171" s="116"/>
      <c r="AP171" s="117"/>
      <c r="AQ171" s="117"/>
      <c r="AR171" s="117"/>
      <c r="AS171" s="117"/>
      <c r="AT171" s="117"/>
      <c r="AU171" s="117"/>
    </row>
    <row r="172" spans="1:47" x14ac:dyDescent="0.2">
      <c r="A172" s="21"/>
      <c r="B172" s="21"/>
      <c r="C172" s="21"/>
      <c r="D172" s="21"/>
      <c r="E172" s="21"/>
      <c r="F172" s="21"/>
      <c r="G172" s="21"/>
      <c r="H172" s="24"/>
      <c r="I172" s="21"/>
      <c r="J172" s="100"/>
      <c r="K172" s="101"/>
      <c r="L172" s="100"/>
      <c r="M172" s="101"/>
      <c r="N172" s="101"/>
      <c r="O172" s="101"/>
      <c r="P172" s="101"/>
      <c r="R172" s="101"/>
      <c r="S172" s="101"/>
      <c r="T172" s="48"/>
      <c r="U172" s="101"/>
      <c r="V172" s="117"/>
      <c r="W172" s="101"/>
      <c r="X172" s="117"/>
      <c r="Y172" s="117"/>
      <c r="Z172" s="117"/>
      <c r="AA172" s="198"/>
      <c r="AB172" s="117"/>
      <c r="AC172" s="117"/>
      <c r="AD172" s="117"/>
      <c r="AE172" s="117"/>
      <c r="AF172" s="117"/>
      <c r="AG172" s="117"/>
      <c r="AH172" s="117"/>
      <c r="AI172" s="117"/>
      <c r="AJ172" s="117"/>
      <c r="AK172" s="117"/>
      <c r="AL172" s="117"/>
      <c r="AM172" s="117"/>
      <c r="AN172" s="116"/>
      <c r="AP172" s="117"/>
      <c r="AQ172" s="117"/>
      <c r="AR172" s="117"/>
      <c r="AS172" s="117"/>
      <c r="AT172" s="117"/>
      <c r="AU172" s="117"/>
    </row>
    <row r="173" spans="1:47" x14ac:dyDescent="0.2">
      <c r="A173" s="21"/>
      <c r="B173" s="21"/>
      <c r="C173" s="21"/>
      <c r="D173" s="21"/>
      <c r="E173" s="21"/>
      <c r="F173" s="21"/>
      <c r="G173" s="21"/>
      <c r="H173" s="24"/>
      <c r="I173" s="21"/>
      <c r="J173" s="100"/>
      <c r="K173" s="101"/>
      <c r="L173" s="100"/>
      <c r="M173" s="101"/>
      <c r="N173" s="101"/>
      <c r="O173" s="101"/>
      <c r="P173" s="101"/>
      <c r="R173" s="101"/>
      <c r="S173" s="101"/>
      <c r="T173" s="48"/>
      <c r="U173" s="101"/>
      <c r="V173" s="117"/>
      <c r="W173" s="101"/>
      <c r="X173" s="117"/>
      <c r="Y173" s="117"/>
      <c r="Z173" s="117"/>
      <c r="AA173" s="198"/>
      <c r="AB173" s="117"/>
      <c r="AC173" s="117"/>
      <c r="AD173" s="117"/>
      <c r="AE173" s="117"/>
      <c r="AF173" s="117"/>
      <c r="AG173" s="117"/>
      <c r="AH173" s="117"/>
      <c r="AI173" s="117"/>
      <c r="AJ173" s="117"/>
      <c r="AK173" s="117"/>
      <c r="AL173" s="117"/>
      <c r="AM173" s="117"/>
      <c r="AN173" s="116"/>
      <c r="AP173" s="117"/>
      <c r="AQ173" s="117"/>
      <c r="AR173" s="117"/>
      <c r="AS173" s="117"/>
      <c r="AT173" s="117"/>
      <c r="AU173" s="117"/>
    </row>
    <row r="174" spans="1:47" x14ac:dyDescent="0.2">
      <c r="A174" s="21"/>
      <c r="B174" s="21"/>
      <c r="C174" s="21"/>
      <c r="D174" s="21"/>
      <c r="E174" s="21"/>
      <c r="F174" s="21"/>
      <c r="G174" s="21"/>
      <c r="H174" s="24"/>
      <c r="I174" s="21"/>
      <c r="J174" s="100"/>
      <c r="K174" s="101"/>
      <c r="L174" s="100"/>
      <c r="M174" s="101"/>
      <c r="N174" s="101"/>
      <c r="O174" s="101"/>
      <c r="P174" s="101"/>
      <c r="R174" s="101"/>
      <c r="S174" s="101"/>
      <c r="T174" s="48"/>
      <c r="U174" s="101"/>
      <c r="V174" s="117"/>
      <c r="W174" s="101"/>
      <c r="X174" s="117"/>
      <c r="Y174" s="117"/>
      <c r="Z174" s="117"/>
      <c r="AA174" s="198"/>
      <c r="AB174" s="117"/>
      <c r="AC174" s="117"/>
      <c r="AD174" s="117"/>
      <c r="AE174" s="117"/>
      <c r="AF174" s="117"/>
      <c r="AG174" s="117"/>
      <c r="AH174" s="117"/>
      <c r="AI174" s="117"/>
      <c r="AJ174" s="117"/>
      <c r="AK174" s="117"/>
      <c r="AL174" s="117"/>
      <c r="AM174" s="117"/>
      <c r="AN174" s="116"/>
      <c r="AP174" s="117"/>
      <c r="AQ174" s="117"/>
      <c r="AR174" s="117"/>
      <c r="AS174" s="117"/>
      <c r="AT174" s="117"/>
      <c r="AU174" s="117"/>
    </row>
    <row r="175" spans="1:47" x14ac:dyDescent="0.2">
      <c r="A175" s="21"/>
      <c r="B175" s="21"/>
      <c r="C175" s="21"/>
      <c r="D175" s="21"/>
      <c r="E175" s="21"/>
      <c r="F175" s="21"/>
      <c r="G175" s="21"/>
      <c r="H175" s="24"/>
      <c r="I175" s="21"/>
      <c r="J175" s="100"/>
      <c r="K175" s="101"/>
      <c r="L175" s="100"/>
      <c r="M175" s="101"/>
      <c r="N175" s="101"/>
      <c r="O175" s="101"/>
      <c r="P175" s="101"/>
      <c r="R175" s="101"/>
      <c r="S175" s="101"/>
      <c r="T175" s="48"/>
      <c r="U175" s="101"/>
      <c r="V175" s="117"/>
      <c r="W175" s="101"/>
      <c r="X175" s="117"/>
      <c r="Y175" s="117"/>
      <c r="Z175" s="117"/>
      <c r="AA175" s="198"/>
      <c r="AB175" s="117"/>
      <c r="AC175" s="117"/>
      <c r="AD175" s="117"/>
      <c r="AE175" s="117"/>
      <c r="AF175" s="117"/>
      <c r="AG175" s="117"/>
      <c r="AH175" s="117"/>
      <c r="AI175" s="117"/>
      <c r="AJ175" s="117"/>
      <c r="AK175" s="117"/>
      <c r="AL175" s="117"/>
      <c r="AM175" s="117"/>
      <c r="AN175" s="116"/>
      <c r="AP175" s="117"/>
      <c r="AQ175" s="117"/>
      <c r="AR175" s="117"/>
      <c r="AS175" s="117"/>
      <c r="AT175" s="117"/>
      <c r="AU175" s="117"/>
    </row>
  </sheetData>
  <pageMargins left="0.31" right="0.36" top="0.75" bottom="0.28000000000000003" header="0.3" footer="0.19"/>
  <pageSetup scale="49" orientation="landscape" r:id="rId1"/>
  <headerFooter>
    <oddHeader>&amp;L&amp;"Arial,Bold"&amp;12Judicial Branch&amp;R&amp;"Arial,Bold"&amp;12Justice System Apropriation Subcommittee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62"/>
  <sheetViews>
    <sheetView tabSelected="1" view="pageBreakPreview" zoomScale="60" zoomScaleNormal="80" workbookViewId="0">
      <selection activeCell="AI1" sqref="AI1:AN1048576"/>
    </sheetView>
  </sheetViews>
  <sheetFormatPr defaultColWidth="9.140625" defaultRowHeight="12.75" x14ac:dyDescent="0.2"/>
  <cols>
    <col min="1" max="1" width="23.140625" style="11" customWidth="1"/>
    <col min="2" max="2" width="0.7109375" style="11" customWidth="1"/>
    <col min="3" max="3" width="17.140625" style="15" customWidth="1"/>
    <col min="4" max="4" width="1.140625" style="11" customWidth="1"/>
    <col min="5" max="5" width="16" style="16" customWidth="1"/>
    <col min="6" max="6" width="1" style="17" customWidth="1"/>
    <col min="7" max="7" width="29.28515625" style="16" customWidth="1"/>
    <col min="8" max="8" width="1" style="17" customWidth="1"/>
    <col min="9" max="9" width="11.140625" style="20" customWidth="1"/>
    <col min="10" max="10" width="1.28515625" style="5" customWidth="1"/>
    <col min="11" max="11" width="10.7109375" style="5" customWidth="1"/>
    <col min="12" max="12" width="1" style="5" customWidth="1"/>
    <col min="13" max="13" width="16" style="5" customWidth="1"/>
    <col min="14" max="14" width="0.5703125" style="5" customWidth="1"/>
    <col min="15" max="15" width="10.7109375" style="20" customWidth="1"/>
    <col min="16" max="16" width="11.28515625" style="5" bestFit="1" customWidth="1"/>
    <col min="17" max="17" width="10.42578125" style="5" hidden="1" customWidth="1"/>
    <col min="18" max="18" width="0.85546875" style="5" hidden="1" customWidth="1"/>
    <col min="19" max="19" width="14" style="45" hidden="1" customWidth="1"/>
    <col min="20" max="20" width="0.85546875" style="5" hidden="1" customWidth="1"/>
    <col min="21" max="21" width="8.42578125" style="57" hidden="1" customWidth="1"/>
    <col min="22" max="22" width="0.85546875" style="5" hidden="1" customWidth="1"/>
    <col min="23" max="23" width="9.85546875" style="57" hidden="1" customWidth="1"/>
    <col min="24" max="24" width="0.85546875" style="5" customWidth="1"/>
    <col min="25" max="25" width="10.42578125" style="5" hidden="1" customWidth="1"/>
    <col min="26" max="26" width="0.85546875" style="5" hidden="1" customWidth="1"/>
    <col min="27" max="27" width="14" style="45" hidden="1" customWidth="1"/>
    <col min="28" max="28" width="0.85546875" style="5" hidden="1" customWidth="1"/>
    <col min="29" max="29" width="8.42578125" style="57" hidden="1" customWidth="1"/>
    <col min="30" max="30" width="0.85546875" style="5" hidden="1" customWidth="1"/>
    <col min="31" max="31" width="9.85546875" style="57" hidden="1" customWidth="1"/>
    <col min="32" max="32" width="8.42578125" style="57" hidden="1" customWidth="1"/>
    <col min="33" max="33" width="0.85546875" style="5" hidden="1" customWidth="1"/>
    <col min="34" max="34" width="9.85546875" style="57" hidden="1" customWidth="1"/>
    <col min="35" max="35" width="12.140625" style="57" hidden="1" customWidth="1"/>
    <col min="36" max="36" width="0.85546875" style="5" hidden="1" customWidth="1"/>
    <col min="37" max="37" width="10.7109375" style="57" hidden="1" customWidth="1"/>
    <col min="38" max="38" width="11.7109375" style="57" hidden="1" customWidth="1"/>
    <col min="39" max="39" width="0.85546875" style="5" hidden="1" customWidth="1"/>
    <col min="40" max="40" width="10.7109375" style="57" hidden="1" customWidth="1"/>
    <col min="41" max="41" width="1.42578125" style="57" customWidth="1"/>
    <col min="42" max="42" width="13.28515625" style="57" customWidth="1"/>
    <col min="43" max="43" width="12.5703125" style="57" customWidth="1"/>
    <col min="44" max="44" width="1.85546875" style="57" customWidth="1"/>
    <col min="45" max="45" width="11" style="57" customWidth="1"/>
    <col min="46" max="46" width="12.140625" style="57" customWidth="1"/>
    <col min="47" max="47" width="18.85546875" style="121" customWidth="1"/>
    <col min="48" max="48" width="14.140625" style="5" customWidth="1"/>
    <col min="49" max="49" width="2.5703125" style="5" customWidth="1"/>
    <col min="50" max="50" width="18.140625" style="5" customWidth="1"/>
    <col min="51" max="276" width="9.140625" style="5"/>
    <col min="277" max="277" width="2.140625" style="5" customWidth="1"/>
    <col min="278" max="278" width="14" style="5" customWidth="1"/>
    <col min="279" max="279" width="0.7109375" style="5" customWidth="1"/>
    <col min="280" max="280" width="17.140625" style="5" customWidth="1"/>
    <col min="281" max="281" width="1.140625" style="5" customWidth="1"/>
    <col min="282" max="282" width="18.28515625" style="5" customWidth="1"/>
    <col min="283" max="283" width="1" style="5" customWidth="1"/>
    <col min="284" max="284" width="41.28515625" style="5" customWidth="1"/>
    <col min="285" max="285" width="1" style="5" customWidth="1"/>
    <col min="286" max="286" width="11.140625" style="5" customWidth="1"/>
    <col min="287" max="287" width="1.28515625" style="5" customWidth="1"/>
    <col min="288" max="288" width="10.7109375" style="5" customWidth="1"/>
    <col min="289" max="289" width="1" style="5" customWidth="1"/>
    <col min="290" max="290" width="10.42578125" style="5" customWidth="1"/>
    <col min="291" max="291" width="0.85546875" style="5" customWidth="1"/>
    <col min="292" max="292" width="14" style="5" customWidth="1"/>
    <col min="293" max="293" width="0.85546875" style="5" customWidth="1"/>
    <col min="294" max="294" width="8.42578125" style="5" customWidth="1"/>
    <col min="295" max="295" width="0.85546875" style="5" customWidth="1"/>
    <col min="296" max="296" width="9.85546875" style="5" customWidth="1"/>
    <col min="297" max="297" width="0.85546875" style="5" customWidth="1"/>
    <col min="298" max="298" width="16" style="5" customWidth="1"/>
    <col min="299" max="299" width="0.5703125" style="5" customWidth="1"/>
    <col min="300" max="300" width="9.42578125" style="5" bestFit="1" customWidth="1"/>
    <col min="301" max="301" width="1.140625" style="5" customWidth="1"/>
    <col min="302" max="532" width="9.140625" style="5"/>
    <col min="533" max="533" width="2.140625" style="5" customWidth="1"/>
    <col min="534" max="534" width="14" style="5" customWidth="1"/>
    <col min="535" max="535" width="0.7109375" style="5" customWidth="1"/>
    <col min="536" max="536" width="17.140625" style="5" customWidth="1"/>
    <col min="537" max="537" width="1.140625" style="5" customWidth="1"/>
    <col min="538" max="538" width="18.28515625" style="5" customWidth="1"/>
    <col min="539" max="539" width="1" style="5" customWidth="1"/>
    <col min="540" max="540" width="41.28515625" style="5" customWidth="1"/>
    <col min="541" max="541" width="1" style="5" customWidth="1"/>
    <col min="542" max="542" width="11.140625" style="5" customWidth="1"/>
    <col min="543" max="543" width="1.28515625" style="5" customWidth="1"/>
    <col min="544" max="544" width="10.7109375" style="5" customWidth="1"/>
    <col min="545" max="545" width="1" style="5" customWidth="1"/>
    <col min="546" max="546" width="10.42578125" style="5" customWidth="1"/>
    <col min="547" max="547" width="0.85546875" style="5" customWidth="1"/>
    <col min="548" max="548" width="14" style="5" customWidth="1"/>
    <col min="549" max="549" width="0.85546875" style="5" customWidth="1"/>
    <col min="550" max="550" width="8.42578125" style="5" customWidth="1"/>
    <col min="551" max="551" width="0.85546875" style="5" customWidth="1"/>
    <col min="552" max="552" width="9.85546875" style="5" customWidth="1"/>
    <col min="553" max="553" width="0.85546875" style="5" customWidth="1"/>
    <col min="554" max="554" width="16" style="5" customWidth="1"/>
    <col min="555" max="555" width="0.5703125" style="5" customWidth="1"/>
    <col min="556" max="556" width="9.42578125" style="5" bestFit="1" customWidth="1"/>
    <col min="557" max="557" width="1.140625" style="5" customWidth="1"/>
    <col min="558" max="788" width="9.140625" style="5"/>
    <col min="789" max="789" width="2.140625" style="5" customWidth="1"/>
    <col min="790" max="790" width="14" style="5" customWidth="1"/>
    <col min="791" max="791" width="0.7109375" style="5" customWidth="1"/>
    <col min="792" max="792" width="17.140625" style="5" customWidth="1"/>
    <col min="793" max="793" width="1.140625" style="5" customWidth="1"/>
    <col min="794" max="794" width="18.28515625" style="5" customWidth="1"/>
    <col min="795" max="795" width="1" style="5" customWidth="1"/>
    <col min="796" max="796" width="41.28515625" style="5" customWidth="1"/>
    <col min="797" max="797" width="1" style="5" customWidth="1"/>
    <col min="798" max="798" width="11.140625" style="5" customWidth="1"/>
    <col min="799" max="799" width="1.28515625" style="5" customWidth="1"/>
    <col min="800" max="800" width="10.7109375" style="5" customWidth="1"/>
    <col min="801" max="801" width="1" style="5" customWidth="1"/>
    <col min="802" max="802" width="10.42578125" style="5" customWidth="1"/>
    <col min="803" max="803" width="0.85546875" style="5" customWidth="1"/>
    <col min="804" max="804" width="14" style="5" customWidth="1"/>
    <col min="805" max="805" width="0.85546875" style="5" customWidth="1"/>
    <col min="806" max="806" width="8.42578125" style="5" customWidth="1"/>
    <col min="807" max="807" width="0.85546875" style="5" customWidth="1"/>
    <col min="808" max="808" width="9.85546875" style="5" customWidth="1"/>
    <col min="809" max="809" width="0.85546875" style="5" customWidth="1"/>
    <col min="810" max="810" width="16" style="5" customWidth="1"/>
    <col min="811" max="811" width="0.5703125" style="5" customWidth="1"/>
    <col min="812" max="812" width="9.42578125" style="5" bestFit="1" customWidth="1"/>
    <col min="813" max="813" width="1.140625" style="5" customWidth="1"/>
    <col min="814" max="1044" width="9.140625" style="5"/>
    <col min="1045" max="1045" width="2.140625" style="5" customWidth="1"/>
    <col min="1046" max="1046" width="14" style="5" customWidth="1"/>
    <col min="1047" max="1047" width="0.7109375" style="5" customWidth="1"/>
    <col min="1048" max="1048" width="17.140625" style="5" customWidth="1"/>
    <col min="1049" max="1049" width="1.140625" style="5" customWidth="1"/>
    <col min="1050" max="1050" width="18.28515625" style="5" customWidth="1"/>
    <col min="1051" max="1051" width="1" style="5" customWidth="1"/>
    <col min="1052" max="1052" width="41.28515625" style="5" customWidth="1"/>
    <col min="1053" max="1053" width="1" style="5" customWidth="1"/>
    <col min="1054" max="1054" width="11.140625" style="5" customWidth="1"/>
    <col min="1055" max="1055" width="1.28515625" style="5" customWidth="1"/>
    <col min="1056" max="1056" width="10.7109375" style="5" customWidth="1"/>
    <col min="1057" max="1057" width="1" style="5" customWidth="1"/>
    <col min="1058" max="1058" width="10.42578125" style="5" customWidth="1"/>
    <col min="1059" max="1059" width="0.85546875" style="5" customWidth="1"/>
    <col min="1060" max="1060" width="14" style="5" customWidth="1"/>
    <col min="1061" max="1061" width="0.85546875" style="5" customWidth="1"/>
    <col min="1062" max="1062" width="8.42578125" style="5" customWidth="1"/>
    <col min="1063" max="1063" width="0.85546875" style="5" customWidth="1"/>
    <col min="1064" max="1064" width="9.85546875" style="5" customWidth="1"/>
    <col min="1065" max="1065" width="0.85546875" style="5" customWidth="1"/>
    <col min="1066" max="1066" width="16" style="5" customWidth="1"/>
    <col min="1067" max="1067" width="0.5703125" style="5" customWidth="1"/>
    <col min="1068" max="1068" width="9.42578125" style="5" bestFit="1" customWidth="1"/>
    <col min="1069" max="1069" width="1.140625" style="5" customWidth="1"/>
    <col min="1070" max="1300" width="9.140625" style="5"/>
    <col min="1301" max="1301" width="2.140625" style="5" customWidth="1"/>
    <col min="1302" max="1302" width="14" style="5" customWidth="1"/>
    <col min="1303" max="1303" width="0.7109375" style="5" customWidth="1"/>
    <col min="1304" max="1304" width="17.140625" style="5" customWidth="1"/>
    <col min="1305" max="1305" width="1.140625" style="5" customWidth="1"/>
    <col min="1306" max="1306" width="18.28515625" style="5" customWidth="1"/>
    <col min="1307" max="1307" width="1" style="5" customWidth="1"/>
    <col min="1308" max="1308" width="41.28515625" style="5" customWidth="1"/>
    <col min="1309" max="1309" width="1" style="5" customWidth="1"/>
    <col min="1310" max="1310" width="11.140625" style="5" customWidth="1"/>
    <col min="1311" max="1311" width="1.28515625" style="5" customWidth="1"/>
    <col min="1312" max="1312" width="10.7109375" style="5" customWidth="1"/>
    <col min="1313" max="1313" width="1" style="5" customWidth="1"/>
    <col min="1314" max="1314" width="10.42578125" style="5" customWidth="1"/>
    <col min="1315" max="1315" width="0.85546875" style="5" customWidth="1"/>
    <col min="1316" max="1316" width="14" style="5" customWidth="1"/>
    <col min="1317" max="1317" width="0.85546875" style="5" customWidth="1"/>
    <col min="1318" max="1318" width="8.42578125" style="5" customWidth="1"/>
    <col min="1319" max="1319" width="0.85546875" style="5" customWidth="1"/>
    <col min="1320" max="1320" width="9.85546875" style="5" customWidth="1"/>
    <col min="1321" max="1321" width="0.85546875" style="5" customWidth="1"/>
    <col min="1322" max="1322" width="16" style="5" customWidth="1"/>
    <col min="1323" max="1323" width="0.5703125" style="5" customWidth="1"/>
    <col min="1324" max="1324" width="9.42578125" style="5" bestFit="1" customWidth="1"/>
    <col min="1325" max="1325" width="1.140625" style="5" customWidth="1"/>
    <col min="1326" max="1556" width="9.140625" style="5"/>
    <col min="1557" max="1557" width="2.140625" style="5" customWidth="1"/>
    <col min="1558" max="1558" width="14" style="5" customWidth="1"/>
    <col min="1559" max="1559" width="0.7109375" style="5" customWidth="1"/>
    <col min="1560" max="1560" width="17.140625" style="5" customWidth="1"/>
    <col min="1561" max="1561" width="1.140625" style="5" customWidth="1"/>
    <col min="1562" max="1562" width="18.28515625" style="5" customWidth="1"/>
    <col min="1563" max="1563" width="1" style="5" customWidth="1"/>
    <col min="1564" max="1564" width="41.28515625" style="5" customWidth="1"/>
    <col min="1565" max="1565" width="1" style="5" customWidth="1"/>
    <col min="1566" max="1566" width="11.140625" style="5" customWidth="1"/>
    <col min="1567" max="1567" width="1.28515625" style="5" customWidth="1"/>
    <col min="1568" max="1568" width="10.7109375" style="5" customWidth="1"/>
    <col min="1569" max="1569" width="1" style="5" customWidth="1"/>
    <col min="1570" max="1570" width="10.42578125" style="5" customWidth="1"/>
    <col min="1571" max="1571" width="0.85546875" style="5" customWidth="1"/>
    <col min="1572" max="1572" width="14" style="5" customWidth="1"/>
    <col min="1573" max="1573" width="0.85546875" style="5" customWidth="1"/>
    <col min="1574" max="1574" width="8.42578125" style="5" customWidth="1"/>
    <col min="1575" max="1575" width="0.85546875" style="5" customWidth="1"/>
    <col min="1576" max="1576" width="9.85546875" style="5" customWidth="1"/>
    <col min="1577" max="1577" width="0.85546875" style="5" customWidth="1"/>
    <col min="1578" max="1578" width="16" style="5" customWidth="1"/>
    <col min="1579" max="1579" width="0.5703125" style="5" customWidth="1"/>
    <col min="1580" max="1580" width="9.42578125" style="5" bestFit="1" customWidth="1"/>
    <col min="1581" max="1581" width="1.140625" style="5" customWidth="1"/>
    <col min="1582" max="1812" width="9.140625" style="5"/>
    <col min="1813" max="1813" width="2.140625" style="5" customWidth="1"/>
    <col min="1814" max="1814" width="14" style="5" customWidth="1"/>
    <col min="1815" max="1815" width="0.7109375" style="5" customWidth="1"/>
    <col min="1816" max="1816" width="17.140625" style="5" customWidth="1"/>
    <col min="1817" max="1817" width="1.140625" style="5" customWidth="1"/>
    <col min="1818" max="1818" width="18.28515625" style="5" customWidth="1"/>
    <col min="1819" max="1819" width="1" style="5" customWidth="1"/>
    <col min="1820" max="1820" width="41.28515625" style="5" customWidth="1"/>
    <col min="1821" max="1821" width="1" style="5" customWidth="1"/>
    <col min="1822" max="1822" width="11.140625" style="5" customWidth="1"/>
    <col min="1823" max="1823" width="1.28515625" style="5" customWidth="1"/>
    <col min="1824" max="1824" width="10.7109375" style="5" customWidth="1"/>
    <col min="1825" max="1825" width="1" style="5" customWidth="1"/>
    <col min="1826" max="1826" width="10.42578125" style="5" customWidth="1"/>
    <col min="1827" max="1827" width="0.85546875" style="5" customWidth="1"/>
    <col min="1828" max="1828" width="14" style="5" customWidth="1"/>
    <col min="1829" max="1829" width="0.85546875" style="5" customWidth="1"/>
    <col min="1830" max="1830" width="8.42578125" style="5" customWidth="1"/>
    <col min="1831" max="1831" width="0.85546875" style="5" customWidth="1"/>
    <col min="1832" max="1832" width="9.85546875" style="5" customWidth="1"/>
    <col min="1833" max="1833" width="0.85546875" style="5" customWidth="1"/>
    <col min="1834" max="1834" width="16" style="5" customWidth="1"/>
    <col min="1835" max="1835" width="0.5703125" style="5" customWidth="1"/>
    <col min="1836" max="1836" width="9.42578125" style="5" bestFit="1" customWidth="1"/>
    <col min="1837" max="1837" width="1.140625" style="5" customWidth="1"/>
    <col min="1838" max="2068" width="9.140625" style="5"/>
    <col min="2069" max="2069" width="2.140625" style="5" customWidth="1"/>
    <col min="2070" max="2070" width="14" style="5" customWidth="1"/>
    <col min="2071" max="2071" width="0.7109375" style="5" customWidth="1"/>
    <col min="2072" max="2072" width="17.140625" style="5" customWidth="1"/>
    <col min="2073" max="2073" width="1.140625" style="5" customWidth="1"/>
    <col min="2074" max="2074" width="18.28515625" style="5" customWidth="1"/>
    <col min="2075" max="2075" width="1" style="5" customWidth="1"/>
    <col min="2076" max="2076" width="41.28515625" style="5" customWidth="1"/>
    <col min="2077" max="2077" width="1" style="5" customWidth="1"/>
    <col min="2078" max="2078" width="11.140625" style="5" customWidth="1"/>
    <col min="2079" max="2079" width="1.28515625" style="5" customWidth="1"/>
    <col min="2080" max="2080" width="10.7109375" style="5" customWidth="1"/>
    <col min="2081" max="2081" width="1" style="5" customWidth="1"/>
    <col min="2082" max="2082" width="10.42578125" style="5" customWidth="1"/>
    <col min="2083" max="2083" width="0.85546875" style="5" customWidth="1"/>
    <col min="2084" max="2084" width="14" style="5" customWidth="1"/>
    <col min="2085" max="2085" width="0.85546875" style="5" customWidth="1"/>
    <col min="2086" max="2086" width="8.42578125" style="5" customWidth="1"/>
    <col min="2087" max="2087" width="0.85546875" style="5" customWidth="1"/>
    <col min="2088" max="2088" width="9.85546875" style="5" customWidth="1"/>
    <col min="2089" max="2089" width="0.85546875" style="5" customWidth="1"/>
    <col min="2090" max="2090" width="16" style="5" customWidth="1"/>
    <col min="2091" max="2091" width="0.5703125" style="5" customWidth="1"/>
    <col min="2092" max="2092" width="9.42578125" style="5" bestFit="1" customWidth="1"/>
    <col min="2093" max="2093" width="1.140625" style="5" customWidth="1"/>
    <col min="2094" max="2324" width="9.140625" style="5"/>
    <col min="2325" max="2325" width="2.140625" style="5" customWidth="1"/>
    <col min="2326" max="2326" width="14" style="5" customWidth="1"/>
    <col min="2327" max="2327" width="0.7109375" style="5" customWidth="1"/>
    <col min="2328" max="2328" width="17.140625" style="5" customWidth="1"/>
    <col min="2329" max="2329" width="1.140625" style="5" customWidth="1"/>
    <col min="2330" max="2330" width="18.28515625" style="5" customWidth="1"/>
    <col min="2331" max="2331" width="1" style="5" customWidth="1"/>
    <col min="2332" max="2332" width="41.28515625" style="5" customWidth="1"/>
    <col min="2333" max="2333" width="1" style="5" customWidth="1"/>
    <col min="2334" max="2334" width="11.140625" style="5" customWidth="1"/>
    <col min="2335" max="2335" width="1.28515625" style="5" customWidth="1"/>
    <col min="2336" max="2336" width="10.7109375" style="5" customWidth="1"/>
    <col min="2337" max="2337" width="1" style="5" customWidth="1"/>
    <col min="2338" max="2338" width="10.42578125" style="5" customWidth="1"/>
    <col min="2339" max="2339" width="0.85546875" style="5" customWidth="1"/>
    <col min="2340" max="2340" width="14" style="5" customWidth="1"/>
    <col min="2341" max="2341" width="0.85546875" style="5" customWidth="1"/>
    <col min="2342" max="2342" width="8.42578125" style="5" customWidth="1"/>
    <col min="2343" max="2343" width="0.85546875" style="5" customWidth="1"/>
    <col min="2344" max="2344" width="9.85546875" style="5" customWidth="1"/>
    <col min="2345" max="2345" width="0.85546875" style="5" customWidth="1"/>
    <col min="2346" max="2346" width="16" style="5" customWidth="1"/>
    <col min="2347" max="2347" width="0.5703125" style="5" customWidth="1"/>
    <col min="2348" max="2348" width="9.42578125" style="5" bestFit="1" customWidth="1"/>
    <col min="2349" max="2349" width="1.140625" style="5" customWidth="1"/>
    <col min="2350" max="2580" width="9.140625" style="5"/>
    <col min="2581" max="2581" width="2.140625" style="5" customWidth="1"/>
    <col min="2582" max="2582" width="14" style="5" customWidth="1"/>
    <col min="2583" max="2583" width="0.7109375" style="5" customWidth="1"/>
    <col min="2584" max="2584" width="17.140625" style="5" customWidth="1"/>
    <col min="2585" max="2585" width="1.140625" style="5" customWidth="1"/>
    <col min="2586" max="2586" width="18.28515625" style="5" customWidth="1"/>
    <col min="2587" max="2587" width="1" style="5" customWidth="1"/>
    <col min="2588" max="2588" width="41.28515625" style="5" customWidth="1"/>
    <col min="2589" max="2589" width="1" style="5" customWidth="1"/>
    <col min="2590" max="2590" width="11.140625" style="5" customWidth="1"/>
    <col min="2591" max="2591" width="1.28515625" style="5" customWidth="1"/>
    <col min="2592" max="2592" width="10.7109375" style="5" customWidth="1"/>
    <col min="2593" max="2593" width="1" style="5" customWidth="1"/>
    <col min="2594" max="2594" width="10.42578125" style="5" customWidth="1"/>
    <col min="2595" max="2595" width="0.85546875" style="5" customWidth="1"/>
    <col min="2596" max="2596" width="14" style="5" customWidth="1"/>
    <col min="2597" max="2597" width="0.85546875" style="5" customWidth="1"/>
    <col min="2598" max="2598" width="8.42578125" style="5" customWidth="1"/>
    <col min="2599" max="2599" width="0.85546875" style="5" customWidth="1"/>
    <col min="2600" max="2600" width="9.85546875" style="5" customWidth="1"/>
    <col min="2601" max="2601" width="0.85546875" style="5" customWidth="1"/>
    <col min="2602" max="2602" width="16" style="5" customWidth="1"/>
    <col min="2603" max="2603" width="0.5703125" style="5" customWidth="1"/>
    <col min="2604" max="2604" width="9.42578125" style="5" bestFit="1" customWidth="1"/>
    <col min="2605" max="2605" width="1.140625" style="5" customWidth="1"/>
    <col min="2606" max="2836" width="9.140625" style="5"/>
    <col min="2837" max="2837" width="2.140625" style="5" customWidth="1"/>
    <col min="2838" max="2838" width="14" style="5" customWidth="1"/>
    <col min="2839" max="2839" width="0.7109375" style="5" customWidth="1"/>
    <col min="2840" max="2840" width="17.140625" style="5" customWidth="1"/>
    <col min="2841" max="2841" width="1.140625" style="5" customWidth="1"/>
    <col min="2842" max="2842" width="18.28515625" style="5" customWidth="1"/>
    <col min="2843" max="2843" width="1" style="5" customWidth="1"/>
    <col min="2844" max="2844" width="41.28515625" style="5" customWidth="1"/>
    <col min="2845" max="2845" width="1" style="5" customWidth="1"/>
    <col min="2846" max="2846" width="11.140625" style="5" customWidth="1"/>
    <col min="2847" max="2847" width="1.28515625" style="5" customWidth="1"/>
    <col min="2848" max="2848" width="10.7109375" style="5" customWidth="1"/>
    <col min="2849" max="2849" width="1" style="5" customWidth="1"/>
    <col min="2850" max="2850" width="10.42578125" style="5" customWidth="1"/>
    <col min="2851" max="2851" width="0.85546875" style="5" customWidth="1"/>
    <col min="2852" max="2852" width="14" style="5" customWidth="1"/>
    <col min="2853" max="2853" width="0.85546875" style="5" customWidth="1"/>
    <col min="2854" max="2854" width="8.42578125" style="5" customWidth="1"/>
    <col min="2855" max="2855" width="0.85546875" style="5" customWidth="1"/>
    <col min="2856" max="2856" width="9.85546875" style="5" customWidth="1"/>
    <col min="2857" max="2857" width="0.85546875" style="5" customWidth="1"/>
    <col min="2858" max="2858" width="16" style="5" customWidth="1"/>
    <col min="2859" max="2859" width="0.5703125" style="5" customWidth="1"/>
    <col min="2860" max="2860" width="9.42578125" style="5" bestFit="1" customWidth="1"/>
    <col min="2861" max="2861" width="1.140625" style="5" customWidth="1"/>
    <col min="2862" max="3092" width="9.140625" style="5"/>
    <col min="3093" max="3093" width="2.140625" style="5" customWidth="1"/>
    <col min="3094" max="3094" width="14" style="5" customWidth="1"/>
    <col min="3095" max="3095" width="0.7109375" style="5" customWidth="1"/>
    <col min="3096" max="3096" width="17.140625" style="5" customWidth="1"/>
    <col min="3097" max="3097" width="1.140625" style="5" customWidth="1"/>
    <col min="3098" max="3098" width="18.28515625" style="5" customWidth="1"/>
    <col min="3099" max="3099" width="1" style="5" customWidth="1"/>
    <col min="3100" max="3100" width="41.28515625" style="5" customWidth="1"/>
    <col min="3101" max="3101" width="1" style="5" customWidth="1"/>
    <col min="3102" max="3102" width="11.140625" style="5" customWidth="1"/>
    <col min="3103" max="3103" width="1.28515625" style="5" customWidth="1"/>
    <col min="3104" max="3104" width="10.7109375" style="5" customWidth="1"/>
    <col min="3105" max="3105" width="1" style="5" customWidth="1"/>
    <col min="3106" max="3106" width="10.42578125" style="5" customWidth="1"/>
    <col min="3107" max="3107" width="0.85546875" style="5" customWidth="1"/>
    <col min="3108" max="3108" width="14" style="5" customWidth="1"/>
    <col min="3109" max="3109" width="0.85546875" style="5" customWidth="1"/>
    <col min="3110" max="3110" width="8.42578125" style="5" customWidth="1"/>
    <col min="3111" max="3111" width="0.85546875" style="5" customWidth="1"/>
    <col min="3112" max="3112" width="9.85546875" style="5" customWidth="1"/>
    <col min="3113" max="3113" width="0.85546875" style="5" customWidth="1"/>
    <col min="3114" max="3114" width="16" style="5" customWidth="1"/>
    <col min="3115" max="3115" width="0.5703125" style="5" customWidth="1"/>
    <col min="3116" max="3116" width="9.42578125" style="5" bestFit="1" customWidth="1"/>
    <col min="3117" max="3117" width="1.140625" style="5" customWidth="1"/>
    <col min="3118" max="3348" width="9.140625" style="5"/>
    <col min="3349" max="3349" width="2.140625" style="5" customWidth="1"/>
    <col min="3350" max="3350" width="14" style="5" customWidth="1"/>
    <col min="3351" max="3351" width="0.7109375" style="5" customWidth="1"/>
    <col min="3352" max="3352" width="17.140625" style="5" customWidth="1"/>
    <col min="3353" max="3353" width="1.140625" style="5" customWidth="1"/>
    <col min="3354" max="3354" width="18.28515625" style="5" customWidth="1"/>
    <col min="3355" max="3355" width="1" style="5" customWidth="1"/>
    <col min="3356" max="3356" width="41.28515625" style="5" customWidth="1"/>
    <col min="3357" max="3357" width="1" style="5" customWidth="1"/>
    <col min="3358" max="3358" width="11.140625" style="5" customWidth="1"/>
    <col min="3359" max="3359" width="1.28515625" style="5" customWidth="1"/>
    <col min="3360" max="3360" width="10.7109375" style="5" customWidth="1"/>
    <col min="3361" max="3361" width="1" style="5" customWidth="1"/>
    <col min="3362" max="3362" width="10.42578125" style="5" customWidth="1"/>
    <col min="3363" max="3363" width="0.85546875" style="5" customWidth="1"/>
    <col min="3364" max="3364" width="14" style="5" customWidth="1"/>
    <col min="3365" max="3365" width="0.85546875" style="5" customWidth="1"/>
    <col min="3366" max="3366" width="8.42578125" style="5" customWidth="1"/>
    <col min="3367" max="3367" width="0.85546875" style="5" customWidth="1"/>
    <col min="3368" max="3368" width="9.85546875" style="5" customWidth="1"/>
    <col min="3369" max="3369" width="0.85546875" style="5" customWidth="1"/>
    <col min="3370" max="3370" width="16" style="5" customWidth="1"/>
    <col min="3371" max="3371" width="0.5703125" style="5" customWidth="1"/>
    <col min="3372" max="3372" width="9.42578125" style="5" bestFit="1" customWidth="1"/>
    <col min="3373" max="3373" width="1.140625" style="5" customWidth="1"/>
    <col min="3374" max="3604" width="9.140625" style="5"/>
    <col min="3605" max="3605" width="2.140625" style="5" customWidth="1"/>
    <col min="3606" max="3606" width="14" style="5" customWidth="1"/>
    <col min="3607" max="3607" width="0.7109375" style="5" customWidth="1"/>
    <col min="3608" max="3608" width="17.140625" style="5" customWidth="1"/>
    <col min="3609" max="3609" width="1.140625" style="5" customWidth="1"/>
    <col min="3610" max="3610" width="18.28515625" style="5" customWidth="1"/>
    <col min="3611" max="3611" width="1" style="5" customWidth="1"/>
    <col min="3612" max="3612" width="41.28515625" style="5" customWidth="1"/>
    <col min="3613" max="3613" width="1" style="5" customWidth="1"/>
    <col min="3614" max="3614" width="11.140625" style="5" customWidth="1"/>
    <col min="3615" max="3615" width="1.28515625" style="5" customWidth="1"/>
    <col min="3616" max="3616" width="10.7109375" style="5" customWidth="1"/>
    <col min="3617" max="3617" width="1" style="5" customWidth="1"/>
    <col min="3618" max="3618" width="10.42578125" style="5" customWidth="1"/>
    <col min="3619" max="3619" width="0.85546875" style="5" customWidth="1"/>
    <col min="3620" max="3620" width="14" style="5" customWidth="1"/>
    <col min="3621" max="3621" width="0.85546875" style="5" customWidth="1"/>
    <col min="3622" max="3622" width="8.42578125" style="5" customWidth="1"/>
    <col min="3623" max="3623" width="0.85546875" style="5" customWidth="1"/>
    <col min="3624" max="3624" width="9.85546875" style="5" customWidth="1"/>
    <col min="3625" max="3625" width="0.85546875" style="5" customWidth="1"/>
    <col min="3626" max="3626" width="16" style="5" customWidth="1"/>
    <col min="3627" max="3627" width="0.5703125" style="5" customWidth="1"/>
    <col min="3628" max="3628" width="9.42578125" style="5" bestFit="1" customWidth="1"/>
    <col min="3629" max="3629" width="1.140625" style="5" customWidth="1"/>
    <col min="3630" max="3860" width="9.140625" style="5"/>
    <col min="3861" max="3861" width="2.140625" style="5" customWidth="1"/>
    <col min="3862" max="3862" width="14" style="5" customWidth="1"/>
    <col min="3863" max="3863" width="0.7109375" style="5" customWidth="1"/>
    <col min="3864" max="3864" width="17.140625" style="5" customWidth="1"/>
    <col min="3865" max="3865" width="1.140625" style="5" customWidth="1"/>
    <col min="3866" max="3866" width="18.28515625" style="5" customWidth="1"/>
    <col min="3867" max="3867" width="1" style="5" customWidth="1"/>
    <col min="3868" max="3868" width="41.28515625" style="5" customWidth="1"/>
    <col min="3869" max="3869" width="1" style="5" customWidth="1"/>
    <col min="3870" max="3870" width="11.140625" style="5" customWidth="1"/>
    <col min="3871" max="3871" width="1.28515625" style="5" customWidth="1"/>
    <col min="3872" max="3872" width="10.7109375" style="5" customWidth="1"/>
    <col min="3873" max="3873" width="1" style="5" customWidth="1"/>
    <col min="3874" max="3874" width="10.42578125" style="5" customWidth="1"/>
    <col min="3875" max="3875" width="0.85546875" style="5" customWidth="1"/>
    <col min="3876" max="3876" width="14" style="5" customWidth="1"/>
    <col min="3877" max="3877" width="0.85546875" style="5" customWidth="1"/>
    <col min="3878" max="3878" width="8.42578125" style="5" customWidth="1"/>
    <col min="3879" max="3879" width="0.85546875" style="5" customWidth="1"/>
    <col min="3880" max="3880" width="9.85546875" style="5" customWidth="1"/>
    <col min="3881" max="3881" width="0.85546875" style="5" customWidth="1"/>
    <col min="3882" max="3882" width="16" style="5" customWidth="1"/>
    <col min="3883" max="3883" width="0.5703125" style="5" customWidth="1"/>
    <col min="3884" max="3884" width="9.42578125" style="5" bestFit="1" customWidth="1"/>
    <col min="3885" max="3885" width="1.140625" style="5" customWidth="1"/>
    <col min="3886" max="4116" width="9.140625" style="5"/>
    <col min="4117" max="4117" width="2.140625" style="5" customWidth="1"/>
    <col min="4118" max="4118" width="14" style="5" customWidth="1"/>
    <col min="4119" max="4119" width="0.7109375" style="5" customWidth="1"/>
    <col min="4120" max="4120" width="17.140625" style="5" customWidth="1"/>
    <col min="4121" max="4121" width="1.140625" style="5" customWidth="1"/>
    <col min="4122" max="4122" width="18.28515625" style="5" customWidth="1"/>
    <col min="4123" max="4123" width="1" style="5" customWidth="1"/>
    <col min="4124" max="4124" width="41.28515625" style="5" customWidth="1"/>
    <col min="4125" max="4125" width="1" style="5" customWidth="1"/>
    <col min="4126" max="4126" width="11.140625" style="5" customWidth="1"/>
    <col min="4127" max="4127" width="1.28515625" style="5" customWidth="1"/>
    <col min="4128" max="4128" width="10.7109375" style="5" customWidth="1"/>
    <col min="4129" max="4129" width="1" style="5" customWidth="1"/>
    <col min="4130" max="4130" width="10.42578125" style="5" customWidth="1"/>
    <col min="4131" max="4131" width="0.85546875" style="5" customWidth="1"/>
    <col min="4132" max="4132" width="14" style="5" customWidth="1"/>
    <col min="4133" max="4133" width="0.85546875" style="5" customWidth="1"/>
    <col min="4134" max="4134" width="8.42578125" style="5" customWidth="1"/>
    <col min="4135" max="4135" width="0.85546875" style="5" customWidth="1"/>
    <col min="4136" max="4136" width="9.85546875" style="5" customWidth="1"/>
    <col min="4137" max="4137" width="0.85546875" style="5" customWidth="1"/>
    <col min="4138" max="4138" width="16" style="5" customWidth="1"/>
    <col min="4139" max="4139" width="0.5703125" style="5" customWidth="1"/>
    <col min="4140" max="4140" width="9.42578125" style="5" bestFit="1" customWidth="1"/>
    <col min="4141" max="4141" width="1.140625" style="5" customWidth="1"/>
    <col min="4142" max="4372" width="9.140625" style="5"/>
    <col min="4373" max="4373" width="2.140625" style="5" customWidth="1"/>
    <col min="4374" max="4374" width="14" style="5" customWidth="1"/>
    <col min="4375" max="4375" width="0.7109375" style="5" customWidth="1"/>
    <col min="4376" max="4376" width="17.140625" style="5" customWidth="1"/>
    <col min="4377" max="4377" width="1.140625" style="5" customWidth="1"/>
    <col min="4378" max="4378" width="18.28515625" style="5" customWidth="1"/>
    <col min="4379" max="4379" width="1" style="5" customWidth="1"/>
    <col min="4380" max="4380" width="41.28515625" style="5" customWidth="1"/>
    <col min="4381" max="4381" width="1" style="5" customWidth="1"/>
    <col min="4382" max="4382" width="11.140625" style="5" customWidth="1"/>
    <col min="4383" max="4383" width="1.28515625" style="5" customWidth="1"/>
    <col min="4384" max="4384" width="10.7109375" style="5" customWidth="1"/>
    <col min="4385" max="4385" width="1" style="5" customWidth="1"/>
    <col min="4386" max="4386" width="10.42578125" style="5" customWidth="1"/>
    <col min="4387" max="4387" width="0.85546875" style="5" customWidth="1"/>
    <col min="4388" max="4388" width="14" style="5" customWidth="1"/>
    <col min="4389" max="4389" width="0.85546875" style="5" customWidth="1"/>
    <col min="4390" max="4390" width="8.42578125" style="5" customWidth="1"/>
    <col min="4391" max="4391" width="0.85546875" style="5" customWidth="1"/>
    <col min="4392" max="4392" width="9.85546875" style="5" customWidth="1"/>
    <col min="4393" max="4393" width="0.85546875" style="5" customWidth="1"/>
    <col min="4394" max="4394" width="16" style="5" customWidth="1"/>
    <col min="4395" max="4395" width="0.5703125" style="5" customWidth="1"/>
    <col min="4396" max="4396" width="9.42578125" style="5" bestFit="1" customWidth="1"/>
    <col min="4397" max="4397" width="1.140625" style="5" customWidth="1"/>
    <col min="4398" max="4628" width="9.140625" style="5"/>
    <col min="4629" max="4629" width="2.140625" style="5" customWidth="1"/>
    <col min="4630" max="4630" width="14" style="5" customWidth="1"/>
    <col min="4631" max="4631" width="0.7109375" style="5" customWidth="1"/>
    <col min="4632" max="4632" width="17.140625" style="5" customWidth="1"/>
    <col min="4633" max="4633" width="1.140625" style="5" customWidth="1"/>
    <col min="4634" max="4634" width="18.28515625" style="5" customWidth="1"/>
    <col min="4635" max="4635" width="1" style="5" customWidth="1"/>
    <col min="4636" max="4636" width="41.28515625" style="5" customWidth="1"/>
    <col min="4637" max="4637" width="1" style="5" customWidth="1"/>
    <col min="4638" max="4638" width="11.140625" style="5" customWidth="1"/>
    <col min="4639" max="4639" width="1.28515625" style="5" customWidth="1"/>
    <col min="4640" max="4640" width="10.7109375" style="5" customWidth="1"/>
    <col min="4641" max="4641" width="1" style="5" customWidth="1"/>
    <col min="4642" max="4642" width="10.42578125" style="5" customWidth="1"/>
    <col min="4643" max="4643" width="0.85546875" style="5" customWidth="1"/>
    <col min="4644" max="4644" width="14" style="5" customWidth="1"/>
    <col min="4645" max="4645" width="0.85546875" style="5" customWidth="1"/>
    <col min="4646" max="4646" width="8.42578125" style="5" customWidth="1"/>
    <col min="4647" max="4647" width="0.85546875" style="5" customWidth="1"/>
    <col min="4648" max="4648" width="9.85546875" style="5" customWidth="1"/>
    <col min="4649" max="4649" width="0.85546875" style="5" customWidth="1"/>
    <col min="4650" max="4650" width="16" style="5" customWidth="1"/>
    <col min="4651" max="4651" width="0.5703125" style="5" customWidth="1"/>
    <col min="4652" max="4652" width="9.42578125" style="5" bestFit="1" customWidth="1"/>
    <col min="4653" max="4653" width="1.140625" style="5" customWidth="1"/>
    <col min="4654" max="4884" width="9.140625" style="5"/>
    <col min="4885" max="4885" width="2.140625" style="5" customWidth="1"/>
    <col min="4886" max="4886" width="14" style="5" customWidth="1"/>
    <col min="4887" max="4887" width="0.7109375" style="5" customWidth="1"/>
    <col min="4888" max="4888" width="17.140625" style="5" customWidth="1"/>
    <col min="4889" max="4889" width="1.140625" style="5" customWidth="1"/>
    <col min="4890" max="4890" width="18.28515625" style="5" customWidth="1"/>
    <col min="4891" max="4891" width="1" style="5" customWidth="1"/>
    <col min="4892" max="4892" width="41.28515625" style="5" customWidth="1"/>
    <col min="4893" max="4893" width="1" style="5" customWidth="1"/>
    <col min="4894" max="4894" width="11.140625" style="5" customWidth="1"/>
    <col min="4895" max="4895" width="1.28515625" style="5" customWidth="1"/>
    <col min="4896" max="4896" width="10.7109375" style="5" customWidth="1"/>
    <col min="4897" max="4897" width="1" style="5" customWidth="1"/>
    <col min="4898" max="4898" width="10.42578125" style="5" customWidth="1"/>
    <col min="4899" max="4899" width="0.85546875" style="5" customWidth="1"/>
    <col min="4900" max="4900" width="14" style="5" customWidth="1"/>
    <col min="4901" max="4901" width="0.85546875" style="5" customWidth="1"/>
    <col min="4902" max="4902" width="8.42578125" style="5" customWidth="1"/>
    <col min="4903" max="4903" width="0.85546875" style="5" customWidth="1"/>
    <col min="4904" max="4904" width="9.85546875" style="5" customWidth="1"/>
    <col min="4905" max="4905" width="0.85546875" style="5" customWidth="1"/>
    <col min="4906" max="4906" width="16" style="5" customWidth="1"/>
    <col min="4907" max="4907" width="0.5703125" style="5" customWidth="1"/>
    <col min="4908" max="4908" width="9.42578125" style="5" bestFit="1" customWidth="1"/>
    <col min="4909" max="4909" width="1.140625" style="5" customWidth="1"/>
    <col min="4910" max="5140" width="9.140625" style="5"/>
    <col min="5141" max="5141" width="2.140625" style="5" customWidth="1"/>
    <col min="5142" max="5142" width="14" style="5" customWidth="1"/>
    <col min="5143" max="5143" width="0.7109375" style="5" customWidth="1"/>
    <col min="5144" max="5144" width="17.140625" style="5" customWidth="1"/>
    <col min="5145" max="5145" width="1.140625" style="5" customWidth="1"/>
    <col min="5146" max="5146" width="18.28515625" style="5" customWidth="1"/>
    <col min="5147" max="5147" width="1" style="5" customWidth="1"/>
    <col min="5148" max="5148" width="41.28515625" style="5" customWidth="1"/>
    <col min="5149" max="5149" width="1" style="5" customWidth="1"/>
    <col min="5150" max="5150" width="11.140625" style="5" customWidth="1"/>
    <col min="5151" max="5151" width="1.28515625" style="5" customWidth="1"/>
    <col min="5152" max="5152" width="10.7109375" style="5" customWidth="1"/>
    <col min="5153" max="5153" width="1" style="5" customWidth="1"/>
    <col min="5154" max="5154" width="10.42578125" style="5" customWidth="1"/>
    <col min="5155" max="5155" width="0.85546875" style="5" customWidth="1"/>
    <col min="5156" max="5156" width="14" style="5" customWidth="1"/>
    <col min="5157" max="5157" width="0.85546875" style="5" customWidth="1"/>
    <col min="5158" max="5158" width="8.42578125" style="5" customWidth="1"/>
    <col min="5159" max="5159" width="0.85546875" style="5" customWidth="1"/>
    <col min="5160" max="5160" width="9.85546875" style="5" customWidth="1"/>
    <col min="5161" max="5161" width="0.85546875" style="5" customWidth="1"/>
    <col min="5162" max="5162" width="16" style="5" customWidth="1"/>
    <col min="5163" max="5163" width="0.5703125" style="5" customWidth="1"/>
    <col min="5164" max="5164" width="9.42578125" style="5" bestFit="1" customWidth="1"/>
    <col min="5165" max="5165" width="1.140625" style="5" customWidth="1"/>
    <col min="5166" max="5396" width="9.140625" style="5"/>
    <col min="5397" max="5397" width="2.140625" style="5" customWidth="1"/>
    <col min="5398" max="5398" width="14" style="5" customWidth="1"/>
    <col min="5399" max="5399" width="0.7109375" style="5" customWidth="1"/>
    <col min="5400" max="5400" width="17.140625" style="5" customWidth="1"/>
    <col min="5401" max="5401" width="1.140625" style="5" customWidth="1"/>
    <col min="5402" max="5402" width="18.28515625" style="5" customWidth="1"/>
    <col min="5403" max="5403" width="1" style="5" customWidth="1"/>
    <col min="5404" max="5404" width="41.28515625" style="5" customWidth="1"/>
    <col min="5405" max="5405" width="1" style="5" customWidth="1"/>
    <col min="5406" max="5406" width="11.140625" style="5" customWidth="1"/>
    <col min="5407" max="5407" width="1.28515625" style="5" customWidth="1"/>
    <col min="5408" max="5408" width="10.7109375" style="5" customWidth="1"/>
    <col min="5409" max="5409" width="1" style="5" customWidth="1"/>
    <col min="5410" max="5410" width="10.42578125" style="5" customWidth="1"/>
    <col min="5411" max="5411" width="0.85546875" style="5" customWidth="1"/>
    <col min="5412" max="5412" width="14" style="5" customWidth="1"/>
    <col min="5413" max="5413" width="0.85546875" style="5" customWidth="1"/>
    <col min="5414" max="5414" width="8.42578125" style="5" customWidth="1"/>
    <col min="5415" max="5415" width="0.85546875" style="5" customWidth="1"/>
    <col min="5416" max="5416" width="9.85546875" style="5" customWidth="1"/>
    <col min="5417" max="5417" width="0.85546875" style="5" customWidth="1"/>
    <col min="5418" max="5418" width="16" style="5" customWidth="1"/>
    <col min="5419" max="5419" width="0.5703125" style="5" customWidth="1"/>
    <col min="5420" max="5420" width="9.42578125" style="5" bestFit="1" customWidth="1"/>
    <col min="5421" max="5421" width="1.140625" style="5" customWidth="1"/>
    <col min="5422" max="5652" width="9.140625" style="5"/>
    <col min="5653" max="5653" width="2.140625" style="5" customWidth="1"/>
    <col min="5654" max="5654" width="14" style="5" customWidth="1"/>
    <col min="5655" max="5655" width="0.7109375" style="5" customWidth="1"/>
    <col min="5656" max="5656" width="17.140625" style="5" customWidth="1"/>
    <col min="5657" max="5657" width="1.140625" style="5" customWidth="1"/>
    <col min="5658" max="5658" width="18.28515625" style="5" customWidth="1"/>
    <col min="5659" max="5659" width="1" style="5" customWidth="1"/>
    <col min="5660" max="5660" width="41.28515625" style="5" customWidth="1"/>
    <col min="5661" max="5661" width="1" style="5" customWidth="1"/>
    <col min="5662" max="5662" width="11.140625" style="5" customWidth="1"/>
    <col min="5663" max="5663" width="1.28515625" style="5" customWidth="1"/>
    <col min="5664" max="5664" width="10.7109375" style="5" customWidth="1"/>
    <col min="5665" max="5665" width="1" style="5" customWidth="1"/>
    <col min="5666" max="5666" width="10.42578125" style="5" customWidth="1"/>
    <col min="5667" max="5667" width="0.85546875" style="5" customWidth="1"/>
    <col min="5668" max="5668" width="14" style="5" customWidth="1"/>
    <col min="5669" max="5669" width="0.85546875" style="5" customWidth="1"/>
    <col min="5670" max="5670" width="8.42578125" style="5" customWidth="1"/>
    <col min="5671" max="5671" width="0.85546875" style="5" customWidth="1"/>
    <col min="5672" max="5672" width="9.85546875" style="5" customWidth="1"/>
    <col min="5673" max="5673" width="0.85546875" style="5" customWidth="1"/>
    <col min="5674" max="5674" width="16" style="5" customWidth="1"/>
    <col min="5675" max="5675" width="0.5703125" style="5" customWidth="1"/>
    <col min="5676" max="5676" width="9.42578125" style="5" bestFit="1" customWidth="1"/>
    <col min="5677" max="5677" width="1.140625" style="5" customWidth="1"/>
    <col min="5678" max="5908" width="9.140625" style="5"/>
    <col min="5909" max="5909" width="2.140625" style="5" customWidth="1"/>
    <col min="5910" max="5910" width="14" style="5" customWidth="1"/>
    <col min="5911" max="5911" width="0.7109375" style="5" customWidth="1"/>
    <col min="5912" max="5912" width="17.140625" style="5" customWidth="1"/>
    <col min="5913" max="5913" width="1.140625" style="5" customWidth="1"/>
    <col min="5914" max="5914" width="18.28515625" style="5" customWidth="1"/>
    <col min="5915" max="5915" width="1" style="5" customWidth="1"/>
    <col min="5916" max="5916" width="41.28515625" style="5" customWidth="1"/>
    <col min="5917" max="5917" width="1" style="5" customWidth="1"/>
    <col min="5918" max="5918" width="11.140625" style="5" customWidth="1"/>
    <col min="5919" max="5919" width="1.28515625" style="5" customWidth="1"/>
    <col min="5920" max="5920" width="10.7109375" style="5" customWidth="1"/>
    <col min="5921" max="5921" width="1" style="5" customWidth="1"/>
    <col min="5922" max="5922" width="10.42578125" style="5" customWidth="1"/>
    <col min="5923" max="5923" width="0.85546875" style="5" customWidth="1"/>
    <col min="5924" max="5924" width="14" style="5" customWidth="1"/>
    <col min="5925" max="5925" width="0.85546875" style="5" customWidth="1"/>
    <col min="5926" max="5926" width="8.42578125" style="5" customWidth="1"/>
    <col min="5927" max="5927" width="0.85546875" style="5" customWidth="1"/>
    <col min="5928" max="5928" width="9.85546875" style="5" customWidth="1"/>
    <col min="5929" max="5929" width="0.85546875" style="5" customWidth="1"/>
    <col min="5930" max="5930" width="16" style="5" customWidth="1"/>
    <col min="5931" max="5931" width="0.5703125" style="5" customWidth="1"/>
    <col min="5932" max="5932" width="9.42578125" style="5" bestFit="1" customWidth="1"/>
    <col min="5933" max="5933" width="1.140625" style="5" customWidth="1"/>
    <col min="5934" max="6164" width="9.140625" style="5"/>
    <col min="6165" max="6165" width="2.140625" style="5" customWidth="1"/>
    <col min="6166" max="6166" width="14" style="5" customWidth="1"/>
    <col min="6167" max="6167" width="0.7109375" style="5" customWidth="1"/>
    <col min="6168" max="6168" width="17.140625" style="5" customWidth="1"/>
    <col min="6169" max="6169" width="1.140625" style="5" customWidth="1"/>
    <col min="6170" max="6170" width="18.28515625" style="5" customWidth="1"/>
    <col min="6171" max="6171" width="1" style="5" customWidth="1"/>
    <col min="6172" max="6172" width="41.28515625" style="5" customWidth="1"/>
    <col min="6173" max="6173" width="1" style="5" customWidth="1"/>
    <col min="6174" max="6174" width="11.140625" style="5" customWidth="1"/>
    <col min="6175" max="6175" width="1.28515625" style="5" customWidth="1"/>
    <col min="6176" max="6176" width="10.7109375" style="5" customWidth="1"/>
    <col min="6177" max="6177" width="1" style="5" customWidth="1"/>
    <col min="6178" max="6178" width="10.42578125" style="5" customWidth="1"/>
    <col min="6179" max="6179" width="0.85546875" style="5" customWidth="1"/>
    <col min="6180" max="6180" width="14" style="5" customWidth="1"/>
    <col min="6181" max="6181" width="0.85546875" style="5" customWidth="1"/>
    <col min="6182" max="6182" width="8.42578125" style="5" customWidth="1"/>
    <col min="6183" max="6183" width="0.85546875" style="5" customWidth="1"/>
    <col min="6184" max="6184" width="9.85546875" style="5" customWidth="1"/>
    <col min="6185" max="6185" width="0.85546875" style="5" customWidth="1"/>
    <col min="6186" max="6186" width="16" style="5" customWidth="1"/>
    <col min="6187" max="6187" width="0.5703125" style="5" customWidth="1"/>
    <col min="6188" max="6188" width="9.42578125" style="5" bestFit="1" customWidth="1"/>
    <col min="6189" max="6189" width="1.140625" style="5" customWidth="1"/>
    <col min="6190" max="6420" width="9.140625" style="5"/>
    <col min="6421" max="6421" width="2.140625" style="5" customWidth="1"/>
    <col min="6422" max="6422" width="14" style="5" customWidth="1"/>
    <col min="6423" max="6423" width="0.7109375" style="5" customWidth="1"/>
    <col min="6424" max="6424" width="17.140625" style="5" customWidth="1"/>
    <col min="6425" max="6425" width="1.140625" style="5" customWidth="1"/>
    <col min="6426" max="6426" width="18.28515625" style="5" customWidth="1"/>
    <col min="6427" max="6427" width="1" style="5" customWidth="1"/>
    <col min="6428" max="6428" width="41.28515625" style="5" customWidth="1"/>
    <col min="6429" max="6429" width="1" style="5" customWidth="1"/>
    <col min="6430" max="6430" width="11.140625" style="5" customWidth="1"/>
    <col min="6431" max="6431" width="1.28515625" style="5" customWidth="1"/>
    <col min="6432" max="6432" width="10.7109375" style="5" customWidth="1"/>
    <col min="6433" max="6433" width="1" style="5" customWidth="1"/>
    <col min="6434" max="6434" width="10.42578125" style="5" customWidth="1"/>
    <col min="6435" max="6435" width="0.85546875" style="5" customWidth="1"/>
    <col min="6436" max="6436" width="14" style="5" customWidth="1"/>
    <col min="6437" max="6437" width="0.85546875" style="5" customWidth="1"/>
    <col min="6438" max="6438" width="8.42578125" style="5" customWidth="1"/>
    <col min="6439" max="6439" width="0.85546875" style="5" customWidth="1"/>
    <col min="6440" max="6440" width="9.85546875" style="5" customWidth="1"/>
    <col min="6441" max="6441" width="0.85546875" style="5" customWidth="1"/>
    <col min="6442" max="6442" width="16" style="5" customWidth="1"/>
    <col min="6443" max="6443" width="0.5703125" style="5" customWidth="1"/>
    <col min="6444" max="6444" width="9.42578125" style="5" bestFit="1" customWidth="1"/>
    <col min="6445" max="6445" width="1.140625" style="5" customWidth="1"/>
    <col min="6446" max="6676" width="9.140625" style="5"/>
    <col min="6677" max="6677" width="2.140625" style="5" customWidth="1"/>
    <col min="6678" max="6678" width="14" style="5" customWidth="1"/>
    <col min="6679" max="6679" width="0.7109375" style="5" customWidth="1"/>
    <col min="6680" max="6680" width="17.140625" style="5" customWidth="1"/>
    <col min="6681" max="6681" width="1.140625" style="5" customWidth="1"/>
    <col min="6682" max="6682" width="18.28515625" style="5" customWidth="1"/>
    <col min="6683" max="6683" width="1" style="5" customWidth="1"/>
    <col min="6684" max="6684" width="41.28515625" style="5" customWidth="1"/>
    <col min="6685" max="6685" width="1" style="5" customWidth="1"/>
    <col min="6686" max="6686" width="11.140625" style="5" customWidth="1"/>
    <col min="6687" max="6687" width="1.28515625" style="5" customWidth="1"/>
    <col min="6688" max="6688" width="10.7109375" style="5" customWidth="1"/>
    <col min="6689" max="6689" width="1" style="5" customWidth="1"/>
    <col min="6690" max="6690" width="10.42578125" style="5" customWidth="1"/>
    <col min="6691" max="6691" width="0.85546875" style="5" customWidth="1"/>
    <col min="6692" max="6692" width="14" style="5" customWidth="1"/>
    <col min="6693" max="6693" width="0.85546875" style="5" customWidth="1"/>
    <col min="6694" max="6694" width="8.42578125" style="5" customWidth="1"/>
    <col min="6695" max="6695" width="0.85546875" style="5" customWidth="1"/>
    <col min="6696" max="6696" width="9.85546875" style="5" customWidth="1"/>
    <col min="6697" max="6697" width="0.85546875" style="5" customWidth="1"/>
    <col min="6698" max="6698" width="16" style="5" customWidth="1"/>
    <col min="6699" max="6699" width="0.5703125" style="5" customWidth="1"/>
    <col min="6700" max="6700" width="9.42578125" style="5" bestFit="1" customWidth="1"/>
    <col min="6701" max="6701" width="1.140625" style="5" customWidth="1"/>
    <col min="6702" max="6932" width="9.140625" style="5"/>
    <col min="6933" max="6933" width="2.140625" style="5" customWidth="1"/>
    <col min="6934" max="6934" width="14" style="5" customWidth="1"/>
    <col min="6935" max="6935" width="0.7109375" style="5" customWidth="1"/>
    <col min="6936" max="6936" width="17.140625" style="5" customWidth="1"/>
    <col min="6937" max="6937" width="1.140625" style="5" customWidth="1"/>
    <col min="6938" max="6938" width="18.28515625" style="5" customWidth="1"/>
    <col min="6939" max="6939" width="1" style="5" customWidth="1"/>
    <col min="6940" max="6940" width="41.28515625" style="5" customWidth="1"/>
    <col min="6941" max="6941" width="1" style="5" customWidth="1"/>
    <col min="6942" max="6942" width="11.140625" style="5" customWidth="1"/>
    <col min="6943" max="6943" width="1.28515625" style="5" customWidth="1"/>
    <col min="6944" max="6944" width="10.7109375" style="5" customWidth="1"/>
    <col min="6945" max="6945" width="1" style="5" customWidth="1"/>
    <col min="6946" max="6946" width="10.42578125" style="5" customWidth="1"/>
    <col min="6947" max="6947" width="0.85546875" style="5" customWidth="1"/>
    <col min="6948" max="6948" width="14" style="5" customWidth="1"/>
    <col min="6949" max="6949" width="0.85546875" style="5" customWidth="1"/>
    <col min="6950" max="6950" width="8.42578125" style="5" customWidth="1"/>
    <col min="6951" max="6951" width="0.85546875" style="5" customWidth="1"/>
    <col min="6952" max="6952" width="9.85546875" style="5" customWidth="1"/>
    <col min="6953" max="6953" width="0.85546875" style="5" customWidth="1"/>
    <col min="6954" max="6954" width="16" style="5" customWidth="1"/>
    <col min="6955" max="6955" width="0.5703125" style="5" customWidth="1"/>
    <col min="6956" max="6956" width="9.42578125" style="5" bestFit="1" customWidth="1"/>
    <col min="6957" max="6957" width="1.140625" style="5" customWidth="1"/>
    <col min="6958" max="7188" width="9.140625" style="5"/>
    <col min="7189" max="7189" width="2.140625" style="5" customWidth="1"/>
    <col min="7190" max="7190" width="14" style="5" customWidth="1"/>
    <col min="7191" max="7191" width="0.7109375" style="5" customWidth="1"/>
    <col min="7192" max="7192" width="17.140625" style="5" customWidth="1"/>
    <col min="7193" max="7193" width="1.140625" style="5" customWidth="1"/>
    <col min="7194" max="7194" width="18.28515625" style="5" customWidth="1"/>
    <col min="7195" max="7195" width="1" style="5" customWidth="1"/>
    <col min="7196" max="7196" width="41.28515625" style="5" customWidth="1"/>
    <col min="7197" max="7197" width="1" style="5" customWidth="1"/>
    <col min="7198" max="7198" width="11.140625" style="5" customWidth="1"/>
    <col min="7199" max="7199" width="1.28515625" style="5" customWidth="1"/>
    <col min="7200" max="7200" width="10.7109375" style="5" customWidth="1"/>
    <col min="7201" max="7201" width="1" style="5" customWidth="1"/>
    <col min="7202" max="7202" width="10.42578125" style="5" customWidth="1"/>
    <col min="7203" max="7203" width="0.85546875" style="5" customWidth="1"/>
    <col min="7204" max="7204" width="14" style="5" customWidth="1"/>
    <col min="7205" max="7205" width="0.85546875" style="5" customWidth="1"/>
    <col min="7206" max="7206" width="8.42578125" style="5" customWidth="1"/>
    <col min="7207" max="7207" width="0.85546875" style="5" customWidth="1"/>
    <col min="7208" max="7208" width="9.85546875" style="5" customWidth="1"/>
    <col min="7209" max="7209" width="0.85546875" style="5" customWidth="1"/>
    <col min="7210" max="7210" width="16" style="5" customWidth="1"/>
    <col min="7211" max="7211" width="0.5703125" style="5" customWidth="1"/>
    <col min="7212" max="7212" width="9.42578125" style="5" bestFit="1" customWidth="1"/>
    <col min="7213" max="7213" width="1.140625" style="5" customWidth="1"/>
    <col min="7214" max="7444" width="9.140625" style="5"/>
    <col min="7445" max="7445" width="2.140625" style="5" customWidth="1"/>
    <col min="7446" max="7446" width="14" style="5" customWidth="1"/>
    <col min="7447" max="7447" width="0.7109375" style="5" customWidth="1"/>
    <col min="7448" max="7448" width="17.140625" style="5" customWidth="1"/>
    <col min="7449" max="7449" width="1.140625" style="5" customWidth="1"/>
    <col min="7450" max="7450" width="18.28515625" style="5" customWidth="1"/>
    <col min="7451" max="7451" width="1" style="5" customWidth="1"/>
    <col min="7452" max="7452" width="41.28515625" style="5" customWidth="1"/>
    <col min="7453" max="7453" width="1" style="5" customWidth="1"/>
    <col min="7454" max="7454" width="11.140625" style="5" customWidth="1"/>
    <col min="7455" max="7455" width="1.28515625" style="5" customWidth="1"/>
    <col min="7456" max="7456" width="10.7109375" style="5" customWidth="1"/>
    <col min="7457" max="7457" width="1" style="5" customWidth="1"/>
    <col min="7458" max="7458" width="10.42578125" style="5" customWidth="1"/>
    <col min="7459" max="7459" width="0.85546875" style="5" customWidth="1"/>
    <col min="7460" max="7460" width="14" style="5" customWidth="1"/>
    <col min="7461" max="7461" width="0.85546875" style="5" customWidth="1"/>
    <col min="7462" max="7462" width="8.42578125" style="5" customWidth="1"/>
    <col min="7463" max="7463" width="0.85546875" style="5" customWidth="1"/>
    <col min="7464" max="7464" width="9.85546875" style="5" customWidth="1"/>
    <col min="7465" max="7465" width="0.85546875" style="5" customWidth="1"/>
    <col min="7466" max="7466" width="16" style="5" customWidth="1"/>
    <col min="7467" max="7467" width="0.5703125" style="5" customWidth="1"/>
    <col min="7468" max="7468" width="9.42578125" style="5" bestFit="1" customWidth="1"/>
    <col min="7469" max="7469" width="1.140625" style="5" customWidth="1"/>
    <col min="7470" max="7700" width="9.140625" style="5"/>
    <col min="7701" max="7701" width="2.140625" style="5" customWidth="1"/>
    <col min="7702" max="7702" width="14" style="5" customWidth="1"/>
    <col min="7703" max="7703" width="0.7109375" style="5" customWidth="1"/>
    <col min="7704" max="7704" width="17.140625" style="5" customWidth="1"/>
    <col min="7705" max="7705" width="1.140625" style="5" customWidth="1"/>
    <col min="7706" max="7706" width="18.28515625" style="5" customWidth="1"/>
    <col min="7707" max="7707" width="1" style="5" customWidth="1"/>
    <col min="7708" max="7708" width="41.28515625" style="5" customWidth="1"/>
    <col min="7709" max="7709" width="1" style="5" customWidth="1"/>
    <col min="7710" max="7710" width="11.140625" style="5" customWidth="1"/>
    <col min="7711" max="7711" width="1.28515625" style="5" customWidth="1"/>
    <col min="7712" max="7712" width="10.7109375" style="5" customWidth="1"/>
    <col min="7713" max="7713" width="1" style="5" customWidth="1"/>
    <col min="7714" max="7714" width="10.42578125" style="5" customWidth="1"/>
    <col min="7715" max="7715" width="0.85546875" style="5" customWidth="1"/>
    <col min="7716" max="7716" width="14" style="5" customWidth="1"/>
    <col min="7717" max="7717" width="0.85546875" style="5" customWidth="1"/>
    <col min="7718" max="7718" width="8.42578125" style="5" customWidth="1"/>
    <col min="7719" max="7719" width="0.85546875" style="5" customWidth="1"/>
    <col min="7720" max="7720" width="9.85546875" style="5" customWidth="1"/>
    <col min="7721" max="7721" width="0.85546875" style="5" customWidth="1"/>
    <col min="7722" max="7722" width="16" style="5" customWidth="1"/>
    <col min="7723" max="7723" width="0.5703125" style="5" customWidth="1"/>
    <col min="7724" max="7724" width="9.42578125" style="5" bestFit="1" customWidth="1"/>
    <col min="7725" max="7725" width="1.140625" style="5" customWidth="1"/>
    <col min="7726" max="7956" width="9.140625" style="5"/>
    <col min="7957" max="7957" width="2.140625" style="5" customWidth="1"/>
    <col min="7958" max="7958" width="14" style="5" customWidth="1"/>
    <col min="7959" max="7959" width="0.7109375" style="5" customWidth="1"/>
    <col min="7960" max="7960" width="17.140625" style="5" customWidth="1"/>
    <col min="7961" max="7961" width="1.140625" style="5" customWidth="1"/>
    <col min="7962" max="7962" width="18.28515625" style="5" customWidth="1"/>
    <col min="7963" max="7963" width="1" style="5" customWidth="1"/>
    <col min="7964" max="7964" width="41.28515625" style="5" customWidth="1"/>
    <col min="7965" max="7965" width="1" style="5" customWidth="1"/>
    <col min="7966" max="7966" width="11.140625" style="5" customWidth="1"/>
    <col min="7967" max="7967" width="1.28515625" style="5" customWidth="1"/>
    <col min="7968" max="7968" width="10.7109375" style="5" customWidth="1"/>
    <col min="7969" max="7969" width="1" style="5" customWidth="1"/>
    <col min="7970" max="7970" width="10.42578125" style="5" customWidth="1"/>
    <col min="7971" max="7971" width="0.85546875" style="5" customWidth="1"/>
    <col min="7972" max="7972" width="14" style="5" customWidth="1"/>
    <col min="7973" max="7973" width="0.85546875" style="5" customWidth="1"/>
    <col min="7974" max="7974" width="8.42578125" style="5" customWidth="1"/>
    <col min="7975" max="7975" width="0.85546875" style="5" customWidth="1"/>
    <col min="7976" max="7976" width="9.85546875" style="5" customWidth="1"/>
    <col min="7977" max="7977" width="0.85546875" style="5" customWidth="1"/>
    <col min="7978" max="7978" width="16" style="5" customWidth="1"/>
    <col min="7979" max="7979" width="0.5703125" style="5" customWidth="1"/>
    <col min="7980" max="7980" width="9.42578125" style="5" bestFit="1" customWidth="1"/>
    <col min="7981" max="7981" width="1.140625" style="5" customWidth="1"/>
    <col min="7982" max="8212" width="9.140625" style="5"/>
    <col min="8213" max="8213" width="2.140625" style="5" customWidth="1"/>
    <col min="8214" max="8214" width="14" style="5" customWidth="1"/>
    <col min="8215" max="8215" width="0.7109375" style="5" customWidth="1"/>
    <col min="8216" max="8216" width="17.140625" style="5" customWidth="1"/>
    <col min="8217" max="8217" width="1.140625" style="5" customWidth="1"/>
    <col min="8218" max="8218" width="18.28515625" style="5" customWidth="1"/>
    <col min="8219" max="8219" width="1" style="5" customWidth="1"/>
    <col min="8220" max="8220" width="41.28515625" style="5" customWidth="1"/>
    <col min="8221" max="8221" width="1" style="5" customWidth="1"/>
    <col min="8222" max="8222" width="11.140625" style="5" customWidth="1"/>
    <col min="8223" max="8223" width="1.28515625" style="5" customWidth="1"/>
    <col min="8224" max="8224" width="10.7109375" style="5" customWidth="1"/>
    <col min="8225" max="8225" width="1" style="5" customWidth="1"/>
    <col min="8226" max="8226" width="10.42578125" style="5" customWidth="1"/>
    <col min="8227" max="8227" width="0.85546875" style="5" customWidth="1"/>
    <col min="8228" max="8228" width="14" style="5" customWidth="1"/>
    <col min="8229" max="8229" width="0.85546875" style="5" customWidth="1"/>
    <col min="8230" max="8230" width="8.42578125" style="5" customWidth="1"/>
    <col min="8231" max="8231" width="0.85546875" style="5" customWidth="1"/>
    <col min="8232" max="8232" width="9.85546875" style="5" customWidth="1"/>
    <col min="8233" max="8233" width="0.85546875" style="5" customWidth="1"/>
    <col min="8234" max="8234" width="16" style="5" customWidth="1"/>
    <col min="8235" max="8235" width="0.5703125" style="5" customWidth="1"/>
    <col min="8236" max="8236" width="9.42578125" style="5" bestFit="1" customWidth="1"/>
    <col min="8237" max="8237" width="1.140625" style="5" customWidth="1"/>
    <col min="8238" max="8468" width="9.140625" style="5"/>
    <col min="8469" max="8469" width="2.140625" style="5" customWidth="1"/>
    <col min="8470" max="8470" width="14" style="5" customWidth="1"/>
    <col min="8471" max="8471" width="0.7109375" style="5" customWidth="1"/>
    <col min="8472" max="8472" width="17.140625" style="5" customWidth="1"/>
    <col min="8473" max="8473" width="1.140625" style="5" customWidth="1"/>
    <col min="8474" max="8474" width="18.28515625" style="5" customWidth="1"/>
    <col min="8475" max="8475" width="1" style="5" customWidth="1"/>
    <col min="8476" max="8476" width="41.28515625" style="5" customWidth="1"/>
    <col min="8477" max="8477" width="1" style="5" customWidth="1"/>
    <col min="8478" max="8478" width="11.140625" style="5" customWidth="1"/>
    <col min="8479" max="8479" width="1.28515625" style="5" customWidth="1"/>
    <col min="8480" max="8480" width="10.7109375" style="5" customWidth="1"/>
    <col min="8481" max="8481" width="1" style="5" customWidth="1"/>
    <col min="8482" max="8482" width="10.42578125" style="5" customWidth="1"/>
    <col min="8483" max="8483" width="0.85546875" style="5" customWidth="1"/>
    <col min="8484" max="8484" width="14" style="5" customWidth="1"/>
    <col min="8485" max="8485" width="0.85546875" style="5" customWidth="1"/>
    <col min="8486" max="8486" width="8.42578125" style="5" customWidth="1"/>
    <col min="8487" max="8487" width="0.85546875" style="5" customWidth="1"/>
    <col min="8488" max="8488" width="9.85546875" style="5" customWidth="1"/>
    <col min="8489" max="8489" width="0.85546875" style="5" customWidth="1"/>
    <col min="8490" max="8490" width="16" style="5" customWidth="1"/>
    <col min="8491" max="8491" width="0.5703125" style="5" customWidth="1"/>
    <col min="8492" max="8492" width="9.42578125" style="5" bestFit="1" customWidth="1"/>
    <col min="8493" max="8493" width="1.140625" style="5" customWidth="1"/>
    <col min="8494" max="8724" width="9.140625" style="5"/>
    <col min="8725" max="8725" width="2.140625" style="5" customWidth="1"/>
    <col min="8726" max="8726" width="14" style="5" customWidth="1"/>
    <col min="8727" max="8727" width="0.7109375" style="5" customWidth="1"/>
    <col min="8728" max="8728" width="17.140625" style="5" customWidth="1"/>
    <col min="8729" max="8729" width="1.140625" style="5" customWidth="1"/>
    <col min="8730" max="8730" width="18.28515625" style="5" customWidth="1"/>
    <col min="8731" max="8731" width="1" style="5" customWidth="1"/>
    <col min="8732" max="8732" width="41.28515625" style="5" customWidth="1"/>
    <col min="8733" max="8733" width="1" style="5" customWidth="1"/>
    <col min="8734" max="8734" width="11.140625" style="5" customWidth="1"/>
    <col min="8735" max="8735" width="1.28515625" style="5" customWidth="1"/>
    <col min="8736" max="8736" width="10.7109375" style="5" customWidth="1"/>
    <col min="8737" max="8737" width="1" style="5" customWidth="1"/>
    <col min="8738" max="8738" width="10.42578125" style="5" customWidth="1"/>
    <col min="8739" max="8739" width="0.85546875" style="5" customWidth="1"/>
    <col min="8740" max="8740" width="14" style="5" customWidth="1"/>
    <col min="8741" max="8741" width="0.85546875" style="5" customWidth="1"/>
    <col min="8742" max="8742" width="8.42578125" style="5" customWidth="1"/>
    <col min="8743" max="8743" width="0.85546875" style="5" customWidth="1"/>
    <col min="8744" max="8744" width="9.85546875" style="5" customWidth="1"/>
    <col min="8745" max="8745" width="0.85546875" style="5" customWidth="1"/>
    <col min="8746" max="8746" width="16" style="5" customWidth="1"/>
    <col min="8747" max="8747" width="0.5703125" style="5" customWidth="1"/>
    <col min="8748" max="8748" width="9.42578125" style="5" bestFit="1" customWidth="1"/>
    <col min="8749" max="8749" width="1.140625" style="5" customWidth="1"/>
    <col min="8750" max="8980" width="9.140625" style="5"/>
    <col min="8981" max="8981" width="2.140625" style="5" customWidth="1"/>
    <col min="8982" max="8982" width="14" style="5" customWidth="1"/>
    <col min="8983" max="8983" width="0.7109375" style="5" customWidth="1"/>
    <col min="8984" max="8984" width="17.140625" style="5" customWidth="1"/>
    <col min="8985" max="8985" width="1.140625" style="5" customWidth="1"/>
    <col min="8986" max="8986" width="18.28515625" style="5" customWidth="1"/>
    <col min="8987" max="8987" width="1" style="5" customWidth="1"/>
    <col min="8988" max="8988" width="41.28515625" style="5" customWidth="1"/>
    <col min="8989" max="8989" width="1" style="5" customWidth="1"/>
    <col min="8990" max="8990" width="11.140625" style="5" customWidth="1"/>
    <col min="8991" max="8991" width="1.28515625" style="5" customWidth="1"/>
    <col min="8992" max="8992" width="10.7109375" style="5" customWidth="1"/>
    <col min="8993" max="8993" width="1" style="5" customWidth="1"/>
    <col min="8994" max="8994" width="10.42578125" style="5" customWidth="1"/>
    <col min="8995" max="8995" width="0.85546875" style="5" customWidth="1"/>
    <col min="8996" max="8996" width="14" style="5" customWidth="1"/>
    <col min="8997" max="8997" width="0.85546875" style="5" customWidth="1"/>
    <col min="8998" max="8998" width="8.42578125" style="5" customWidth="1"/>
    <col min="8999" max="8999" width="0.85546875" style="5" customWidth="1"/>
    <col min="9000" max="9000" width="9.85546875" style="5" customWidth="1"/>
    <col min="9001" max="9001" width="0.85546875" style="5" customWidth="1"/>
    <col min="9002" max="9002" width="16" style="5" customWidth="1"/>
    <col min="9003" max="9003" width="0.5703125" style="5" customWidth="1"/>
    <col min="9004" max="9004" width="9.42578125" style="5" bestFit="1" customWidth="1"/>
    <col min="9005" max="9005" width="1.140625" style="5" customWidth="1"/>
    <col min="9006" max="9236" width="9.140625" style="5"/>
    <col min="9237" max="9237" width="2.140625" style="5" customWidth="1"/>
    <col min="9238" max="9238" width="14" style="5" customWidth="1"/>
    <col min="9239" max="9239" width="0.7109375" style="5" customWidth="1"/>
    <col min="9240" max="9240" width="17.140625" style="5" customWidth="1"/>
    <col min="9241" max="9241" width="1.140625" style="5" customWidth="1"/>
    <col min="9242" max="9242" width="18.28515625" style="5" customWidth="1"/>
    <col min="9243" max="9243" width="1" style="5" customWidth="1"/>
    <col min="9244" max="9244" width="41.28515625" style="5" customWidth="1"/>
    <col min="9245" max="9245" width="1" style="5" customWidth="1"/>
    <col min="9246" max="9246" width="11.140625" style="5" customWidth="1"/>
    <col min="9247" max="9247" width="1.28515625" style="5" customWidth="1"/>
    <col min="9248" max="9248" width="10.7109375" style="5" customWidth="1"/>
    <col min="9249" max="9249" width="1" style="5" customWidth="1"/>
    <col min="9250" max="9250" width="10.42578125" style="5" customWidth="1"/>
    <col min="9251" max="9251" width="0.85546875" style="5" customWidth="1"/>
    <col min="9252" max="9252" width="14" style="5" customWidth="1"/>
    <col min="9253" max="9253" width="0.85546875" style="5" customWidth="1"/>
    <col min="9254" max="9254" width="8.42578125" style="5" customWidth="1"/>
    <col min="9255" max="9255" width="0.85546875" style="5" customWidth="1"/>
    <col min="9256" max="9256" width="9.85546875" style="5" customWidth="1"/>
    <col min="9257" max="9257" width="0.85546875" style="5" customWidth="1"/>
    <col min="9258" max="9258" width="16" style="5" customWidth="1"/>
    <col min="9259" max="9259" width="0.5703125" style="5" customWidth="1"/>
    <col min="9260" max="9260" width="9.42578125" style="5" bestFit="1" customWidth="1"/>
    <col min="9261" max="9261" width="1.140625" style="5" customWidth="1"/>
    <col min="9262" max="9492" width="9.140625" style="5"/>
    <col min="9493" max="9493" width="2.140625" style="5" customWidth="1"/>
    <col min="9494" max="9494" width="14" style="5" customWidth="1"/>
    <col min="9495" max="9495" width="0.7109375" style="5" customWidth="1"/>
    <col min="9496" max="9496" width="17.140625" style="5" customWidth="1"/>
    <col min="9497" max="9497" width="1.140625" style="5" customWidth="1"/>
    <col min="9498" max="9498" width="18.28515625" style="5" customWidth="1"/>
    <col min="9499" max="9499" width="1" style="5" customWidth="1"/>
    <col min="9500" max="9500" width="41.28515625" style="5" customWidth="1"/>
    <col min="9501" max="9501" width="1" style="5" customWidth="1"/>
    <col min="9502" max="9502" width="11.140625" style="5" customWidth="1"/>
    <col min="9503" max="9503" width="1.28515625" style="5" customWidth="1"/>
    <col min="9504" max="9504" width="10.7109375" style="5" customWidth="1"/>
    <col min="9505" max="9505" width="1" style="5" customWidth="1"/>
    <col min="9506" max="9506" width="10.42578125" style="5" customWidth="1"/>
    <col min="9507" max="9507" width="0.85546875" style="5" customWidth="1"/>
    <col min="9508" max="9508" width="14" style="5" customWidth="1"/>
    <col min="9509" max="9509" width="0.85546875" style="5" customWidth="1"/>
    <col min="9510" max="9510" width="8.42578125" style="5" customWidth="1"/>
    <col min="9511" max="9511" width="0.85546875" style="5" customWidth="1"/>
    <col min="9512" max="9512" width="9.85546875" style="5" customWidth="1"/>
    <col min="9513" max="9513" width="0.85546875" style="5" customWidth="1"/>
    <col min="9514" max="9514" width="16" style="5" customWidth="1"/>
    <col min="9515" max="9515" width="0.5703125" style="5" customWidth="1"/>
    <col min="9516" max="9516" width="9.42578125" style="5" bestFit="1" customWidth="1"/>
    <col min="9517" max="9517" width="1.140625" style="5" customWidth="1"/>
    <col min="9518" max="9748" width="9.140625" style="5"/>
    <col min="9749" max="9749" width="2.140625" style="5" customWidth="1"/>
    <col min="9750" max="9750" width="14" style="5" customWidth="1"/>
    <col min="9751" max="9751" width="0.7109375" style="5" customWidth="1"/>
    <col min="9752" max="9752" width="17.140625" style="5" customWidth="1"/>
    <col min="9753" max="9753" width="1.140625" style="5" customWidth="1"/>
    <col min="9754" max="9754" width="18.28515625" style="5" customWidth="1"/>
    <col min="9755" max="9755" width="1" style="5" customWidth="1"/>
    <col min="9756" max="9756" width="41.28515625" style="5" customWidth="1"/>
    <col min="9757" max="9757" width="1" style="5" customWidth="1"/>
    <col min="9758" max="9758" width="11.140625" style="5" customWidth="1"/>
    <col min="9759" max="9759" width="1.28515625" style="5" customWidth="1"/>
    <col min="9760" max="9760" width="10.7109375" style="5" customWidth="1"/>
    <col min="9761" max="9761" width="1" style="5" customWidth="1"/>
    <col min="9762" max="9762" width="10.42578125" style="5" customWidth="1"/>
    <col min="9763" max="9763" width="0.85546875" style="5" customWidth="1"/>
    <col min="9764" max="9764" width="14" style="5" customWidth="1"/>
    <col min="9765" max="9765" width="0.85546875" style="5" customWidth="1"/>
    <col min="9766" max="9766" width="8.42578125" style="5" customWidth="1"/>
    <col min="9767" max="9767" width="0.85546875" style="5" customWidth="1"/>
    <col min="9768" max="9768" width="9.85546875" style="5" customWidth="1"/>
    <col min="9769" max="9769" width="0.85546875" style="5" customWidth="1"/>
    <col min="9770" max="9770" width="16" style="5" customWidth="1"/>
    <col min="9771" max="9771" width="0.5703125" style="5" customWidth="1"/>
    <col min="9772" max="9772" width="9.42578125" style="5" bestFit="1" customWidth="1"/>
    <col min="9773" max="9773" width="1.140625" style="5" customWidth="1"/>
    <col min="9774" max="10004" width="9.140625" style="5"/>
    <col min="10005" max="10005" width="2.140625" style="5" customWidth="1"/>
    <col min="10006" max="10006" width="14" style="5" customWidth="1"/>
    <col min="10007" max="10007" width="0.7109375" style="5" customWidth="1"/>
    <col min="10008" max="10008" width="17.140625" style="5" customWidth="1"/>
    <col min="10009" max="10009" width="1.140625" style="5" customWidth="1"/>
    <col min="10010" max="10010" width="18.28515625" style="5" customWidth="1"/>
    <col min="10011" max="10011" width="1" style="5" customWidth="1"/>
    <col min="10012" max="10012" width="41.28515625" style="5" customWidth="1"/>
    <col min="10013" max="10013" width="1" style="5" customWidth="1"/>
    <col min="10014" max="10014" width="11.140625" style="5" customWidth="1"/>
    <col min="10015" max="10015" width="1.28515625" style="5" customWidth="1"/>
    <col min="10016" max="10016" width="10.7109375" style="5" customWidth="1"/>
    <col min="10017" max="10017" width="1" style="5" customWidth="1"/>
    <col min="10018" max="10018" width="10.42578125" style="5" customWidth="1"/>
    <col min="10019" max="10019" width="0.85546875" style="5" customWidth="1"/>
    <col min="10020" max="10020" width="14" style="5" customWidth="1"/>
    <col min="10021" max="10021" width="0.85546875" style="5" customWidth="1"/>
    <col min="10022" max="10022" width="8.42578125" style="5" customWidth="1"/>
    <col min="10023" max="10023" width="0.85546875" style="5" customWidth="1"/>
    <col min="10024" max="10024" width="9.85546875" style="5" customWidth="1"/>
    <col min="10025" max="10025" width="0.85546875" style="5" customWidth="1"/>
    <col min="10026" max="10026" width="16" style="5" customWidth="1"/>
    <col min="10027" max="10027" width="0.5703125" style="5" customWidth="1"/>
    <col min="10028" max="10028" width="9.42578125" style="5" bestFit="1" customWidth="1"/>
    <col min="10029" max="10029" width="1.140625" style="5" customWidth="1"/>
    <col min="10030" max="10260" width="9.140625" style="5"/>
    <col min="10261" max="10261" width="2.140625" style="5" customWidth="1"/>
    <col min="10262" max="10262" width="14" style="5" customWidth="1"/>
    <col min="10263" max="10263" width="0.7109375" style="5" customWidth="1"/>
    <col min="10264" max="10264" width="17.140625" style="5" customWidth="1"/>
    <col min="10265" max="10265" width="1.140625" style="5" customWidth="1"/>
    <col min="10266" max="10266" width="18.28515625" style="5" customWidth="1"/>
    <col min="10267" max="10267" width="1" style="5" customWidth="1"/>
    <col min="10268" max="10268" width="41.28515625" style="5" customWidth="1"/>
    <col min="10269" max="10269" width="1" style="5" customWidth="1"/>
    <col min="10270" max="10270" width="11.140625" style="5" customWidth="1"/>
    <col min="10271" max="10271" width="1.28515625" style="5" customWidth="1"/>
    <col min="10272" max="10272" width="10.7109375" style="5" customWidth="1"/>
    <col min="10273" max="10273" width="1" style="5" customWidth="1"/>
    <col min="10274" max="10274" width="10.42578125" style="5" customWidth="1"/>
    <col min="10275" max="10275" width="0.85546875" style="5" customWidth="1"/>
    <col min="10276" max="10276" width="14" style="5" customWidth="1"/>
    <col min="10277" max="10277" width="0.85546875" style="5" customWidth="1"/>
    <col min="10278" max="10278" width="8.42578125" style="5" customWidth="1"/>
    <col min="10279" max="10279" width="0.85546875" style="5" customWidth="1"/>
    <col min="10280" max="10280" width="9.85546875" style="5" customWidth="1"/>
    <col min="10281" max="10281" width="0.85546875" style="5" customWidth="1"/>
    <col min="10282" max="10282" width="16" style="5" customWidth="1"/>
    <col min="10283" max="10283" width="0.5703125" style="5" customWidth="1"/>
    <col min="10284" max="10284" width="9.42578125" style="5" bestFit="1" customWidth="1"/>
    <col min="10285" max="10285" width="1.140625" style="5" customWidth="1"/>
    <col min="10286" max="10516" width="9.140625" style="5"/>
    <col min="10517" max="10517" width="2.140625" style="5" customWidth="1"/>
    <col min="10518" max="10518" width="14" style="5" customWidth="1"/>
    <col min="10519" max="10519" width="0.7109375" style="5" customWidth="1"/>
    <col min="10520" max="10520" width="17.140625" style="5" customWidth="1"/>
    <col min="10521" max="10521" width="1.140625" style="5" customWidth="1"/>
    <col min="10522" max="10522" width="18.28515625" style="5" customWidth="1"/>
    <col min="10523" max="10523" width="1" style="5" customWidth="1"/>
    <col min="10524" max="10524" width="41.28515625" style="5" customWidth="1"/>
    <col min="10525" max="10525" width="1" style="5" customWidth="1"/>
    <col min="10526" max="10526" width="11.140625" style="5" customWidth="1"/>
    <col min="10527" max="10527" width="1.28515625" style="5" customWidth="1"/>
    <col min="10528" max="10528" width="10.7109375" style="5" customWidth="1"/>
    <col min="10529" max="10529" width="1" style="5" customWidth="1"/>
    <col min="10530" max="10530" width="10.42578125" style="5" customWidth="1"/>
    <col min="10531" max="10531" width="0.85546875" style="5" customWidth="1"/>
    <col min="10532" max="10532" width="14" style="5" customWidth="1"/>
    <col min="10533" max="10533" width="0.85546875" style="5" customWidth="1"/>
    <col min="10534" max="10534" width="8.42578125" style="5" customWidth="1"/>
    <col min="10535" max="10535" width="0.85546875" style="5" customWidth="1"/>
    <col min="10536" max="10536" width="9.85546875" style="5" customWidth="1"/>
    <col min="10537" max="10537" width="0.85546875" style="5" customWidth="1"/>
    <col min="10538" max="10538" width="16" style="5" customWidth="1"/>
    <col min="10539" max="10539" width="0.5703125" style="5" customWidth="1"/>
    <col min="10540" max="10540" width="9.42578125" style="5" bestFit="1" customWidth="1"/>
    <col min="10541" max="10541" width="1.140625" style="5" customWidth="1"/>
    <col min="10542" max="10772" width="9.140625" style="5"/>
    <col min="10773" max="10773" width="2.140625" style="5" customWidth="1"/>
    <col min="10774" max="10774" width="14" style="5" customWidth="1"/>
    <col min="10775" max="10775" width="0.7109375" style="5" customWidth="1"/>
    <col min="10776" max="10776" width="17.140625" style="5" customWidth="1"/>
    <col min="10777" max="10777" width="1.140625" style="5" customWidth="1"/>
    <col min="10778" max="10778" width="18.28515625" style="5" customWidth="1"/>
    <col min="10779" max="10779" width="1" style="5" customWidth="1"/>
    <col min="10780" max="10780" width="41.28515625" style="5" customWidth="1"/>
    <col min="10781" max="10781" width="1" style="5" customWidth="1"/>
    <col min="10782" max="10782" width="11.140625" style="5" customWidth="1"/>
    <col min="10783" max="10783" width="1.28515625" style="5" customWidth="1"/>
    <col min="10784" max="10784" width="10.7109375" style="5" customWidth="1"/>
    <col min="10785" max="10785" width="1" style="5" customWidth="1"/>
    <col min="10786" max="10786" width="10.42578125" style="5" customWidth="1"/>
    <col min="10787" max="10787" width="0.85546875" style="5" customWidth="1"/>
    <col min="10788" max="10788" width="14" style="5" customWidth="1"/>
    <col min="10789" max="10789" width="0.85546875" style="5" customWidth="1"/>
    <col min="10790" max="10790" width="8.42578125" style="5" customWidth="1"/>
    <col min="10791" max="10791" width="0.85546875" style="5" customWidth="1"/>
    <col min="10792" max="10792" width="9.85546875" style="5" customWidth="1"/>
    <col min="10793" max="10793" width="0.85546875" style="5" customWidth="1"/>
    <col min="10794" max="10794" width="16" style="5" customWidth="1"/>
    <col min="10795" max="10795" width="0.5703125" style="5" customWidth="1"/>
    <col min="10796" max="10796" width="9.42578125" style="5" bestFit="1" customWidth="1"/>
    <col min="10797" max="10797" width="1.140625" style="5" customWidth="1"/>
    <col min="10798" max="11028" width="9.140625" style="5"/>
    <col min="11029" max="11029" width="2.140625" style="5" customWidth="1"/>
    <col min="11030" max="11030" width="14" style="5" customWidth="1"/>
    <col min="11031" max="11031" width="0.7109375" style="5" customWidth="1"/>
    <col min="11032" max="11032" width="17.140625" style="5" customWidth="1"/>
    <col min="11033" max="11033" width="1.140625" style="5" customWidth="1"/>
    <col min="11034" max="11034" width="18.28515625" style="5" customWidth="1"/>
    <col min="11035" max="11035" width="1" style="5" customWidth="1"/>
    <col min="11036" max="11036" width="41.28515625" style="5" customWidth="1"/>
    <col min="11037" max="11037" width="1" style="5" customWidth="1"/>
    <col min="11038" max="11038" width="11.140625" style="5" customWidth="1"/>
    <col min="11039" max="11039" width="1.28515625" style="5" customWidth="1"/>
    <col min="11040" max="11040" width="10.7109375" style="5" customWidth="1"/>
    <col min="11041" max="11041" width="1" style="5" customWidth="1"/>
    <col min="11042" max="11042" width="10.42578125" style="5" customWidth="1"/>
    <col min="11043" max="11043" width="0.85546875" style="5" customWidth="1"/>
    <col min="11044" max="11044" width="14" style="5" customWidth="1"/>
    <col min="11045" max="11045" width="0.85546875" style="5" customWidth="1"/>
    <col min="11046" max="11046" width="8.42578125" style="5" customWidth="1"/>
    <col min="11047" max="11047" width="0.85546875" style="5" customWidth="1"/>
    <col min="11048" max="11048" width="9.85546875" style="5" customWidth="1"/>
    <col min="11049" max="11049" width="0.85546875" style="5" customWidth="1"/>
    <col min="11050" max="11050" width="16" style="5" customWidth="1"/>
    <col min="11051" max="11051" width="0.5703125" style="5" customWidth="1"/>
    <col min="11052" max="11052" width="9.42578125" style="5" bestFit="1" customWidth="1"/>
    <col min="11053" max="11053" width="1.140625" style="5" customWidth="1"/>
    <col min="11054" max="11284" width="9.140625" style="5"/>
    <col min="11285" max="11285" width="2.140625" style="5" customWidth="1"/>
    <col min="11286" max="11286" width="14" style="5" customWidth="1"/>
    <col min="11287" max="11287" width="0.7109375" style="5" customWidth="1"/>
    <col min="11288" max="11288" width="17.140625" style="5" customWidth="1"/>
    <col min="11289" max="11289" width="1.140625" style="5" customWidth="1"/>
    <col min="11290" max="11290" width="18.28515625" style="5" customWidth="1"/>
    <col min="11291" max="11291" width="1" style="5" customWidth="1"/>
    <col min="11292" max="11292" width="41.28515625" style="5" customWidth="1"/>
    <col min="11293" max="11293" width="1" style="5" customWidth="1"/>
    <col min="11294" max="11294" width="11.140625" style="5" customWidth="1"/>
    <col min="11295" max="11295" width="1.28515625" style="5" customWidth="1"/>
    <col min="11296" max="11296" width="10.7109375" style="5" customWidth="1"/>
    <col min="11297" max="11297" width="1" style="5" customWidth="1"/>
    <col min="11298" max="11298" width="10.42578125" style="5" customWidth="1"/>
    <col min="11299" max="11299" width="0.85546875" style="5" customWidth="1"/>
    <col min="11300" max="11300" width="14" style="5" customWidth="1"/>
    <col min="11301" max="11301" width="0.85546875" style="5" customWidth="1"/>
    <col min="11302" max="11302" width="8.42578125" style="5" customWidth="1"/>
    <col min="11303" max="11303" width="0.85546875" style="5" customWidth="1"/>
    <col min="11304" max="11304" width="9.85546875" style="5" customWidth="1"/>
    <col min="11305" max="11305" width="0.85546875" style="5" customWidth="1"/>
    <col min="11306" max="11306" width="16" style="5" customWidth="1"/>
    <col min="11307" max="11307" width="0.5703125" style="5" customWidth="1"/>
    <col min="11308" max="11308" width="9.42578125" style="5" bestFit="1" customWidth="1"/>
    <col min="11309" max="11309" width="1.140625" style="5" customWidth="1"/>
    <col min="11310" max="11540" width="9.140625" style="5"/>
    <col min="11541" max="11541" width="2.140625" style="5" customWidth="1"/>
    <col min="11542" max="11542" width="14" style="5" customWidth="1"/>
    <col min="11543" max="11543" width="0.7109375" style="5" customWidth="1"/>
    <col min="11544" max="11544" width="17.140625" style="5" customWidth="1"/>
    <col min="11545" max="11545" width="1.140625" style="5" customWidth="1"/>
    <col min="11546" max="11546" width="18.28515625" style="5" customWidth="1"/>
    <col min="11547" max="11547" width="1" style="5" customWidth="1"/>
    <col min="11548" max="11548" width="41.28515625" style="5" customWidth="1"/>
    <col min="11549" max="11549" width="1" style="5" customWidth="1"/>
    <col min="11550" max="11550" width="11.140625" style="5" customWidth="1"/>
    <col min="11551" max="11551" width="1.28515625" style="5" customWidth="1"/>
    <col min="11552" max="11552" width="10.7109375" style="5" customWidth="1"/>
    <col min="11553" max="11553" width="1" style="5" customWidth="1"/>
    <col min="11554" max="11554" width="10.42578125" style="5" customWidth="1"/>
    <col min="11555" max="11555" width="0.85546875" style="5" customWidth="1"/>
    <col min="11556" max="11556" width="14" style="5" customWidth="1"/>
    <col min="11557" max="11557" width="0.85546875" style="5" customWidth="1"/>
    <col min="11558" max="11558" width="8.42578125" style="5" customWidth="1"/>
    <col min="11559" max="11559" width="0.85546875" style="5" customWidth="1"/>
    <col min="11560" max="11560" width="9.85546875" style="5" customWidth="1"/>
    <col min="11561" max="11561" width="0.85546875" style="5" customWidth="1"/>
    <col min="11562" max="11562" width="16" style="5" customWidth="1"/>
    <col min="11563" max="11563" width="0.5703125" style="5" customWidth="1"/>
    <col min="11564" max="11564" width="9.42578125" style="5" bestFit="1" customWidth="1"/>
    <col min="11565" max="11565" width="1.140625" style="5" customWidth="1"/>
    <col min="11566" max="11796" width="9.140625" style="5"/>
    <col min="11797" max="11797" width="2.140625" style="5" customWidth="1"/>
    <col min="11798" max="11798" width="14" style="5" customWidth="1"/>
    <col min="11799" max="11799" width="0.7109375" style="5" customWidth="1"/>
    <col min="11800" max="11800" width="17.140625" style="5" customWidth="1"/>
    <col min="11801" max="11801" width="1.140625" style="5" customWidth="1"/>
    <col min="11802" max="11802" width="18.28515625" style="5" customWidth="1"/>
    <col min="11803" max="11803" width="1" style="5" customWidth="1"/>
    <col min="11804" max="11804" width="41.28515625" style="5" customWidth="1"/>
    <col min="11805" max="11805" width="1" style="5" customWidth="1"/>
    <col min="11806" max="11806" width="11.140625" style="5" customWidth="1"/>
    <col min="11807" max="11807" width="1.28515625" style="5" customWidth="1"/>
    <col min="11808" max="11808" width="10.7109375" style="5" customWidth="1"/>
    <col min="11809" max="11809" width="1" style="5" customWidth="1"/>
    <col min="11810" max="11810" width="10.42578125" style="5" customWidth="1"/>
    <col min="11811" max="11811" width="0.85546875" style="5" customWidth="1"/>
    <col min="11812" max="11812" width="14" style="5" customWidth="1"/>
    <col min="11813" max="11813" width="0.85546875" style="5" customWidth="1"/>
    <col min="11814" max="11814" width="8.42578125" style="5" customWidth="1"/>
    <col min="11815" max="11815" width="0.85546875" style="5" customWidth="1"/>
    <col min="11816" max="11816" width="9.85546875" style="5" customWidth="1"/>
    <col min="11817" max="11817" width="0.85546875" style="5" customWidth="1"/>
    <col min="11818" max="11818" width="16" style="5" customWidth="1"/>
    <col min="11819" max="11819" width="0.5703125" style="5" customWidth="1"/>
    <col min="11820" max="11820" width="9.42578125" style="5" bestFit="1" customWidth="1"/>
    <col min="11821" max="11821" width="1.140625" style="5" customWidth="1"/>
    <col min="11822" max="12052" width="9.140625" style="5"/>
    <col min="12053" max="12053" width="2.140625" style="5" customWidth="1"/>
    <col min="12054" max="12054" width="14" style="5" customWidth="1"/>
    <col min="12055" max="12055" width="0.7109375" style="5" customWidth="1"/>
    <col min="12056" max="12056" width="17.140625" style="5" customWidth="1"/>
    <col min="12057" max="12057" width="1.140625" style="5" customWidth="1"/>
    <col min="12058" max="12058" width="18.28515625" style="5" customWidth="1"/>
    <col min="12059" max="12059" width="1" style="5" customWidth="1"/>
    <col min="12060" max="12060" width="41.28515625" style="5" customWidth="1"/>
    <col min="12061" max="12061" width="1" style="5" customWidth="1"/>
    <col min="12062" max="12062" width="11.140625" style="5" customWidth="1"/>
    <col min="12063" max="12063" width="1.28515625" style="5" customWidth="1"/>
    <col min="12064" max="12064" width="10.7109375" style="5" customWidth="1"/>
    <col min="12065" max="12065" width="1" style="5" customWidth="1"/>
    <col min="12066" max="12066" width="10.42578125" style="5" customWidth="1"/>
    <col min="12067" max="12067" width="0.85546875" style="5" customWidth="1"/>
    <col min="12068" max="12068" width="14" style="5" customWidth="1"/>
    <col min="12069" max="12069" width="0.85546875" style="5" customWidth="1"/>
    <col min="12070" max="12070" width="8.42578125" style="5" customWidth="1"/>
    <col min="12071" max="12071" width="0.85546875" style="5" customWidth="1"/>
    <col min="12072" max="12072" width="9.85546875" style="5" customWidth="1"/>
    <col min="12073" max="12073" width="0.85546875" style="5" customWidth="1"/>
    <col min="12074" max="12074" width="16" style="5" customWidth="1"/>
    <col min="12075" max="12075" width="0.5703125" style="5" customWidth="1"/>
    <col min="12076" max="12076" width="9.42578125" style="5" bestFit="1" customWidth="1"/>
    <col min="12077" max="12077" width="1.140625" style="5" customWidth="1"/>
    <col min="12078" max="12308" width="9.140625" style="5"/>
    <col min="12309" max="12309" width="2.140625" style="5" customWidth="1"/>
    <col min="12310" max="12310" width="14" style="5" customWidth="1"/>
    <col min="12311" max="12311" width="0.7109375" style="5" customWidth="1"/>
    <col min="12312" max="12312" width="17.140625" style="5" customWidth="1"/>
    <col min="12313" max="12313" width="1.140625" style="5" customWidth="1"/>
    <col min="12314" max="12314" width="18.28515625" style="5" customWidth="1"/>
    <col min="12315" max="12315" width="1" style="5" customWidth="1"/>
    <col min="12316" max="12316" width="41.28515625" style="5" customWidth="1"/>
    <col min="12317" max="12317" width="1" style="5" customWidth="1"/>
    <col min="12318" max="12318" width="11.140625" style="5" customWidth="1"/>
    <col min="12319" max="12319" width="1.28515625" style="5" customWidth="1"/>
    <col min="12320" max="12320" width="10.7109375" style="5" customWidth="1"/>
    <col min="12321" max="12321" width="1" style="5" customWidth="1"/>
    <col min="12322" max="12322" width="10.42578125" style="5" customWidth="1"/>
    <col min="12323" max="12323" width="0.85546875" style="5" customWidth="1"/>
    <col min="12324" max="12324" width="14" style="5" customWidth="1"/>
    <col min="12325" max="12325" width="0.85546875" style="5" customWidth="1"/>
    <col min="12326" max="12326" width="8.42578125" style="5" customWidth="1"/>
    <col min="12327" max="12327" width="0.85546875" style="5" customWidth="1"/>
    <col min="12328" max="12328" width="9.85546875" style="5" customWidth="1"/>
    <col min="12329" max="12329" width="0.85546875" style="5" customWidth="1"/>
    <col min="12330" max="12330" width="16" style="5" customWidth="1"/>
    <col min="12331" max="12331" width="0.5703125" style="5" customWidth="1"/>
    <col min="12332" max="12332" width="9.42578125" style="5" bestFit="1" customWidth="1"/>
    <col min="12333" max="12333" width="1.140625" style="5" customWidth="1"/>
    <col min="12334" max="12564" width="9.140625" style="5"/>
    <col min="12565" max="12565" width="2.140625" style="5" customWidth="1"/>
    <col min="12566" max="12566" width="14" style="5" customWidth="1"/>
    <col min="12567" max="12567" width="0.7109375" style="5" customWidth="1"/>
    <col min="12568" max="12568" width="17.140625" style="5" customWidth="1"/>
    <col min="12569" max="12569" width="1.140625" style="5" customWidth="1"/>
    <col min="12570" max="12570" width="18.28515625" style="5" customWidth="1"/>
    <col min="12571" max="12571" width="1" style="5" customWidth="1"/>
    <col min="12572" max="12572" width="41.28515625" style="5" customWidth="1"/>
    <col min="12573" max="12573" width="1" style="5" customWidth="1"/>
    <col min="12574" max="12574" width="11.140625" style="5" customWidth="1"/>
    <col min="12575" max="12575" width="1.28515625" style="5" customWidth="1"/>
    <col min="12576" max="12576" width="10.7109375" style="5" customWidth="1"/>
    <col min="12577" max="12577" width="1" style="5" customWidth="1"/>
    <col min="12578" max="12578" width="10.42578125" style="5" customWidth="1"/>
    <col min="12579" max="12579" width="0.85546875" style="5" customWidth="1"/>
    <col min="12580" max="12580" width="14" style="5" customWidth="1"/>
    <col min="12581" max="12581" width="0.85546875" style="5" customWidth="1"/>
    <col min="12582" max="12582" width="8.42578125" style="5" customWidth="1"/>
    <col min="12583" max="12583" width="0.85546875" style="5" customWidth="1"/>
    <col min="12584" max="12584" width="9.85546875" style="5" customWidth="1"/>
    <col min="12585" max="12585" width="0.85546875" style="5" customWidth="1"/>
    <col min="12586" max="12586" width="16" style="5" customWidth="1"/>
    <col min="12587" max="12587" width="0.5703125" style="5" customWidth="1"/>
    <col min="12588" max="12588" width="9.42578125" style="5" bestFit="1" customWidth="1"/>
    <col min="12589" max="12589" width="1.140625" style="5" customWidth="1"/>
    <col min="12590" max="12820" width="9.140625" style="5"/>
    <col min="12821" max="12821" width="2.140625" style="5" customWidth="1"/>
    <col min="12822" max="12822" width="14" style="5" customWidth="1"/>
    <col min="12823" max="12823" width="0.7109375" style="5" customWidth="1"/>
    <col min="12824" max="12824" width="17.140625" style="5" customWidth="1"/>
    <col min="12825" max="12825" width="1.140625" style="5" customWidth="1"/>
    <col min="12826" max="12826" width="18.28515625" style="5" customWidth="1"/>
    <col min="12827" max="12827" width="1" style="5" customWidth="1"/>
    <col min="12828" max="12828" width="41.28515625" style="5" customWidth="1"/>
    <col min="12829" max="12829" width="1" style="5" customWidth="1"/>
    <col min="12830" max="12830" width="11.140625" style="5" customWidth="1"/>
    <col min="12831" max="12831" width="1.28515625" style="5" customWidth="1"/>
    <col min="12832" max="12832" width="10.7109375" style="5" customWidth="1"/>
    <col min="12833" max="12833" width="1" style="5" customWidth="1"/>
    <col min="12834" max="12834" width="10.42578125" style="5" customWidth="1"/>
    <col min="12835" max="12835" width="0.85546875" style="5" customWidth="1"/>
    <col min="12836" max="12836" width="14" style="5" customWidth="1"/>
    <col min="12837" max="12837" width="0.85546875" style="5" customWidth="1"/>
    <col min="12838" max="12838" width="8.42578125" style="5" customWidth="1"/>
    <col min="12839" max="12839" width="0.85546875" style="5" customWidth="1"/>
    <col min="12840" max="12840" width="9.85546875" style="5" customWidth="1"/>
    <col min="12841" max="12841" width="0.85546875" style="5" customWidth="1"/>
    <col min="12842" max="12842" width="16" style="5" customWidth="1"/>
    <col min="12843" max="12843" width="0.5703125" style="5" customWidth="1"/>
    <col min="12844" max="12844" width="9.42578125" style="5" bestFit="1" customWidth="1"/>
    <col min="12845" max="12845" width="1.140625" style="5" customWidth="1"/>
    <col min="12846" max="13076" width="9.140625" style="5"/>
    <col min="13077" max="13077" width="2.140625" style="5" customWidth="1"/>
    <col min="13078" max="13078" width="14" style="5" customWidth="1"/>
    <col min="13079" max="13079" width="0.7109375" style="5" customWidth="1"/>
    <col min="13080" max="13080" width="17.140625" style="5" customWidth="1"/>
    <col min="13081" max="13081" width="1.140625" style="5" customWidth="1"/>
    <col min="13082" max="13082" width="18.28515625" style="5" customWidth="1"/>
    <col min="13083" max="13083" width="1" style="5" customWidth="1"/>
    <col min="13084" max="13084" width="41.28515625" style="5" customWidth="1"/>
    <col min="13085" max="13085" width="1" style="5" customWidth="1"/>
    <col min="13086" max="13086" width="11.140625" style="5" customWidth="1"/>
    <col min="13087" max="13087" width="1.28515625" style="5" customWidth="1"/>
    <col min="13088" max="13088" width="10.7109375" style="5" customWidth="1"/>
    <col min="13089" max="13089" width="1" style="5" customWidth="1"/>
    <col min="13090" max="13090" width="10.42578125" style="5" customWidth="1"/>
    <col min="13091" max="13091" width="0.85546875" style="5" customWidth="1"/>
    <col min="13092" max="13092" width="14" style="5" customWidth="1"/>
    <col min="13093" max="13093" width="0.85546875" style="5" customWidth="1"/>
    <col min="13094" max="13094" width="8.42578125" style="5" customWidth="1"/>
    <col min="13095" max="13095" width="0.85546875" style="5" customWidth="1"/>
    <col min="13096" max="13096" width="9.85546875" style="5" customWidth="1"/>
    <col min="13097" max="13097" width="0.85546875" style="5" customWidth="1"/>
    <col min="13098" max="13098" width="16" style="5" customWidth="1"/>
    <col min="13099" max="13099" width="0.5703125" style="5" customWidth="1"/>
    <col min="13100" max="13100" width="9.42578125" style="5" bestFit="1" customWidth="1"/>
    <col min="13101" max="13101" width="1.140625" style="5" customWidth="1"/>
    <col min="13102" max="13332" width="9.140625" style="5"/>
    <col min="13333" max="13333" width="2.140625" style="5" customWidth="1"/>
    <col min="13334" max="13334" width="14" style="5" customWidth="1"/>
    <col min="13335" max="13335" width="0.7109375" style="5" customWidth="1"/>
    <col min="13336" max="13336" width="17.140625" style="5" customWidth="1"/>
    <col min="13337" max="13337" width="1.140625" style="5" customWidth="1"/>
    <col min="13338" max="13338" width="18.28515625" style="5" customWidth="1"/>
    <col min="13339" max="13339" width="1" style="5" customWidth="1"/>
    <col min="13340" max="13340" width="41.28515625" style="5" customWidth="1"/>
    <col min="13341" max="13341" width="1" style="5" customWidth="1"/>
    <col min="13342" max="13342" width="11.140625" style="5" customWidth="1"/>
    <col min="13343" max="13343" width="1.28515625" style="5" customWidth="1"/>
    <col min="13344" max="13344" width="10.7109375" style="5" customWidth="1"/>
    <col min="13345" max="13345" width="1" style="5" customWidth="1"/>
    <col min="13346" max="13346" width="10.42578125" style="5" customWidth="1"/>
    <col min="13347" max="13347" width="0.85546875" style="5" customWidth="1"/>
    <col min="13348" max="13348" width="14" style="5" customWidth="1"/>
    <col min="13349" max="13349" width="0.85546875" style="5" customWidth="1"/>
    <col min="13350" max="13350" width="8.42578125" style="5" customWidth="1"/>
    <col min="13351" max="13351" width="0.85546875" style="5" customWidth="1"/>
    <col min="13352" max="13352" width="9.85546875" style="5" customWidth="1"/>
    <col min="13353" max="13353" width="0.85546875" style="5" customWidth="1"/>
    <col min="13354" max="13354" width="16" style="5" customWidth="1"/>
    <col min="13355" max="13355" width="0.5703125" style="5" customWidth="1"/>
    <col min="13356" max="13356" width="9.42578125" style="5" bestFit="1" customWidth="1"/>
    <col min="13357" max="13357" width="1.140625" style="5" customWidth="1"/>
    <col min="13358" max="13588" width="9.140625" style="5"/>
    <col min="13589" max="13589" width="2.140625" style="5" customWidth="1"/>
    <col min="13590" max="13590" width="14" style="5" customWidth="1"/>
    <col min="13591" max="13591" width="0.7109375" style="5" customWidth="1"/>
    <col min="13592" max="13592" width="17.140625" style="5" customWidth="1"/>
    <col min="13593" max="13593" width="1.140625" style="5" customWidth="1"/>
    <col min="13594" max="13594" width="18.28515625" style="5" customWidth="1"/>
    <col min="13595" max="13595" width="1" style="5" customWidth="1"/>
    <col min="13596" max="13596" width="41.28515625" style="5" customWidth="1"/>
    <col min="13597" max="13597" width="1" style="5" customWidth="1"/>
    <col min="13598" max="13598" width="11.140625" style="5" customWidth="1"/>
    <col min="13599" max="13599" width="1.28515625" style="5" customWidth="1"/>
    <col min="13600" max="13600" width="10.7109375" style="5" customWidth="1"/>
    <col min="13601" max="13601" width="1" style="5" customWidth="1"/>
    <col min="13602" max="13602" width="10.42578125" style="5" customWidth="1"/>
    <col min="13603" max="13603" width="0.85546875" style="5" customWidth="1"/>
    <col min="13604" max="13604" width="14" style="5" customWidth="1"/>
    <col min="13605" max="13605" width="0.85546875" style="5" customWidth="1"/>
    <col min="13606" max="13606" width="8.42578125" style="5" customWidth="1"/>
    <col min="13607" max="13607" width="0.85546875" style="5" customWidth="1"/>
    <col min="13608" max="13608" width="9.85546875" style="5" customWidth="1"/>
    <col min="13609" max="13609" width="0.85546875" style="5" customWidth="1"/>
    <col min="13610" max="13610" width="16" style="5" customWidth="1"/>
    <col min="13611" max="13611" width="0.5703125" style="5" customWidth="1"/>
    <col min="13612" max="13612" width="9.42578125" style="5" bestFit="1" customWidth="1"/>
    <col min="13613" max="13613" width="1.140625" style="5" customWidth="1"/>
    <col min="13614" max="13844" width="9.140625" style="5"/>
    <col min="13845" max="13845" width="2.140625" style="5" customWidth="1"/>
    <col min="13846" max="13846" width="14" style="5" customWidth="1"/>
    <col min="13847" max="13847" width="0.7109375" style="5" customWidth="1"/>
    <col min="13848" max="13848" width="17.140625" style="5" customWidth="1"/>
    <col min="13849" max="13849" width="1.140625" style="5" customWidth="1"/>
    <col min="13850" max="13850" width="18.28515625" style="5" customWidth="1"/>
    <col min="13851" max="13851" width="1" style="5" customWidth="1"/>
    <col min="13852" max="13852" width="41.28515625" style="5" customWidth="1"/>
    <col min="13853" max="13853" width="1" style="5" customWidth="1"/>
    <col min="13854" max="13854" width="11.140625" style="5" customWidth="1"/>
    <col min="13855" max="13855" width="1.28515625" style="5" customWidth="1"/>
    <col min="13856" max="13856" width="10.7109375" style="5" customWidth="1"/>
    <col min="13857" max="13857" width="1" style="5" customWidth="1"/>
    <col min="13858" max="13858" width="10.42578125" style="5" customWidth="1"/>
    <col min="13859" max="13859" width="0.85546875" style="5" customWidth="1"/>
    <col min="13860" max="13860" width="14" style="5" customWidth="1"/>
    <col min="13861" max="13861" width="0.85546875" style="5" customWidth="1"/>
    <col min="13862" max="13862" width="8.42578125" style="5" customWidth="1"/>
    <col min="13863" max="13863" width="0.85546875" style="5" customWidth="1"/>
    <col min="13864" max="13864" width="9.85546875" style="5" customWidth="1"/>
    <col min="13865" max="13865" width="0.85546875" style="5" customWidth="1"/>
    <col min="13866" max="13866" width="16" style="5" customWidth="1"/>
    <col min="13867" max="13867" width="0.5703125" style="5" customWidth="1"/>
    <col min="13868" max="13868" width="9.42578125" style="5" bestFit="1" customWidth="1"/>
    <col min="13869" max="13869" width="1.140625" style="5" customWidth="1"/>
    <col min="13870" max="14100" width="9.140625" style="5"/>
    <col min="14101" max="14101" width="2.140625" style="5" customWidth="1"/>
    <col min="14102" max="14102" width="14" style="5" customWidth="1"/>
    <col min="14103" max="14103" width="0.7109375" style="5" customWidth="1"/>
    <col min="14104" max="14104" width="17.140625" style="5" customWidth="1"/>
    <col min="14105" max="14105" width="1.140625" style="5" customWidth="1"/>
    <col min="14106" max="14106" width="18.28515625" style="5" customWidth="1"/>
    <col min="14107" max="14107" width="1" style="5" customWidth="1"/>
    <col min="14108" max="14108" width="41.28515625" style="5" customWidth="1"/>
    <col min="14109" max="14109" width="1" style="5" customWidth="1"/>
    <col min="14110" max="14110" width="11.140625" style="5" customWidth="1"/>
    <col min="14111" max="14111" width="1.28515625" style="5" customWidth="1"/>
    <col min="14112" max="14112" width="10.7109375" style="5" customWidth="1"/>
    <col min="14113" max="14113" width="1" style="5" customWidth="1"/>
    <col min="14114" max="14114" width="10.42578125" style="5" customWidth="1"/>
    <col min="14115" max="14115" width="0.85546875" style="5" customWidth="1"/>
    <col min="14116" max="14116" width="14" style="5" customWidth="1"/>
    <col min="14117" max="14117" width="0.85546875" style="5" customWidth="1"/>
    <col min="14118" max="14118" width="8.42578125" style="5" customWidth="1"/>
    <col min="14119" max="14119" width="0.85546875" style="5" customWidth="1"/>
    <col min="14120" max="14120" width="9.85546875" style="5" customWidth="1"/>
    <col min="14121" max="14121" width="0.85546875" style="5" customWidth="1"/>
    <col min="14122" max="14122" width="16" style="5" customWidth="1"/>
    <col min="14123" max="14123" width="0.5703125" style="5" customWidth="1"/>
    <col min="14124" max="14124" width="9.42578125" style="5" bestFit="1" customWidth="1"/>
    <col min="14125" max="14125" width="1.140625" style="5" customWidth="1"/>
    <col min="14126" max="14356" width="9.140625" style="5"/>
    <col min="14357" max="14357" width="2.140625" style="5" customWidth="1"/>
    <col min="14358" max="14358" width="14" style="5" customWidth="1"/>
    <col min="14359" max="14359" width="0.7109375" style="5" customWidth="1"/>
    <col min="14360" max="14360" width="17.140625" style="5" customWidth="1"/>
    <col min="14361" max="14361" width="1.140625" style="5" customWidth="1"/>
    <col min="14362" max="14362" width="18.28515625" style="5" customWidth="1"/>
    <col min="14363" max="14363" width="1" style="5" customWidth="1"/>
    <col min="14364" max="14364" width="41.28515625" style="5" customWidth="1"/>
    <col min="14365" max="14365" width="1" style="5" customWidth="1"/>
    <col min="14366" max="14366" width="11.140625" style="5" customWidth="1"/>
    <col min="14367" max="14367" width="1.28515625" style="5" customWidth="1"/>
    <col min="14368" max="14368" width="10.7109375" style="5" customWidth="1"/>
    <col min="14369" max="14369" width="1" style="5" customWidth="1"/>
    <col min="14370" max="14370" width="10.42578125" style="5" customWidth="1"/>
    <col min="14371" max="14371" width="0.85546875" style="5" customWidth="1"/>
    <col min="14372" max="14372" width="14" style="5" customWidth="1"/>
    <col min="14373" max="14373" width="0.85546875" style="5" customWidth="1"/>
    <col min="14374" max="14374" width="8.42578125" style="5" customWidth="1"/>
    <col min="14375" max="14375" width="0.85546875" style="5" customWidth="1"/>
    <col min="14376" max="14376" width="9.85546875" style="5" customWidth="1"/>
    <col min="14377" max="14377" width="0.85546875" style="5" customWidth="1"/>
    <col min="14378" max="14378" width="16" style="5" customWidth="1"/>
    <col min="14379" max="14379" width="0.5703125" style="5" customWidth="1"/>
    <col min="14380" max="14380" width="9.42578125" style="5" bestFit="1" customWidth="1"/>
    <col min="14381" max="14381" width="1.140625" style="5" customWidth="1"/>
    <col min="14382" max="14612" width="9.140625" style="5"/>
    <col min="14613" max="14613" width="2.140625" style="5" customWidth="1"/>
    <col min="14614" max="14614" width="14" style="5" customWidth="1"/>
    <col min="14615" max="14615" width="0.7109375" style="5" customWidth="1"/>
    <col min="14616" max="14616" width="17.140625" style="5" customWidth="1"/>
    <col min="14617" max="14617" width="1.140625" style="5" customWidth="1"/>
    <col min="14618" max="14618" width="18.28515625" style="5" customWidth="1"/>
    <col min="14619" max="14619" width="1" style="5" customWidth="1"/>
    <col min="14620" max="14620" width="41.28515625" style="5" customWidth="1"/>
    <col min="14621" max="14621" width="1" style="5" customWidth="1"/>
    <col min="14622" max="14622" width="11.140625" style="5" customWidth="1"/>
    <col min="14623" max="14623" width="1.28515625" style="5" customWidth="1"/>
    <col min="14624" max="14624" width="10.7109375" style="5" customWidth="1"/>
    <col min="14625" max="14625" width="1" style="5" customWidth="1"/>
    <col min="14626" max="14626" width="10.42578125" style="5" customWidth="1"/>
    <col min="14627" max="14627" width="0.85546875" style="5" customWidth="1"/>
    <col min="14628" max="14628" width="14" style="5" customWidth="1"/>
    <col min="14629" max="14629" width="0.85546875" style="5" customWidth="1"/>
    <col min="14630" max="14630" width="8.42578125" style="5" customWidth="1"/>
    <col min="14631" max="14631" width="0.85546875" style="5" customWidth="1"/>
    <col min="14632" max="14632" width="9.85546875" style="5" customWidth="1"/>
    <col min="14633" max="14633" width="0.85546875" style="5" customWidth="1"/>
    <col min="14634" max="14634" width="16" style="5" customWidth="1"/>
    <col min="14635" max="14635" width="0.5703125" style="5" customWidth="1"/>
    <col min="14636" max="14636" width="9.42578125" style="5" bestFit="1" customWidth="1"/>
    <col min="14637" max="14637" width="1.140625" style="5" customWidth="1"/>
    <col min="14638" max="14868" width="9.140625" style="5"/>
    <col min="14869" max="14869" width="2.140625" style="5" customWidth="1"/>
    <col min="14870" max="14870" width="14" style="5" customWidth="1"/>
    <col min="14871" max="14871" width="0.7109375" style="5" customWidth="1"/>
    <col min="14872" max="14872" width="17.140625" style="5" customWidth="1"/>
    <col min="14873" max="14873" width="1.140625" style="5" customWidth="1"/>
    <col min="14874" max="14874" width="18.28515625" style="5" customWidth="1"/>
    <col min="14875" max="14875" width="1" style="5" customWidth="1"/>
    <col min="14876" max="14876" width="41.28515625" style="5" customWidth="1"/>
    <col min="14877" max="14877" width="1" style="5" customWidth="1"/>
    <col min="14878" max="14878" width="11.140625" style="5" customWidth="1"/>
    <col min="14879" max="14879" width="1.28515625" style="5" customWidth="1"/>
    <col min="14880" max="14880" width="10.7109375" style="5" customWidth="1"/>
    <col min="14881" max="14881" width="1" style="5" customWidth="1"/>
    <col min="14882" max="14882" width="10.42578125" style="5" customWidth="1"/>
    <col min="14883" max="14883" width="0.85546875" style="5" customWidth="1"/>
    <col min="14884" max="14884" width="14" style="5" customWidth="1"/>
    <col min="14885" max="14885" width="0.85546875" style="5" customWidth="1"/>
    <col min="14886" max="14886" width="8.42578125" style="5" customWidth="1"/>
    <col min="14887" max="14887" width="0.85546875" style="5" customWidth="1"/>
    <col min="14888" max="14888" width="9.85546875" style="5" customWidth="1"/>
    <col min="14889" max="14889" width="0.85546875" style="5" customWidth="1"/>
    <col min="14890" max="14890" width="16" style="5" customWidth="1"/>
    <col min="14891" max="14891" width="0.5703125" style="5" customWidth="1"/>
    <col min="14892" max="14892" width="9.42578125" style="5" bestFit="1" customWidth="1"/>
    <col min="14893" max="14893" width="1.140625" style="5" customWidth="1"/>
    <col min="14894" max="15124" width="9.140625" style="5"/>
    <col min="15125" max="15125" width="2.140625" style="5" customWidth="1"/>
    <col min="15126" max="15126" width="14" style="5" customWidth="1"/>
    <col min="15127" max="15127" width="0.7109375" style="5" customWidth="1"/>
    <col min="15128" max="15128" width="17.140625" style="5" customWidth="1"/>
    <col min="15129" max="15129" width="1.140625" style="5" customWidth="1"/>
    <col min="15130" max="15130" width="18.28515625" style="5" customWidth="1"/>
    <col min="15131" max="15131" width="1" style="5" customWidth="1"/>
    <col min="15132" max="15132" width="41.28515625" style="5" customWidth="1"/>
    <col min="15133" max="15133" width="1" style="5" customWidth="1"/>
    <col min="15134" max="15134" width="11.140625" style="5" customWidth="1"/>
    <col min="15135" max="15135" width="1.28515625" style="5" customWidth="1"/>
    <col min="15136" max="15136" width="10.7109375" style="5" customWidth="1"/>
    <col min="15137" max="15137" width="1" style="5" customWidth="1"/>
    <col min="15138" max="15138" width="10.42578125" style="5" customWidth="1"/>
    <col min="15139" max="15139" width="0.85546875" style="5" customWidth="1"/>
    <col min="15140" max="15140" width="14" style="5" customWidth="1"/>
    <col min="15141" max="15141" width="0.85546875" style="5" customWidth="1"/>
    <col min="15142" max="15142" width="8.42578125" style="5" customWidth="1"/>
    <col min="15143" max="15143" width="0.85546875" style="5" customWidth="1"/>
    <col min="15144" max="15144" width="9.85546875" style="5" customWidth="1"/>
    <col min="15145" max="15145" width="0.85546875" style="5" customWidth="1"/>
    <col min="15146" max="15146" width="16" style="5" customWidth="1"/>
    <col min="15147" max="15147" width="0.5703125" style="5" customWidth="1"/>
    <col min="15148" max="15148" width="9.42578125" style="5" bestFit="1" customWidth="1"/>
    <col min="15149" max="15149" width="1.140625" style="5" customWidth="1"/>
    <col min="15150" max="15380" width="9.140625" style="5"/>
    <col min="15381" max="15381" width="2.140625" style="5" customWidth="1"/>
    <col min="15382" max="15382" width="14" style="5" customWidth="1"/>
    <col min="15383" max="15383" width="0.7109375" style="5" customWidth="1"/>
    <col min="15384" max="15384" width="17.140625" style="5" customWidth="1"/>
    <col min="15385" max="15385" width="1.140625" style="5" customWidth="1"/>
    <col min="15386" max="15386" width="18.28515625" style="5" customWidth="1"/>
    <col min="15387" max="15387" width="1" style="5" customWidth="1"/>
    <col min="15388" max="15388" width="41.28515625" style="5" customWidth="1"/>
    <col min="15389" max="15389" width="1" style="5" customWidth="1"/>
    <col min="15390" max="15390" width="11.140625" style="5" customWidth="1"/>
    <col min="15391" max="15391" width="1.28515625" style="5" customWidth="1"/>
    <col min="15392" max="15392" width="10.7109375" style="5" customWidth="1"/>
    <col min="15393" max="15393" width="1" style="5" customWidth="1"/>
    <col min="15394" max="15394" width="10.42578125" style="5" customWidth="1"/>
    <col min="15395" max="15395" width="0.85546875" style="5" customWidth="1"/>
    <col min="15396" max="15396" width="14" style="5" customWidth="1"/>
    <col min="15397" max="15397" width="0.85546875" style="5" customWidth="1"/>
    <col min="15398" max="15398" width="8.42578125" style="5" customWidth="1"/>
    <col min="15399" max="15399" width="0.85546875" style="5" customWidth="1"/>
    <col min="15400" max="15400" width="9.85546875" style="5" customWidth="1"/>
    <col min="15401" max="15401" width="0.85546875" style="5" customWidth="1"/>
    <col min="15402" max="15402" width="16" style="5" customWidth="1"/>
    <col min="15403" max="15403" width="0.5703125" style="5" customWidth="1"/>
    <col min="15404" max="15404" width="9.42578125" style="5" bestFit="1" customWidth="1"/>
    <col min="15405" max="15405" width="1.140625" style="5" customWidth="1"/>
    <col min="15406" max="15636" width="9.140625" style="5"/>
    <col min="15637" max="15637" width="2.140625" style="5" customWidth="1"/>
    <col min="15638" max="15638" width="14" style="5" customWidth="1"/>
    <col min="15639" max="15639" width="0.7109375" style="5" customWidth="1"/>
    <col min="15640" max="15640" width="17.140625" style="5" customWidth="1"/>
    <col min="15641" max="15641" width="1.140625" style="5" customWidth="1"/>
    <col min="15642" max="15642" width="18.28515625" style="5" customWidth="1"/>
    <col min="15643" max="15643" width="1" style="5" customWidth="1"/>
    <col min="15644" max="15644" width="41.28515625" style="5" customWidth="1"/>
    <col min="15645" max="15645" width="1" style="5" customWidth="1"/>
    <col min="15646" max="15646" width="11.140625" style="5" customWidth="1"/>
    <col min="15647" max="15647" width="1.28515625" style="5" customWidth="1"/>
    <col min="15648" max="15648" width="10.7109375" style="5" customWidth="1"/>
    <col min="15649" max="15649" width="1" style="5" customWidth="1"/>
    <col min="15650" max="15650" width="10.42578125" style="5" customWidth="1"/>
    <col min="15651" max="15651" width="0.85546875" style="5" customWidth="1"/>
    <col min="15652" max="15652" width="14" style="5" customWidth="1"/>
    <col min="15653" max="15653" width="0.85546875" style="5" customWidth="1"/>
    <col min="15654" max="15654" width="8.42578125" style="5" customWidth="1"/>
    <col min="15655" max="15655" width="0.85546875" style="5" customWidth="1"/>
    <col min="15656" max="15656" width="9.85546875" style="5" customWidth="1"/>
    <col min="15657" max="15657" width="0.85546875" style="5" customWidth="1"/>
    <col min="15658" max="15658" width="16" style="5" customWidth="1"/>
    <col min="15659" max="15659" width="0.5703125" style="5" customWidth="1"/>
    <col min="15660" max="15660" width="9.42578125" style="5" bestFit="1" customWidth="1"/>
    <col min="15661" max="15661" width="1.140625" style="5" customWidth="1"/>
    <col min="15662" max="15892" width="9.140625" style="5"/>
    <col min="15893" max="15893" width="2.140625" style="5" customWidth="1"/>
    <col min="15894" max="15894" width="14" style="5" customWidth="1"/>
    <col min="15895" max="15895" width="0.7109375" style="5" customWidth="1"/>
    <col min="15896" max="15896" width="17.140625" style="5" customWidth="1"/>
    <col min="15897" max="15897" width="1.140625" style="5" customWidth="1"/>
    <col min="15898" max="15898" width="18.28515625" style="5" customWidth="1"/>
    <col min="15899" max="15899" width="1" style="5" customWidth="1"/>
    <col min="15900" max="15900" width="41.28515625" style="5" customWidth="1"/>
    <col min="15901" max="15901" width="1" style="5" customWidth="1"/>
    <col min="15902" max="15902" width="11.140625" style="5" customWidth="1"/>
    <col min="15903" max="15903" width="1.28515625" style="5" customWidth="1"/>
    <col min="15904" max="15904" width="10.7109375" style="5" customWidth="1"/>
    <col min="15905" max="15905" width="1" style="5" customWidth="1"/>
    <col min="15906" max="15906" width="10.42578125" style="5" customWidth="1"/>
    <col min="15907" max="15907" width="0.85546875" style="5" customWidth="1"/>
    <col min="15908" max="15908" width="14" style="5" customWidth="1"/>
    <col min="15909" max="15909" width="0.85546875" style="5" customWidth="1"/>
    <col min="15910" max="15910" width="8.42578125" style="5" customWidth="1"/>
    <col min="15911" max="15911" width="0.85546875" style="5" customWidth="1"/>
    <col min="15912" max="15912" width="9.85546875" style="5" customWidth="1"/>
    <col min="15913" max="15913" width="0.85546875" style="5" customWidth="1"/>
    <col min="15914" max="15914" width="16" style="5" customWidth="1"/>
    <col min="15915" max="15915" width="0.5703125" style="5" customWidth="1"/>
    <col min="15916" max="15916" width="9.42578125" style="5" bestFit="1" customWidth="1"/>
    <col min="15917" max="15917" width="1.140625" style="5" customWidth="1"/>
    <col min="15918" max="16148" width="9.140625" style="5"/>
    <col min="16149" max="16149" width="2.140625" style="5" customWidth="1"/>
    <col min="16150" max="16150" width="14" style="5" customWidth="1"/>
    <col min="16151" max="16151" width="0.7109375" style="5" customWidth="1"/>
    <col min="16152" max="16152" width="17.140625" style="5" customWidth="1"/>
    <col min="16153" max="16153" width="1.140625" style="5" customWidth="1"/>
    <col min="16154" max="16154" width="18.28515625" style="5" customWidth="1"/>
    <col min="16155" max="16155" width="1" style="5" customWidth="1"/>
    <col min="16156" max="16156" width="41.28515625" style="5" customWidth="1"/>
    <col min="16157" max="16157" width="1" style="5" customWidth="1"/>
    <col min="16158" max="16158" width="11.140625" style="5" customWidth="1"/>
    <col min="16159" max="16159" width="1.28515625" style="5" customWidth="1"/>
    <col min="16160" max="16160" width="10.7109375" style="5" customWidth="1"/>
    <col min="16161" max="16161" width="1" style="5" customWidth="1"/>
    <col min="16162" max="16162" width="10.42578125" style="5" customWidth="1"/>
    <col min="16163" max="16163" width="0.85546875" style="5" customWidth="1"/>
    <col min="16164" max="16164" width="14" style="5" customWidth="1"/>
    <col min="16165" max="16165" width="0.85546875" style="5" customWidth="1"/>
    <col min="16166" max="16166" width="8.42578125" style="5" customWidth="1"/>
    <col min="16167" max="16167" width="0.85546875" style="5" customWidth="1"/>
    <col min="16168" max="16168" width="9.85546875" style="5" customWidth="1"/>
    <col min="16169" max="16169" width="0.85546875" style="5" customWidth="1"/>
    <col min="16170" max="16170" width="16" style="5" customWidth="1"/>
    <col min="16171" max="16171" width="0.5703125" style="5" customWidth="1"/>
    <col min="16172" max="16172" width="9.42578125" style="5" bestFit="1" customWidth="1"/>
    <col min="16173" max="16173" width="1.140625" style="5" customWidth="1"/>
    <col min="16174" max="16384" width="9.140625" style="5"/>
  </cols>
  <sheetData>
    <row r="1" spans="1:50" ht="51" x14ac:dyDescent="0.2">
      <c r="A1" s="2" t="s">
        <v>9</v>
      </c>
      <c r="B1" s="1"/>
      <c r="C1" s="2" t="s">
        <v>39</v>
      </c>
      <c r="D1" s="1"/>
      <c r="E1" s="82" t="s">
        <v>0</v>
      </c>
      <c r="F1" s="82"/>
      <c r="G1" s="82" t="s">
        <v>1</v>
      </c>
      <c r="H1" s="2"/>
      <c r="I1" s="3" t="s">
        <v>4</v>
      </c>
      <c r="J1" s="1"/>
      <c r="K1" s="2" t="s">
        <v>2</v>
      </c>
      <c r="L1" s="1"/>
      <c r="M1" s="2" t="s">
        <v>7</v>
      </c>
      <c r="N1" s="1"/>
      <c r="O1" s="2" t="s">
        <v>8</v>
      </c>
      <c r="P1" s="2" t="s">
        <v>23</v>
      </c>
      <c r="Q1" s="4" t="s">
        <v>5</v>
      </c>
      <c r="R1" s="1"/>
      <c r="S1" s="39" t="s">
        <v>6</v>
      </c>
      <c r="T1" s="1"/>
      <c r="U1" s="54" t="s">
        <v>500</v>
      </c>
      <c r="V1" s="1"/>
      <c r="W1" s="58" t="s">
        <v>501</v>
      </c>
      <c r="X1" s="1"/>
      <c r="Y1" s="182" t="s">
        <v>613</v>
      </c>
      <c r="Z1" s="182"/>
      <c r="AA1" s="182" t="s">
        <v>614</v>
      </c>
      <c r="AB1" s="182"/>
      <c r="AC1" s="182" t="s">
        <v>615</v>
      </c>
      <c r="AD1" s="182"/>
      <c r="AE1" s="182" t="s">
        <v>616</v>
      </c>
      <c r="AF1" s="182" t="s">
        <v>617</v>
      </c>
      <c r="AG1" s="182"/>
      <c r="AH1" s="182" t="s">
        <v>618</v>
      </c>
      <c r="AI1" s="274" t="s">
        <v>698</v>
      </c>
      <c r="AJ1" s="274"/>
      <c r="AK1" s="274" t="s">
        <v>699</v>
      </c>
      <c r="AL1" s="274" t="s">
        <v>700</v>
      </c>
      <c r="AM1" s="274"/>
      <c r="AN1" s="274" t="s">
        <v>701</v>
      </c>
      <c r="AO1" s="275"/>
      <c r="AP1" s="274" t="s">
        <v>772</v>
      </c>
      <c r="AQ1" s="274" t="s">
        <v>772</v>
      </c>
      <c r="AR1" s="275"/>
      <c r="AS1" s="274" t="s">
        <v>774</v>
      </c>
      <c r="AT1" s="274" t="s">
        <v>774</v>
      </c>
      <c r="AU1" s="195" t="s">
        <v>706</v>
      </c>
      <c r="AV1" s="279" t="s">
        <v>24</v>
      </c>
      <c r="AW1" s="41"/>
      <c r="AX1" s="278" t="s">
        <v>3</v>
      </c>
    </row>
    <row r="2" spans="1:50" ht="147.75" customHeight="1" x14ac:dyDescent="0.2">
      <c r="A2" s="277" t="s">
        <v>439</v>
      </c>
      <c r="C2" s="14" t="s">
        <v>440</v>
      </c>
      <c r="D2" s="13"/>
      <c r="E2" s="14" t="s">
        <v>441</v>
      </c>
      <c r="F2" s="12"/>
      <c r="G2" s="14" t="s">
        <v>753</v>
      </c>
      <c r="H2" s="12"/>
      <c r="I2" s="14" t="s">
        <v>456</v>
      </c>
      <c r="J2" s="13"/>
      <c r="K2" s="13" t="s">
        <v>20</v>
      </c>
      <c r="L2" s="13"/>
      <c r="M2" s="14" t="s">
        <v>440</v>
      </c>
      <c r="N2" s="13"/>
      <c r="O2" s="14" t="s">
        <v>442</v>
      </c>
      <c r="P2" s="7" t="s">
        <v>443</v>
      </c>
      <c r="Q2" s="53">
        <v>1295</v>
      </c>
      <c r="R2" s="13"/>
      <c r="S2" s="40">
        <v>231748.95</v>
      </c>
      <c r="T2" s="13"/>
      <c r="U2" s="9">
        <v>1439</v>
      </c>
      <c r="V2" s="13"/>
      <c r="W2" s="41">
        <v>251664.13</v>
      </c>
      <c r="X2" s="13"/>
      <c r="Y2" s="41">
        <v>1549</v>
      </c>
      <c r="Z2" s="41"/>
      <c r="AA2" s="41">
        <v>265692</v>
      </c>
      <c r="AB2" s="41"/>
      <c r="AC2" s="41">
        <v>1713</v>
      </c>
      <c r="AD2" s="41"/>
      <c r="AE2" s="41">
        <v>131890</v>
      </c>
      <c r="AF2" s="41">
        <v>1690</v>
      </c>
      <c r="AG2" s="41"/>
      <c r="AH2" s="41">
        <v>300790</v>
      </c>
      <c r="AI2" s="254">
        <v>1818</v>
      </c>
      <c r="AJ2" s="41"/>
      <c r="AK2" s="41">
        <v>343382.01</v>
      </c>
      <c r="AL2" s="254">
        <v>1952</v>
      </c>
      <c r="AM2" s="41"/>
      <c r="AN2" s="41">
        <v>358415.38</v>
      </c>
      <c r="AO2" s="41"/>
      <c r="AP2" s="254">
        <v>1798</v>
      </c>
      <c r="AQ2" s="41">
        <v>348978.01</v>
      </c>
      <c r="AR2" s="41"/>
      <c r="AS2" s="254">
        <v>1806</v>
      </c>
      <c r="AT2" s="41">
        <v>480045.37</v>
      </c>
      <c r="AU2" s="330" t="s">
        <v>707</v>
      </c>
      <c r="AV2" s="41" t="s">
        <v>821</v>
      </c>
      <c r="AW2" s="41"/>
      <c r="AX2" s="7" t="s">
        <v>822</v>
      </c>
    </row>
    <row r="3" spans="1:50" ht="60" x14ac:dyDescent="0.2">
      <c r="A3" s="277" t="s">
        <v>439</v>
      </c>
      <c r="B3" s="6"/>
      <c r="C3" s="10" t="s">
        <v>444</v>
      </c>
      <c r="D3" s="9"/>
      <c r="E3" s="10" t="s">
        <v>445</v>
      </c>
      <c r="F3" s="8"/>
      <c r="G3" s="10" t="s">
        <v>455</v>
      </c>
      <c r="H3" s="8"/>
      <c r="I3" s="72">
        <v>10</v>
      </c>
      <c r="J3" s="9"/>
      <c r="K3" s="9" t="s">
        <v>20</v>
      </c>
      <c r="L3" s="9"/>
      <c r="M3" s="9" t="s">
        <v>454</v>
      </c>
      <c r="N3" s="9"/>
      <c r="O3" s="8" t="s">
        <v>302</v>
      </c>
      <c r="P3" s="7" t="s">
        <v>446</v>
      </c>
      <c r="Q3" s="9">
        <v>90</v>
      </c>
      <c r="R3" s="9"/>
      <c r="S3" s="41">
        <v>900</v>
      </c>
      <c r="T3" s="9"/>
      <c r="U3" s="9">
        <v>96</v>
      </c>
      <c r="V3" s="9"/>
      <c r="W3" s="41">
        <v>960</v>
      </c>
      <c r="X3" s="9"/>
      <c r="Y3" s="9">
        <v>84</v>
      </c>
      <c r="Z3" s="41"/>
      <c r="AA3" s="41">
        <v>840</v>
      </c>
      <c r="AB3" s="41"/>
      <c r="AC3" s="9">
        <v>82</v>
      </c>
      <c r="AD3" s="41"/>
      <c r="AE3" s="41">
        <v>820</v>
      </c>
      <c r="AF3" s="9">
        <v>75</v>
      </c>
      <c r="AG3" s="41"/>
      <c r="AH3" s="41">
        <v>750</v>
      </c>
      <c r="AI3" s="9">
        <v>73</v>
      </c>
      <c r="AJ3" s="41"/>
      <c r="AK3" s="41">
        <v>720</v>
      </c>
      <c r="AL3" s="9">
        <v>69</v>
      </c>
      <c r="AM3" s="41"/>
      <c r="AN3" s="41">
        <v>690</v>
      </c>
      <c r="AO3" s="42"/>
      <c r="AP3" s="9">
        <v>64</v>
      </c>
      <c r="AQ3" s="42">
        <v>640</v>
      </c>
      <c r="AR3" s="42"/>
      <c r="AS3" s="9">
        <v>62</v>
      </c>
      <c r="AT3" s="42">
        <v>620</v>
      </c>
      <c r="AU3" s="331" t="s">
        <v>707</v>
      </c>
      <c r="AV3" s="42" t="s">
        <v>447</v>
      </c>
      <c r="AW3" s="42"/>
    </row>
    <row r="4" spans="1:50" s="276" customFormat="1" x14ac:dyDescent="0.2">
      <c r="A4" s="301" t="s">
        <v>499</v>
      </c>
      <c r="B4" s="302"/>
      <c r="C4" s="302"/>
      <c r="D4" s="332"/>
      <c r="E4" s="333"/>
      <c r="F4" s="334"/>
      <c r="G4" s="333"/>
      <c r="H4" s="334"/>
      <c r="I4" s="334"/>
      <c r="J4" s="332"/>
      <c r="K4" s="332"/>
      <c r="L4" s="332"/>
      <c r="M4" s="332"/>
      <c r="N4" s="332"/>
      <c r="O4" s="334"/>
      <c r="P4" s="277"/>
      <c r="Q4" s="335">
        <f>SUM(Q2:Q3)</f>
        <v>1385</v>
      </c>
      <c r="R4" s="332"/>
      <c r="S4" s="182">
        <f>SUM(S2:S3)</f>
        <v>232648.95</v>
      </c>
      <c r="T4" s="332"/>
      <c r="U4" s="335">
        <f>SUM(U2:U3)</f>
        <v>1535</v>
      </c>
      <c r="V4" s="332"/>
      <c r="W4" s="182">
        <f>SUM(W2:W3)</f>
        <v>252624.13</v>
      </c>
      <c r="X4" s="332"/>
      <c r="Y4" s="335">
        <f>SUM(Y2:Y3)</f>
        <v>1633</v>
      </c>
      <c r="Z4" s="182"/>
      <c r="AA4" s="182">
        <f>SUM(AA2:AA3)</f>
        <v>266532</v>
      </c>
      <c r="AB4" s="182"/>
      <c r="AC4" s="335">
        <f>SUM(AC2:AC3)</f>
        <v>1795</v>
      </c>
      <c r="AD4" s="182"/>
      <c r="AE4" s="182">
        <f>SUM(AE2:AE3)</f>
        <v>132710</v>
      </c>
      <c r="AF4" s="335">
        <f>SUM(AF2:AF3)</f>
        <v>1765</v>
      </c>
      <c r="AG4" s="182"/>
      <c r="AH4" s="182">
        <f>SUM(AH2:AH3)</f>
        <v>301540</v>
      </c>
      <c r="AI4" s="335">
        <f>SUM(AI2:AI3)</f>
        <v>1891</v>
      </c>
      <c r="AJ4" s="182"/>
      <c r="AK4" s="182">
        <f>SUM(AK2:AK3)</f>
        <v>344102.01</v>
      </c>
      <c r="AL4" s="335">
        <f>SUM(AL2:AL3)</f>
        <v>2021</v>
      </c>
      <c r="AM4" s="182"/>
      <c r="AN4" s="182">
        <f>SUM(AN2:AN3)</f>
        <v>359105.38</v>
      </c>
      <c r="AO4" s="182"/>
      <c r="AP4" s="182">
        <v>1862</v>
      </c>
      <c r="AQ4" s="182">
        <v>349618</v>
      </c>
      <c r="AR4" s="182"/>
      <c r="AS4" s="182">
        <v>1868</v>
      </c>
      <c r="AT4" s="182">
        <v>480665</v>
      </c>
      <c r="AU4" s="268"/>
      <c r="AV4" s="182"/>
      <c r="AW4" s="182"/>
      <c r="AX4" s="336"/>
    </row>
    <row r="5" spans="1:50" s="30" customFormat="1" x14ac:dyDescent="0.2">
      <c r="A5" s="513"/>
      <c r="B5" s="513"/>
      <c r="C5" s="513"/>
      <c r="D5" s="513"/>
      <c r="E5" s="513"/>
      <c r="F5" s="513"/>
      <c r="G5" s="513"/>
      <c r="H5" s="513"/>
      <c r="I5" s="513"/>
      <c r="J5" s="28"/>
      <c r="K5" s="28"/>
      <c r="L5" s="28"/>
      <c r="M5" s="28"/>
      <c r="N5" s="28"/>
      <c r="O5" s="27"/>
      <c r="P5" s="76"/>
      <c r="Q5" s="28"/>
      <c r="R5" s="28"/>
      <c r="S5" s="42"/>
      <c r="T5" s="28"/>
      <c r="U5" s="28"/>
      <c r="V5" s="28"/>
      <c r="W5" s="28"/>
      <c r="X5" s="28"/>
      <c r="Y5" s="28"/>
      <c r="Z5" s="28"/>
      <c r="AA5" s="42"/>
      <c r="AB5" s="28"/>
      <c r="AC5" s="28"/>
      <c r="AD5" s="28"/>
      <c r="AE5" s="28"/>
      <c r="AF5" s="28"/>
      <c r="AG5" s="28"/>
      <c r="AH5" s="28"/>
      <c r="AI5" s="28"/>
      <c r="AJ5" s="28"/>
      <c r="AK5" s="28"/>
      <c r="AL5" s="28"/>
      <c r="AM5" s="28"/>
      <c r="AN5" s="28"/>
      <c r="AO5" s="28"/>
      <c r="AP5" s="28"/>
      <c r="AQ5" s="28"/>
      <c r="AR5" s="28"/>
      <c r="AS5" s="28"/>
      <c r="AT5" s="28"/>
      <c r="AU5" s="121"/>
    </row>
    <row r="6" spans="1:50" s="30" customFormat="1" ht="18" customHeight="1" x14ac:dyDescent="0.2">
      <c r="A6" s="325" t="s">
        <v>948</v>
      </c>
      <c r="B6" s="74"/>
      <c r="C6" s="74"/>
      <c r="D6" s="74"/>
      <c r="E6" s="74"/>
      <c r="F6" s="74"/>
      <c r="G6" s="74"/>
      <c r="H6" s="74"/>
      <c r="I6" s="74"/>
      <c r="J6" s="74"/>
      <c r="K6" s="74"/>
      <c r="L6" s="74"/>
      <c r="M6" s="74"/>
      <c r="N6" s="74"/>
      <c r="O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121"/>
    </row>
    <row r="7" spans="1:50" s="30" customFormat="1" x14ac:dyDescent="0.2">
      <c r="A7" s="26"/>
      <c r="B7" s="25"/>
      <c r="C7" s="27"/>
      <c r="D7" s="28"/>
      <c r="E7" s="29"/>
      <c r="F7" s="27"/>
      <c r="G7" s="29"/>
      <c r="H7" s="27"/>
      <c r="I7" s="27"/>
      <c r="J7" s="28"/>
      <c r="K7" s="28"/>
      <c r="L7" s="28"/>
      <c r="M7" s="28"/>
      <c r="N7" s="28"/>
      <c r="O7" s="27"/>
      <c r="Q7" s="28"/>
      <c r="R7" s="28"/>
      <c r="S7" s="42"/>
      <c r="T7" s="28"/>
      <c r="U7" s="28"/>
      <c r="V7" s="28"/>
      <c r="W7" s="28"/>
      <c r="X7" s="28"/>
      <c r="Y7" s="28"/>
      <c r="Z7" s="28"/>
      <c r="AA7" s="42"/>
      <c r="AB7" s="28"/>
      <c r="AC7" s="28"/>
      <c r="AD7" s="28"/>
      <c r="AE7" s="28"/>
      <c r="AF7" s="28"/>
      <c r="AG7" s="28"/>
      <c r="AH7" s="28"/>
      <c r="AI7" s="28"/>
      <c r="AJ7" s="28"/>
      <c r="AK7" s="28"/>
      <c r="AL7" s="28"/>
      <c r="AM7" s="28"/>
      <c r="AN7" s="28"/>
      <c r="AO7" s="28"/>
      <c r="AP7" s="28"/>
      <c r="AQ7" s="28"/>
      <c r="AR7" s="28"/>
      <c r="AS7" s="28"/>
      <c r="AT7" s="28"/>
      <c r="AU7" s="121"/>
    </row>
    <row r="8" spans="1:50" s="66" customFormat="1" ht="19.899999999999999" customHeight="1" x14ac:dyDescent="0.2">
      <c r="C8" s="67"/>
      <c r="D8" s="68"/>
      <c r="E8" s="69"/>
      <c r="F8" s="67"/>
      <c r="G8" s="69"/>
      <c r="H8" s="67"/>
      <c r="I8" s="67"/>
      <c r="J8" s="68"/>
      <c r="K8" s="68"/>
      <c r="L8" s="68"/>
      <c r="M8" s="68"/>
      <c r="N8" s="68"/>
      <c r="O8" s="68"/>
      <c r="Q8" s="68"/>
      <c r="R8" s="68"/>
      <c r="S8" s="70"/>
      <c r="T8" s="68"/>
      <c r="U8" s="68"/>
      <c r="V8" s="68"/>
      <c r="W8" s="68"/>
      <c r="X8" s="68"/>
      <c r="Y8" s="68"/>
      <c r="Z8" s="68"/>
      <c r="AA8" s="70"/>
      <c r="AB8" s="68"/>
      <c r="AC8" s="68"/>
      <c r="AD8" s="68"/>
      <c r="AE8" s="68"/>
      <c r="AF8" s="68"/>
      <c r="AG8" s="68"/>
      <c r="AH8" s="68"/>
      <c r="AI8" s="135"/>
      <c r="AJ8" s="135"/>
      <c r="AK8" s="135"/>
      <c r="AL8" s="135"/>
      <c r="AM8" s="135"/>
      <c r="AN8" s="135"/>
      <c r="AO8" s="135"/>
      <c r="AP8" s="135"/>
      <c r="AQ8" s="135"/>
      <c r="AR8" s="135"/>
      <c r="AS8" s="135"/>
      <c r="AT8" s="135"/>
      <c r="AU8" s="121"/>
    </row>
    <row r="9" spans="1:50" s="30" customFormat="1" x14ac:dyDescent="0.2">
      <c r="A9" s="26"/>
      <c r="B9" s="25"/>
      <c r="C9" s="27"/>
      <c r="D9" s="28"/>
      <c r="E9" s="29"/>
      <c r="F9" s="27"/>
      <c r="G9" s="29"/>
      <c r="H9" s="27"/>
      <c r="I9" s="27"/>
      <c r="J9" s="28"/>
      <c r="K9" s="28"/>
      <c r="L9" s="28"/>
      <c r="M9" s="28"/>
      <c r="N9" s="28"/>
      <c r="O9" s="27"/>
      <c r="Q9" s="28"/>
      <c r="R9" s="28"/>
      <c r="S9" s="42"/>
      <c r="T9" s="28"/>
      <c r="U9" s="28"/>
      <c r="V9" s="28"/>
      <c r="W9" s="28"/>
      <c r="X9" s="28"/>
      <c r="Y9" s="28"/>
      <c r="Z9" s="28"/>
      <c r="AA9" s="42"/>
      <c r="AB9" s="28"/>
      <c r="AC9" s="28"/>
      <c r="AD9" s="28"/>
      <c r="AE9" s="28"/>
      <c r="AF9" s="28"/>
      <c r="AG9" s="28"/>
      <c r="AH9" s="28"/>
      <c r="AI9" s="28"/>
      <c r="AJ9" s="28"/>
      <c r="AK9" s="28"/>
      <c r="AL9" s="28"/>
      <c r="AM9" s="28"/>
      <c r="AN9" s="28"/>
      <c r="AO9" s="28"/>
      <c r="AP9" s="28"/>
      <c r="AQ9" s="28"/>
      <c r="AR9" s="28"/>
      <c r="AS9" s="28"/>
      <c r="AT9" s="28"/>
      <c r="AU9" s="121"/>
    </row>
    <row r="10" spans="1:50" s="30" customFormat="1" x14ac:dyDescent="0.2">
      <c r="A10" s="26"/>
      <c r="B10" s="25"/>
      <c r="C10" s="27"/>
      <c r="D10" s="28"/>
      <c r="E10" s="29"/>
      <c r="F10" s="27"/>
      <c r="G10" s="29"/>
      <c r="H10" s="27"/>
      <c r="I10" s="27"/>
      <c r="J10" s="28"/>
      <c r="K10" s="28"/>
      <c r="L10" s="28"/>
      <c r="M10" s="28"/>
      <c r="N10" s="28"/>
      <c r="O10" s="27"/>
      <c r="Q10" s="28"/>
      <c r="R10" s="28"/>
      <c r="S10" s="42"/>
      <c r="T10" s="28"/>
      <c r="U10" s="28"/>
      <c r="V10" s="28"/>
      <c r="W10" s="28"/>
      <c r="X10" s="28"/>
      <c r="Y10" s="28"/>
      <c r="Z10" s="28"/>
      <c r="AA10" s="42"/>
      <c r="AB10" s="28"/>
      <c r="AC10" s="28"/>
      <c r="AD10" s="28"/>
      <c r="AE10" s="28"/>
      <c r="AF10" s="28"/>
      <c r="AG10" s="28"/>
      <c r="AH10" s="28"/>
      <c r="AI10" s="28"/>
      <c r="AJ10" s="28"/>
      <c r="AK10" s="28"/>
      <c r="AL10" s="28"/>
      <c r="AM10" s="28"/>
      <c r="AN10" s="28"/>
      <c r="AO10" s="28"/>
      <c r="AP10" s="28"/>
      <c r="AQ10" s="28"/>
      <c r="AR10" s="28"/>
      <c r="AS10" s="28"/>
      <c r="AT10" s="28"/>
      <c r="AU10" s="121"/>
    </row>
    <row r="11" spans="1:50" s="30" customFormat="1" x14ac:dyDescent="0.2">
      <c r="A11" s="26"/>
      <c r="B11" s="25"/>
      <c r="C11" s="27"/>
      <c r="D11" s="28"/>
      <c r="E11" s="29"/>
      <c r="F11" s="27"/>
      <c r="G11" s="29"/>
      <c r="H11" s="27"/>
      <c r="I11" s="27"/>
      <c r="J11" s="28"/>
      <c r="K11" s="28"/>
      <c r="L11" s="28"/>
      <c r="M11" s="28"/>
      <c r="N11" s="28"/>
      <c r="O11" s="27"/>
      <c r="Q11" s="28"/>
      <c r="R11" s="28"/>
      <c r="S11" s="42"/>
      <c r="T11" s="28"/>
      <c r="U11" s="28"/>
      <c r="V11" s="28"/>
      <c r="W11" s="28"/>
      <c r="X11" s="28"/>
      <c r="Y11" s="28"/>
      <c r="Z11" s="28"/>
      <c r="AA11" s="42"/>
      <c r="AB11" s="28"/>
      <c r="AC11" s="28"/>
      <c r="AD11" s="28"/>
      <c r="AE11" s="28"/>
      <c r="AF11" s="28"/>
      <c r="AG11" s="28"/>
      <c r="AH11" s="28"/>
      <c r="AI11" s="28"/>
      <c r="AJ11" s="28"/>
      <c r="AK11" s="28"/>
      <c r="AL11" s="28"/>
      <c r="AM11" s="28"/>
      <c r="AN11" s="28"/>
      <c r="AO11" s="28"/>
      <c r="AP11" s="28"/>
      <c r="AQ11" s="28"/>
      <c r="AR11" s="28"/>
      <c r="AS11" s="28"/>
      <c r="AT11" s="28"/>
      <c r="AU11" s="121"/>
    </row>
    <row r="12" spans="1:50" s="30" customFormat="1" x14ac:dyDescent="0.2">
      <c r="A12" s="26"/>
      <c r="B12" s="25"/>
      <c r="C12" s="27"/>
      <c r="D12" s="28"/>
      <c r="E12" s="29"/>
      <c r="F12" s="27"/>
      <c r="G12" s="29"/>
      <c r="H12" s="27"/>
      <c r="I12" s="27"/>
      <c r="J12" s="28"/>
      <c r="K12" s="28"/>
      <c r="L12" s="28"/>
      <c r="M12" s="28"/>
      <c r="N12" s="28"/>
      <c r="O12" s="27"/>
      <c r="Q12" s="28"/>
      <c r="R12" s="28"/>
      <c r="S12" s="42"/>
      <c r="T12" s="28"/>
      <c r="U12" s="28"/>
      <c r="V12" s="28"/>
      <c r="W12" s="28"/>
      <c r="X12" s="28"/>
      <c r="Y12" s="28"/>
      <c r="Z12" s="28"/>
      <c r="AA12" s="42"/>
      <c r="AB12" s="28"/>
      <c r="AC12" s="28"/>
      <c r="AD12" s="28"/>
      <c r="AE12" s="28"/>
      <c r="AF12" s="28"/>
      <c r="AG12" s="28"/>
      <c r="AH12" s="28"/>
      <c r="AI12" s="28"/>
      <c r="AJ12" s="28"/>
      <c r="AK12" s="28"/>
      <c r="AL12" s="28"/>
      <c r="AM12" s="28"/>
      <c r="AN12" s="28"/>
      <c r="AO12" s="28"/>
      <c r="AP12" s="28"/>
      <c r="AQ12" s="28"/>
      <c r="AR12" s="28"/>
      <c r="AS12" s="28"/>
      <c r="AT12" s="28"/>
      <c r="AU12" s="121"/>
    </row>
    <row r="13" spans="1:50" s="30" customFormat="1" x14ac:dyDescent="0.2">
      <c r="A13" s="26"/>
      <c r="B13" s="25"/>
      <c r="C13" s="27"/>
      <c r="D13" s="28"/>
      <c r="E13" s="29"/>
      <c r="F13" s="27"/>
      <c r="G13" s="29"/>
      <c r="H13" s="27"/>
      <c r="I13" s="27"/>
      <c r="J13" s="28"/>
      <c r="K13" s="28"/>
      <c r="L13" s="28"/>
      <c r="M13" s="28"/>
      <c r="N13" s="28"/>
      <c r="O13" s="27"/>
      <c r="Q13" s="28"/>
      <c r="R13" s="28"/>
      <c r="S13" s="42"/>
      <c r="T13" s="28"/>
      <c r="U13" s="28"/>
      <c r="V13" s="28"/>
      <c r="W13" s="28"/>
      <c r="X13" s="28"/>
      <c r="Y13" s="28"/>
      <c r="Z13" s="28"/>
      <c r="AA13" s="42"/>
      <c r="AB13" s="28"/>
      <c r="AC13" s="28"/>
      <c r="AD13" s="28"/>
      <c r="AE13" s="28"/>
      <c r="AF13" s="28"/>
      <c r="AG13" s="28"/>
      <c r="AH13" s="28"/>
      <c r="AI13" s="28"/>
      <c r="AJ13" s="28"/>
      <c r="AK13" s="28"/>
      <c r="AL13" s="28"/>
      <c r="AM13" s="28"/>
      <c r="AN13" s="28"/>
      <c r="AO13" s="28"/>
      <c r="AP13" s="28"/>
      <c r="AQ13" s="28"/>
      <c r="AR13" s="28"/>
      <c r="AS13" s="28"/>
      <c r="AT13" s="28"/>
      <c r="AU13" s="121"/>
    </row>
    <row r="14" spans="1:50" s="30" customFormat="1" x14ac:dyDescent="0.2">
      <c r="A14" s="26"/>
      <c r="B14" s="25"/>
      <c r="C14" s="27"/>
      <c r="D14" s="28"/>
      <c r="E14" s="29"/>
      <c r="F14" s="27"/>
      <c r="G14" s="29"/>
      <c r="H14" s="27"/>
      <c r="I14" s="27"/>
      <c r="J14" s="28"/>
      <c r="K14" s="28"/>
      <c r="L14" s="28"/>
      <c r="M14" s="28"/>
      <c r="N14" s="28"/>
      <c r="O14" s="27"/>
      <c r="Q14" s="28"/>
      <c r="R14" s="28"/>
      <c r="S14" s="42"/>
      <c r="T14" s="28"/>
      <c r="U14" s="28"/>
      <c r="V14" s="28"/>
      <c r="W14" s="28"/>
      <c r="X14" s="28"/>
      <c r="Y14" s="28"/>
      <c r="Z14" s="28"/>
      <c r="AA14" s="42"/>
      <c r="AB14" s="28"/>
      <c r="AC14" s="28"/>
      <c r="AD14" s="28"/>
      <c r="AE14" s="28"/>
      <c r="AF14" s="28"/>
      <c r="AG14" s="28"/>
      <c r="AH14" s="28"/>
      <c r="AI14" s="28"/>
      <c r="AJ14" s="28"/>
      <c r="AK14" s="28"/>
      <c r="AL14" s="28"/>
      <c r="AM14" s="28"/>
      <c r="AN14" s="28"/>
      <c r="AO14" s="28"/>
      <c r="AP14" s="28"/>
      <c r="AQ14" s="28"/>
      <c r="AR14" s="28"/>
      <c r="AS14" s="28"/>
      <c r="AT14" s="28"/>
      <c r="AU14" s="121"/>
    </row>
    <row r="15" spans="1:50" s="30" customFormat="1" x14ac:dyDescent="0.2">
      <c r="A15" s="26"/>
      <c r="B15" s="25"/>
      <c r="C15" s="27"/>
      <c r="D15" s="28"/>
      <c r="E15" s="29"/>
      <c r="F15" s="27"/>
      <c r="G15" s="29"/>
      <c r="H15" s="27"/>
      <c r="I15" s="27"/>
      <c r="J15" s="28"/>
      <c r="K15" s="28"/>
      <c r="L15" s="28"/>
      <c r="M15" s="28"/>
      <c r="N15" s="28"/>
      <c r="O15" s="27"/>
      <c r="Q15" s="28"/>
      <c r="R15" s="28"/>
      <c r="S15" s="42"/>
      <c r="T15" s="28"/>
      <c r="U15" s="28"/>
      <c r="V15" s="28"/>
      <c r="W15" s="28"/>
      <c r="X15" s="28"/>
      <c r="Y15" s="28"/>
      <c r="Z15" s="28"/>
      <c r="AA15" s="42"/>
      <c r="AB15" s="28"/>
      <c r="AC15" s="28"/>
      <c r="AD15" s="28"/>
      <c r="AE15" s="28"/>
      <c r="AF15" s="28"/>
      <c r="AG15" s="28"/>
      <c r="AH15" s="28"/>
      <c r="AI15" s="28"/>
      <c r="AJ15" s="28"/>
      <c r="AK15" s="28"/>
      <c r="AL15" s="28"/>
      <c r="AM15" s="28"/>
      <c r="AN15" s="28"/>
      <c r="AO15" s="28"/>
      <c r="AP15" s="28"/>
      <c r="AQ15" s="28"/>
      <c r="AR15" s="28"/>
      <c r="AS15" s="28"/>
      <c r="AT15" s="28"/>
      <c r="AU15" s="121"/>
    </row>
    <row r="16" spans="1:50" s="30" customFormat="1" x14ac:dyDescent="0.2">
      <c r="A16" s="26"/>
      <c r="B16" s="25"/>
      <c r="C16" s="27"/>
      <c r="D16" s="28"/>
      <c r="E16" s="29"/>
      <c r="F16" s="27"/>
      <c r="G16" s="29"/>
      <c r="H16" s="27"/>
      <c r="I16" s="27"/>
      <c r="J16" s="28"/>
      <c r="K16" s="28"/>
      <c r="L16" s="28"/>
      <c r="M16" s="28"/>
      <c r="N16" s="28"/>
      <c r="O16" s="27"/>
      <c r="Q16" s="28"/>
      <c r="R16" s="28"/>
      <c r="S16" s="42"/>
      <c r="T16" s="28"/>
      <c r="U16" s="28"/>
      <c r="V16" s="28"/>
      <c r="W16" s="28"/>
      <c r="X16" s="28"/>
      <c r="Y16" s="28"/>
      <c r="Z16" s="28"/>
      <c r="AA16" s="42"/>
      <c r="AB16" s="28"/>
      <c r="AC16" s="28"/>
      <c r="AD16" s="28"/>
      <c r="AE16" s="28"/>
      <c r="AF16" s="28"/>
      <c r="AG16" s="28"/>
      <c r="AH16" s="28"/>
      <c r="AI16" s="28"/>
      <c r="AJ16" s="28"/>
      <c r="AK16" s="28"/>
      <c r="AL16" s="28"/>
      <c r="AM16" s="28"/>
      <c r="AN16" s="28"/>
      <c r="AO16" s="28"/>
      <c r="AP16" s="28"/>
      <c r="AQ16" s="28"/>
      <c r="AR16" s="28"/>
      <c r="AS16" s="28"/>
      <c r="AT16" s="28"/>
      <c r="AU16" s="121"/>
    </row>
    <row r="17" spans="1:47" s="30" customFormat="1" x14ac:dyDescent="0.2">
      <c r="A17" s="26"/>
      <c r="B17" s="25"/>
      <c r="C17" s="27"/>
      <c r="D17" s="28"/>
      <c r="E17" s="29"/>
      <c r="F17" s="27"/>
      <c r="G17" s="29"/>
      <c r="H17" s="27"/>
      <c r="I17" s="27"/>
      <c r="J17" s="28"/>
      <c r="K17" s="28"/>
      <c r="L17" s="28"/>
      <c r="M17" s="28"/>
      <c r="N17" s="28"/>
      <c r="O17" s="27"/>
      <c r="Q17" s="28"/>
      <c r="R17" s="28"/>
      <c r="S17" s="42"/>
      <c r="T17" s="28"/>
      <c r="U17" s="28"/>
      <c r="V17" s="28"/>
      <c r="W17" s="28"/>
      <c r="X17" s="28"/>
      <c r="Y17" s="28"/>
      <c r="Z17" s="28"/>
      <c r="AA17" s="42"/>
      <c r="AB17" s="28"/>
      <c r="AC17" s="28"/>
      <c r="AD17" s="28"/>
      <c r="AE17" s="28"/>
      <c r="AF17" s="28"/>
      <c r="AG17" s="28"/>
      <c r="AH17" s="28"/>
      <c r="AI17" s="28"/>
      <c r="AJ17" s="28"/>
      <c r="AK17" s="28"/>
      <c r="AL17" s="28"/>
      <c r="AM17" s="28"/>
      <c r="AN17" s="28"/>
      <c r="AO17" s="28"/>
      <c r="AP17" s="28"/>
      <c r="AQ17" s="28"/>
      <c r="AR17" s="28"/>
      <c r="AS17" s="28"/>
      <c r="AT17" s="28"/>
      <c r="AU17" s="196"/>
    </row>
    <row r="18" spans="1:47" s="30" customFormat="1" x14ac:dyDescent="0.2">
      <c r="A18" s="26"/>
      <c r="B18" s="25"/>
      <c r="C18" s="27"/>
      <c r="D18" s="28"/>
      <c r="E18" s="29"/>
      <c r="F18" s="27"/>
      <c r="G18" s="29"/>
      <c r="H18" s="27"/>
      <c r="I18" s="27"/>
      <c r="J18" s="28"/>
      <c r="K18" s="28"/>
      <c r="L18" s="28"/>
      <c r="M18" s="28"/>
      <c r="N18" s="28"/>
      <c r="O18" s="27"/>
      <c r="Q18" s="28"/>
      <c r="R18" s="28"/>
      <c r="S18" s="42"/>
      <c r="T18" s="28"/>
      <c r="U18" s="28"/>
      <c r="V18" s="28"/>
      <c r="W18" s="28"/>
      <c r="X18" s="28"/>
      <c r="Y18" s="28"/>
      <c r="Z18" s="28"/>
      <c r="AA18" s="42"/>
      <c r="AB18" s="28"/>
      <c r="AC18" s="28"/>
      <c r="AD18" s="28"/>
      <c r="AE18" s="28"/>
      <c r="AF18" s="28"/>
      <c r="AG18" s="28"/>
      <c r="AH18" s="28"/>
      <c r="AI18" s="28"/>
      <c r="AJ18" s="28"/>
      <c r="AK18" s="28"/>
      <c r="AL18" s="28"/>
      <c r="AM18" s="28"/>
      <c r="AN18" s="28"/>
      <c r="AO18" s="28"/>
      <c r="AP18" s="28"/>
      <c r="AQ18" s="28"/>
      <c r="AR18" s="28"/>
      <c r="AS18" s="28"/>
      <c r="AT18" s="28"/>
      <c r="AU18" s="196"/>
    </row>
    <row r="19" spans="1:47" s="30" customFormat="1" x14ac:dyDescent="0.2">
      <c r="A19" s="26"/>
      <c r="B19" s="25"/>
      <c r="C19" s="27"/>
      <c r="D19" s="28"/>
      <c r="E19" s="29"/>
      <c r="F19" s="27"/>
      <c r="G19" s="29"/>
      <c r="H19" s="27"/>
      <c r="I19" s="27"/>
      <c r="J19" s="28"/>
      <c r="K19" s="28"/>
      <c r="L19" s="28"/>
      <c r="M19" s="28"/>
      <c r="N19" s="28"/>
      <c r="O19" s="27"/>
      <c r="Q19" s="28"/>
      <c r="R19" s="28"/>
      <c r="S19" s="42"/>
      <c r="T19" s="28"/>
      <c r="U19" s="28"/>
      <c r="V19" s="28"/>
      <c r="W19" s="28"/>
      <c r="X19" s="28"/>
      <c r="Y19" s="28"/>
      <c r="Z19" s="28"/>
      <c r="AA19" s="42"/>
      <c r="AB19" s="28"/>
      <c r="AC19" s="28"/>
      <c r="AD19" s="28"/>
      <c r="AE19" s="28"/>
      <c r="AF19" s="28"/>
      <c r="AG19" s="28"/>
      <c r="AH19" s="28"/>
      <c r="AI19" s="28"/>
      <c r="AJ19" s="28"/>
      <c r="AK19" s="28"/>
      <c r="AL19" s="28"/>
      <c r="AM19" s="28"/>
      <c r="AN19" s="28"/>
      <c r="AO19" s="28"/>
      <c r="AP19" s="28"/>
      <c r="AQ19" s="28"/>
      <c r="AR19" s="28"/>
      <c r="AS19" s="28"/>
      <c r="AT19" s="28"/>
      <c r="AU19" s="196"/>
    </row>
    <row r="20" spans="1:47" s="30" customFormat="1" x14ac:dyDescent="0.2">
      <c r="A20" s="26"/>
      <c r="B20" s="25"/>
      <c r="C20" s="27"/>
      <c r="D20" s="28"/>
      <c r="E20" s="29"/>
      <c r="F20" s="27"/>
      <c r="G20" s="29"/>
      <c r="H20" s="27"/>
      <c r="I20" s="27"/>
      <c r="J20" s="28"/>
      <c r="K20" s="28"/>
      <c r="L20" s="28"/>
      <c r="M20" s="28"/>
      <c r="N20" s="28"/>
      <c r="O20" s="27"/>
      <c r="Q20" s="28"/>
      <c r="R20" s="28"/>
      <c r="S20" s="42"/>
      <c r="T20" s="28"/>
      <c r="U20" s="28"/>
      <c r="V20" s="28"/>
      <c r="W20" s="28"/>
      <c r="X20" s="28"/>
      <c r="Y20" s="28"/>
      <c r="Z20" s="28"/>
      <c r="AA20" s="42"/>
      <c r="AB20" s="28"/>
      <c r="AC20" s="28"/>
      <c r="AD20" s="28"/>
      <c r="AE20" s="28"/>
      <c r="AF20" s="28"/>
      <c r="AG20" s="28"/>
      <c r="AH20" s="28"/>
      <c r="AI20" s="28"/>
      <c r="AJ20" s="28"/>
      <c r="AK20" s="28"/>
      <c r="AL20" s="28"/>
      <c r="AM20" s="28"/>
      <c r="AN20" s="28"/>
      <c r="AO20" s="28"/>
      <c r="AP20" s="28"/>
      <c r="AQ20" s="28"/>
      <c r="AR20" s="28"/>
      <c r="AS20" s="28"/>
      <c r="AT20" s="28"/>
      <c r="AU20" s="196"/>
    </row>
    <row r="21" spans="1:47" s="30" customFormat="1" x14ac:dyDescent="0.2">
      <c r="A21" s="26"/>
      <c r="B21" s="25"/>
      <c r="C21" s="27"/>
      <c r="D21" s="28"/>
      <c r="E21" s="29"/>
      <c r="F21" s="27"/>
      <c r="G21" s="29"/>
      <c r="H21" s="27"/>
      <c r="I21" s="27"/>
      <c r="J21" s="28"/>
      <c r="K21" s="28"/>
      <c r="L21" s="28"/>
      <c r="M21" s="28"/>
      <c r="N21" s="28"/>
      <c r="O21" s="27"/>
      <c r="Q21" s="28"/>
      <c r="R21" s="28"/>
      <c r="S21" s="42"/>
      <c r="T21" s="28"/>
      <c r="U21" s="28"/>
      <c r="V21" s="28"/>
      <c r="W21" s="28"/>
      <c r="X21" s="28"/>
      <c r="Y21" s="28"/>
      <c r="Z21" s="28"/>
      <c r="AA21" s="42"/>
      <c r="AB21" s="28"/>
      <c r="AC21" s="28"/>
      <c r="AD21" s="28"/>
      <c r="AE21" s="28"/>
      <c r="AF21" s="28"/>
      <c r="AG21" s="28"/>
      <c r="AH21" s="28"/>
      <c r="AI21" s="28"/>
      <c r="AJ21" s="28"/>
      <c r="AK21" s="28"/>
      <c r="AL21" s="28"/>
      <c r="AM21" s="28"/>
      <c r="AN21" s="28"/>
      <c r="AO21" s="28"/>
      <c r="AP21" s="28"/>
      <c r="AQ21" s="28"/>
      <c r="AR21" s="28"/>
      <c r="AS21" s="28"/>
      <c r="AT21" s="28"/>
      <c r="AU21" s="196"/>
    </row>
    <row r="22" spans="1:47" s="32" customFormat="1" x14ac:dyDescent="0.2">
      <c r="A22" s="26"/>
      <c r="B22" s="31"/>
      <c r="C22" s="27"/>
      <c r="D22" s="28"/>
      <c r="E22" s="29"/>
      <c r="F22" s="27"/>
      <c r="G22" s="29"/>
      <c r="H22" s="27"/>
      <c r="I22" s="27"/>
      <c r="J22" s="28"/>
      <c r="K22" s="28"/>
      <c r="L22" s="28"/>
      <c r="M22" s="28"/>
      <c r="N22" s="28"/>
      <c r="O22" s="27"/>
      <c r="Q22" s="28"/>
      <c r="R22" s="28"/>
      <c r="S22" s="42"/>
      <c r="T22" s="28"/>
      <c r="U22" s="28"/>
      <c r="V22" s="28"/>
      <c r="W22" s="28"/>
      <c r="X22" s="28"/>
      <c r="Y22" s="28"/>
      <c r="Z22" s="28"/>
      <c r="AA22" s="42"/>
      <c r="AB22" s="28"/>
      <c r="AC22" s="28"/>
      <c r="AD22" s="28"/>
      <c r="AE22" s="28"/>
      <c r="AF22" s="28"/>
      <c r="AG22" s="28"/>
      <c r="AH22" s="28"/>
      <c r="AI22" s="28"/>
      <c r="AJ22" s="28"/>
      <c r="AK22" s="28"/>
      <c r="AL22" s="28"/>
      <c r="AM22" s="28"/>
      <c r="AN22" s="28"/>
      <c r="AO22" s="28"/>
      <c r="AP22" s="28"/>
      <c r="AQ22" s="28"/>
      <c r="AR22" s="28"/>
      <c r="AS22" s="28"/>
      <c r="AT22" s="28"/>
      <c r="AU22" s="196"/>
    </row>
    <row r="23" spans="1:47" s="32" customFormat="1" x14ac:dyDescent="0.2">
      <c r="A23" s="26"/>
      <c r="B23" s="31"/>
      <c r="C23" s="27"/>
      <c r="D23" s="28"/>
      <c r="E23" s="29"/>
      <c r="F23" s="27"/>
      <c r="G23" s="29"/>
      <c r="H23" s="27"/>
      <c r="I23" s="27"/>
      <c r="J23" s="28"/>
      <c r="K23" s="28"/>
      <c r="L23" s="28"/>
      <c r="M23" s="28"/>
      <c r="N23" s="28"/>
      <c r="O23" s="27"/>
      <c r="Q23" s="28"/>
      <c r="R23" s="28"/>
      <c r="S23" s="42"/>
      <c r="T23" s="28"/>
      <c r="U23" s="28"/>
      <c r="V23" s="28"/>
      <c r="W23" s="28"/>
      <c r="X23" s="28"/>
      <c r="Y23" s="28"/>
      <c r="Z23" s="28"/>
      <c r="AA23" s="42"/>
      <c r="AB23" s="28"/>
      <c r="AC23" s="28"/>
      <c r="AD23" s="28"/>
      <c r="AE23" s="28"/>
      <c r="AF23" s="28"/>
      <c r="AG23" s="28"/>
      <c r="AH23" s="28"/>
      <c r="AI23" s="28"/>
      <c r="AJ23" s="28"/>
      <c r="AK23" s="28"/>
      <c r="AL23" s="28"/>
      <c r="AM23" s="28"/>
      <c r="AN23" s="28"/>
      <c r="AO23" s="28"/>
      <c r="AP23" s="28"/>
      <c r="AQ23" s="28"/>
      <c r="AR23" s="28"/>
      <c r="AS23" s="28"/>
      <c r="AT23" s="28"/>
      <c r="AU23" s="196"/>
    </row>
    <row r="24" spans="1:47" s="30" customFormat="1" x14ac:dyDescent="0.2">
      <c r="A24" s="26"/>
      <c r="B24" s="25"/>
      <c r="C24" s="27"/>
      <c r="D24" s="28"/>
      <c r="E24" s="29"/>
      <c r="F24" s="27"/>
      <c r="G24" s="29"/>
      <c r="H24" s="27"/>
      <c r="I24" s="27"/>
      <c r="J24" s="28"/>
      <c r="K24" s="28"/>
      <c r="L24" s="28"/>
      <c r="M24" s="27"/>
      <c r="N24" s="28"/>
      <c r="O24" s="27"/>
      <c r="Q24" s="28"/>
      <c r="R24" s="28"/>
      <c r="S24" s="42"/>
      <c r="T24" s="28"/>
      <c r="U24" s="28"/>
      <c r="V24" s="28"/>
      <c r="W24" s="28"/>
      <c r="X24" s="28"/>
      <c r="Y24" s="28"/>
      <c r="Z24" s="28"/>
      <c r="AA24" s="42"/>
      <c r="AB24" s="28"/>
      <c r="AC24" s="28"/>
      <c r="AD24" s="28"/>
      <c r="AE24" s="28"/>
      <c r="AF24" s="28"/>
      <c r="AG24" s="28"/>
      <c r="AH24" s="28"/>
      <c r="AI24" s="28"/>
      <c r="AJ24" s="28"/>
      <c r="AK24" s="28"/>
      <c r="AL24" s="28"/>
      <c r="AM24" s="28"/>
      <c r="AN24" s="28"/>
      <c r="AO24" s="28"/>
      <c r="AP24" s="28"/>
      <c r="AQ24" s="28"/>
      <c r="AR24" s="28"/>
      <c r="AS24" s="28"/>
      <c r="AT24" s="28"/>
      <c r="AU24" s="196"/>
    </row>
    <row r="25" spans="1:47" s="30" customFormat="1" x14ac:dyDescent="0.2">
      <c r="A25" s="26"/>
      <c r="B25" s="25"/>
      <c r="C25" s="27"/>
      <c r="D25" s="28"/>
      <c r="E25" s="29"/>
      <c r="F25" s="27"/>
      <c r="G25" s="29"/>
      <c r="H25" s="27"/>
      <c r="I25" s="27"/>
      <c r="J25" s="28"/>
      <c r="K25" s="28"/>
      <c r="L25" s="28"/>
      <c r="M25" s="28"/>
      <c r="N25" s="28"/>
      <c r="O25" s="27"/>
      <c r="Q25" s="28"/>
      <c r="R25" s="28"/>
      <c r="S25" s="42"/>
      <c r="T25" s="28"/>
      <c r="U25" s="28"/>
      <c r="V25" s="28"/>
      <c r="W25" s="28"/>
      <c r="X25" s="28"/>
      <c r="Y25" s="28"/>
      <c r="Z25" s="28"/>
      <c r="AA25" s="42"/>
      <c r="AB25" s="28"/>
      <c r="AC25" s="28"/>
      <c r="AD25" s="28"/>
      <c r="AE25" s="28"/>
      <c r="AF25" s="28"/>
      <c r="AG25" s="28"/>
      <c r="AH25" s="28"/>
      <c r="AI25" s="28"/>
      <c r="AJ25" s="28"/>
      <c r="AK25" s="28"/>
      <c r="AL25" s="28"/>
      <c r="AM25" s="28"/>
      <c r="AN25" s="28"/>
      <c r="AO25" s="28"/>
      <c r="AP25" s="28"/>
      <c r="AQ25" s="28"/>
      <c r="AR25" s="28"/>
      <c r="AS25" s="28"/>
      <c r="AT25" s="28"/>
      <c r="AU25" s="196"/>
    </row>
    <row r="26" spans="1:47" s="30" customFormat="1" x14ac:dyDescent="0.2">
      <c r="A26" s="26"/>
      <c r="B26" s="25"/>
      <c r="C26" s="27"/>
      <c r="D26" s="28"/>
      <c r="E26" s="29"/>
      <c r="F26" s="27"/>
      <c r="G26" s="29"/>
      <c r="H26" s="27"/>
      <c r="I26" s="27"/>
      <c r="J26" s="28"/>
      <c r="K26" s="28"/>
      <c r="L26" s="28"/>
      <c r="M26" s="28"/>
      <c r="N26" s="28"/>
      <c r="O26" s="27"/>
      <c r="Q26" s="28"/>
      <c r="R26" s="28"/>
      <c r="S26" s="42"/>
      <c r="T26" s="28"/>
      <c r="U26" s="28"/>
      <c r="V26" s="28"/>
      <c r="W26" s="28"/>
      <c r="X26" s="28"/>
      <c r="Y26" s="28"/>
      <c r="Z26" s="28"/>
      <c r="AA26" s="42"/>
      <c r="AB26" s="28"/>
      <c r="AC26" s="28"/>
      <c r="AD26" s="28"/>
      <c r="AE26" s="28"/>
      <c r="AF26" s="28"/>
      <c r="AG26" s="28"/>
      <c r="AH26" s="28"/>
      <c r="AI26" s="28"/>
      <c r="AJ26" s="28"/>
      <c r="AK26" s="28"/>
      <c r="AL26" s="28"/>
      <c r="AM26" s="28"/>
      <c r="AN26" s="28"/>
      <c r="AO26" s="28"/>
      <c r="AP26" s="28"/>
      <c r="AQ26" s="28"/>
      <c r="AR26" s="28"/>
      <c r="AS26" s="28"/>
      <c r="AT26" s="28"/>
      <c r="AU26" s="196"/>
    </row>
    <row r="27" spans="1:47" s="30" customFormat="1" x14ac:dyDescent="0.2">
      <c r="A27" s="26"/>
      <c r="B27" s="25"/>
      <c r="C27" s="27"/>
      <c r="D27" s="28"/>
      <c r="E27" s="29"/>
      <c r="F27" s="27"/>
      <c r="G27" s="29"/>
      <c r="H27" s="27"/>
      <c r="I27" s="27"/>
      <c r="J27" s="28"/>
      <c r="K27" s="28"/>
      <c r="L27" s="28"/>
      <c r="M27" s="28"/>
      <c r="N27" s="28"/>
      <c r="O27" s="27"/>
      <c r="Q27" s="28"/>
      <c r="R27" s="28"/>
      <c r="S27" s="42"/>
      <c r="T27" s="28"/>
      <c r="U27" s="28"/>
      <c r="V27" s="28"/>
      <c r="W27" s="28"/>
      <c r="X27" s="28"/>
      <c r="Y27" s="28"/>
      <c r="Z27" s="28"/>
      <c r="AA27" s="42"/>
      <c r="AB27" s="28"/>
      <c r="AC27" s="28"/>
      <c r="AD27" s="28"/>
      <c r="AE27" s="28"/>
      <c r="AF27" s="28"/>
      <c r="AG27" s="28"/>
      <c r="AH27" s="28"/>
      <c r="AI27" s="28"/>
      <c r="AJ27" s="28"/>
      <c r="AK27" s="28"/>
      <c r="AL27" s="28"/>
      <c r="AM27" s="28"/>
      <c r="AN27" s="28"/>
      <c r="AO27" s="28"/>
      <c r="AP27" s="28"/>
      <c r="AQ27" s="28"/>
      <c r="AR27" s="28"/>
      <c r="AS27" s="28"/>
      <c r="AT27" s="28"/>
      <c r="AU27" s="196"/>
    </row>
    <row r="28" spans="1:47" s="30" customFormat="1" x14ac:dyDescent="0.2">
      <c r="A28" s="26"/>
      <c r="B28" s="25"/>
      <c r="C28" s="27"/>
      <c r="D28" s="28"/>
      <c r="E28" s="29"/>
      <c r="F28" s="27"/>
      <c r="G28" s="29"/>
      <c r="H28" s="27"/>
      <c r="I28" s="27"/>
      <c r="J28" s="28"/>
      <c r="K28" s="28"/>
      <c r="L28" s="28"/>
      <c r="M28" s="28"/>
      <c r="N28" s="28"/>
      <c r="O28" s="27"/>
      <c r="Q28" s="28"/>
      <c r="R28" s="28"/>
      <c r="S28" s="42"/>
      <c r="T28" s="28"/>
      <c r="U28" s="28"/>
      <c r="V28" s="28"/>
      <c r="W28" s="28"/>
      <c r="X28" s="28"/>
      <c r="Y28" s="28"/>
      <c r="Z28" s="28"/>
      <c r="AA28" s="42"/>
      <c r="AB28" s="28"/>
      <c r="AC28" s="28"/>
      <c r="AD28" s="28"/>
      <c r="AE28" s="28"/>
      <c r="AF28" s="28"/>
      <c r="AG28" s="28"/>
      <c r="AH28" s="28"/>
      <c r="AI28" s="28"/>
      <c r="AJ28" s="28"/>
      <c r="AK28" s="28"/>
      <c r="AL28" s="28"/>
      <c r="AM28" s="28"/>
      <c r="AN28" s="28"/>
      <c r="AO28" s="28"/>
      <c r="AP28" s="28"/>
      <c r="AQ28" s="28"/>
      <c r="AR28" s="28"/>
      <c r="AS28" s="28"/>
      <c r="AT28" s="28"/>
      <c r="AU28" s="196"/>
    </row>
    <row r="29" spans="1:47" s="30" customFormat="1" x14ac:dyDescent="0.2">
      <c r="A29" s="26"/>
      <c r="B29" s="25"/>
      <c r="C29" s="27"/>
      <c r="D29" s="28"/>
      <c r="E29" s="29"/>
      <c r="F29" s="27"/>
      <c r="G29" s="29"/>
      <c r="H29" s="27"/>
      <c r="I29" s="27"/>
      <c r="J29" s="28"/>
      <c r="K29" s="28"/>
      <c r="L29" s="28"/>
      <c r="M29" s="28"/>
      <c r="N29" s="28"/>
      <c r="O29" s="27"/>
      <c r="Q29" s="28"/>
      <c r="R29" s="28"/>
      <c r="S29" s="42"/>
      <c r="T29" s="28"/>
      <c r="U29" s="28"/>
      <c r="V29" s="28"/>
      <c r="W29" s="28"/>
      <c r="X29" s="28"/>
      <c r="Y29" s="28"/>
      <c r="Z29" s="28"/>
      <c r="AA29" s="42"/>
      <c r="AB29" s="28"/>
      <c r="AC29" s="28"/>
      <c r="AD29" s="28"/>
      <c r="AE29" s="28"/>
      <c r="AF29" s="28"/>
      <c r="AG29" s="28"/>
      <c r="AH29" s="28"/>
      <c r="AI29" s="28"/>
      <c r="AJ29" s="28"/>
      <c r="AK29" s="28"/>
      <c r="AL29" s="28"/>
      <c r="AM29" s="28"/>
      <c r="AN29" s="28"/>
      <c r="AO29" s="28"/>
      <c r="AP29" s="28"/>
      <c r="AQ29" s="28"/>
      <c r="AR29" s="28"/>
      <c r="AS29" s="28"/>
      <c r="AT29" s="28"/>
      <c r="AU29" s="196"/>
    </row>
    <row r="30" spans="1:47" s="32" customFormat="1" x14ac:dyDescent="0.2">
      <c r="A30" s="26"/>
      <c r="B30" s="31"/>
      <c r="C30" s="27"/>
      <c r="D30" s="28"/>
      <c r="E30" s="29"/>
      <c r="F30" s="27"/>
      <c r="G30" s="29"/>
      <c r="H30" s="27"/>
      <c r="I30" s="27"/>
      <c r="J30" s="28"/>
      <c r="K30" s="28"/>
      <c r="L30" s="28"/>
      <c r="M30" s="28"/>
      <c r="N30" s="28"/>
      <c r="O30" s="27"/>
      <c r="Q30" s="28"/>
      <c r="R30" s="28"/>
      <c r="S30" s="42"/>
      <c r="T30" s="28"/>
      <c r="U30" s="28"/>
      <c r="V30" s="28"/>
      <c r="W30" s="28"/>
      <c r="X30" s="28"/>
      <c r="Y30" s="28"/>
      <c r="Z30" s="28"/>
      <c r="AA30" s="42"/>
      <c r="AB30" s="28"/>
      <c r="AC30" s="28"/>
      <c r="AD30" s="28"/>
      <c r="AE30" s="28"/>
      <c r="AF30" s="28"/>
      <c r="AG30" s="28"/>
      <c r="AH30" s="28"/>
      <c r="AI30" s="28"/>
      <c r="AJ30" s="28"/>
      <c r="AK30" s="28"/>
      <c r="AL30" s="28"/>
      <c r="AM30" s="28"/>
      <c r="AN30" s="28"/>
      <c r="AO30" s="28"/>
      <c r="AP30" s="28"/>
      <c r="AQ30" s="28"/>
      <c r="AR30" s="28"/>
      <c r="AS30" s="28"/>
      <c r="AT30" s="28"/>
      <c r="AU30" s="196"/>
    </row>
    <row r="31" spans="1:47" s="30" customFormat="1" x14ac:dyDescent="0.2">
      <c r="A31" s="26"/>
      <c r="B31" s="25"/>
      <c r="C31" s="27"/>
      <c r="D31" s="28"/>
      <c r="E31" s="29"/>
      <c r="F31" s="27"/>
      <c r="G31" s="29"/>
      <c r="H31" s="27"/>
      <c r="I31" s="27"/>
      <c r="J31" s="28"/>
      <c r="K31" s="28"/>
      <c r="L31" s="28"/>
      <c r="M31" s="28"/>
      <c r="N31" s="28"/>
      <c r="O31" s="27"/>
      <c r="Q31" s="28"/>
      <c r="R31" s="28"/>
      <c r="S31" s="42"/>
      <c r="T31" s="28"/>
      <c r="U31" s="28"/>
      <c r="V31" s="28"/>
      <c r="W31" s="28"/>
      <c r="X31" s="28"/>
      <c r="Y31" s="28"/>
      <c r="Z31" s="28"/>
      <c r="AA31" s="42"/>
      <c r="AB31" s="28"/>
      <c r="AC31" s="28"/>
      <c r="AD31" s="28"/>
      <c r="AE31" s="28"/>
      <c r="AF31" s="28"/>
      <c r="AG31" s="28"/>
      <c r="AH31" s="28"/>
      <c r="AI31" s="28"/>
      <c r="AJ31" s="28"/>
      <c r="AK31" s="28"/>
      <c r="AL31" s="28"/>
      <c r="AM31" s="28"/>
      <c r="AN31" s="28"/>
      <c r="AO31" s="28"/>
      <c r="AP31" s="28"/>
      <c r="AQ31" s="28"/>
      <c r="AR31" s="28"/>
      <c r="AS31" s="28"/>
      <c r="AT31" s="28"/>
      <c r="AU31" s="196"/>
    </row>
    <row r="32" spans="1:47" s="32" customFormat="1" x14ac:dyDescent="0.2">
      <c r="A32" s="26"/>
      <c r="B32" s="31"/>
      <c r="C32" s="27"/>
      <c r="D32" s="28"/>
      <c r="E32" s="29"/>
      <c r="F32" s="27"/>
      <c r="G32" s="29"/>
      <c r="H32" s="27"/>
      <c r="I32" s="27"/>
      <c r="J32" s="28"/>
      <c r="K32" s="28"/>
      <c r="L32" s="28"/>
      <c r="M32" s="28"/>
      <c r="N32" s="28"/>
      <c r="O32" s="27"/>
      <c r="Q32" s="28"/>
      <c r="R32" s="28"/>
      <c r="S32" s="42"/>
      <c r="T32" s="28"/>
      <c r="U32" s="28"/>
      <c r="V32" s="28"/>
      <c r="W32" s="28"/>
      <c r="X32" s="28"/>
      <c r="Y32" s="28"/>
      <c r="Z32" s="28"/>
      <c r="AA32" s="42"/>
      <c r="AB32" s="28"/>
      <c r="AC32" s="28"/>
      <c r="AD32" s="28"/>
      <c r="AE32" s="28"/>
      <c r="AF32" s="28"/>
      <c r="AG32" s="28"/>
      <c r="AH32" s="28"/>
      <c r="AI32" s="28"/>
      <c r="AJ32" s="28"/>
      <c r="AK32" s="28"/>
      <c r="AL32" s="28"/>
      <c r="AM32" s="28"/>
      <c r="AN32" s="28"/>
      <c r="AO32" s="28"/>
      <c r="AP32" s="28"/>
      <c r="AQ32" s="28"/>
      <c r="AR32" s="28"/>
      <c r="AS32" s="28"/>
      <c r="AT32" s="28"/>
      <c r="AU32" s="196"/>
    </row>
    <row r="33" spans="1:47" s="32" customFormat="1" x14ac:dyDescent="0.2">
      <c r="A33" s="26"/>
      <c r="B33" s="31"/>
      <c r="C33" s="27"/>
      <c r="D33" s="28"/>
      <c r="E33" s="29"/>
      <c r="F33" s="27"/>
      <c r="G33" s="29"/>
      <c r="H33" s="27"/>
      <c r="I33" s="27"/>
      <c r="J33" s="28"/>
      <c r="K33" s="28"/>
      <c r="L33" s="28"/>
      <c r="M33" s="28"/>
      <c r="N33" s="28"/>
      <c r="O33" s="27"/>
      <c r="Q33" s="28"/>
      <c r="R33" s="28"/>
      <c r="S33" s="42"/>
      <c r="T33" s="28"/>
      <c r="U33" s="28"/>
      <c r="V33" s="28"/>
      <c r="W33" s="28"/>
      <c r="X33" s="28"/>
      <c r="Y33" s="28"/>
      <c r="Z33" s="28"/>
      <c r="AA33" s="42"/>
      <c r="AB33" s="28"/>
      <c r="AC33" s="28"/>
      <c r="AD33" s="28"/>
      <c r="AE33" s="28"/>
      <c r="AF33" s="28"/>
      <c r="AG33" s="28"/>
      <c r="AH33" s="28"/>
      <c r="AI33" s="28"/>
      <c r="AJ33" s="28"/>
      <c r="AK33" s="28"/>
      <c r="AL33" s="28"/>
      <c r="AM33" s="28"/>
      <c r="AN33" s="28"/>
      <c r="AO33" s="28"/>
      <c r="AP33" s="28"/>
      <c r="AQ33" s="28"/>
      <c r="AR33" s="28"/>
      <c r="AS33" s="28"/>
      <c r="AT33" s="28"/>
      <c r="AU33" s="196"/>
    </row>
    <row r="34" spans="1:47" s="30" customFormat="1" x14ac:dyDescent="0.2">
      <c r="A34" s="26"/>
      <c r="B34" s="25"/>
      <c r="C34" s="27"/>
      <c r="D34" s="28"/>
      <c r="E34" s="29"/>
      <c r="F34" s="27"/>
      <c r="G34" s="29"/>
      <c r="H34" s="27"/>
      <c r="I34" s="27"/>
      <c r="J34" s="28"/>
      <c r="K34" s="28"/>
      <c r="L34" s="28"/>
      <c r="M34" s="28"/>
      <c r="N34" s="28"/>
      <c r="O34" s="27"/>
      <c r="Q34" s="28"/>
      <c r="R34" s="28"/>
      <c r="S34" s="42"/>
      <c r="T34" s="28"/>
      <c r="U34" s="28"/>
      <c r="V34" s="28"/>
      <c r="W34" s="28"/>
      <c r="X34" s="28"/>
      <c r="Y34" s="28"/>
      <c r="Z34" s="28"/>
      <c r="AA34" s="42"/>
      <c r="AB34" s="28"/>
      <c r="AC34" s="28"/>
      <c r="AD34" s="28"/>
      <c r="AE34" s="28"/>
      <c r="AF34" s="28"/>
      <c r="AG34" s="28"/>
      <c r="AH34" s="28"/>
      <c r="AI34" s="28"/>
      <c r="AJ34" s="28"/>
      <c r="AK34" s="28"/>
      <c r="AL34" s="28"/>
      <c r="AM34" s="28"/>
      <c r="AN34" s="28"/>
      <c r="AO34" s="28"/>
      <c r="AP34" s="28"/>
      <c r="AQ34" s="28"/>
      <c r="AR34" s="28"/>
      <c r="AS34" s="28"/>
      <c r="AT34" s="28"/>
      <c r="AU34" s="196"/>
    </row>
    <row r="35" spans="1:47" s="32" customFormat="1" x14ac:dyDescent="0.2">
      <c r="A35" s="26"/>
      <c r="B35" s="31"/>
      <c r="C35" s="27"/>
      <c r="D35" s="28"/>
      <c r="E35" s="29"/>
      <c r="F35" s="27"/>
      <c r="G35" s="29"/>
      <c r="H35" s="27"/>
      <c r="I35" s="27"/>
      <c r="J35" s="28"/>
      <c r="K35" s="28"/>
      <c r="L35" s="28"/>
      <c r="M35" s="28"/>
      <c r="N35" s="28"/>
      <c r="O35" s="27"/>
      <c r="Q35" s="28"/>
      <c r="R35" s="28"/>
      <c r="S35" s="42"/>
      <c r="T35" s="28"/>
      <c r="U35" s="28"/>
      <c r="V35" s="28"/>
      <c r="W35" s="28"/>
      <c r="X35" s="28"/>
      <c r="Y35" s="28"/>
      <c r="Z35" s="28"/>
      <c r="AA35" s="42"/>
      <c r="AB35" s="28"/>
      <c r="AC35" s="28"/>
      <c r="AD35" s="28"/>
      <c r="AE35" s="28"/>
      <c r="AF35" s="28"/>
      <c r="AG35" s="28"/>
      <c r="AH35" s="28"/>
      <c r="AI35" s="28"/>
      <c r="AJ35" s="28"/>
      <c r="AK35" s="28"/>
      <c r="AL35" s="28"/>
      <c r="AM35" s="28"/>
      <c r="AN35" s="28"/>
      <c r="AO35" s="28"/>
      <c r="AP35" s="28"/>
      <c r="AQ35" s="28"/>
      <c r="AR35" s="28"/>
      <c r="AS35" s="28"/>
      <c r="AT35" s="28"/>
      <c r="AU35" s="196"/>
    </row>
    <row r="36" spans="1:47" s="30" customFormat="1" x14ac:dyDescent="0.2">
      <c r="A36" s="26"/>
      <c r="B36" s="25"/>
      <c r="C36" s="27"/>
      <c r="D36" s="28"/>
      <c r="E36" s="29"/>
      <c r="F36" s="27"/>
      <c r="G36" s="29"/>
      <c r="H36" s="27"/>
      <c r="I36" s="27"/>
      <c r="J36" s="28"/>
      <c r="K36" s="28"/>
      <c r="L36" s="28"/>
      <c r="M36" s="28"/>
      <c r="N36" s="28"/>
      <c r="O36" s="27"/>
      <c r="Q36" s="28"/>
      <c r="R36" s="28"/>
      <c r="S36" s="42"/>
      <c r="T36" s="28"/>
      <c r="U36" s="28"/>
      <c r="V36" s="28"/>
      <c r="W36" s="28"/>
      <c r="X36" s="28"/>
      <c r="Y36" s="28"/>
      <c r="Z36" s="28"/>
      <c r="AA36" s="42"/>
      <c r="AB36" s="28"/>
      <c r="AC36" s="28"/>
      <c r="AD36" s="28"/>
      <c r="AE36" s="28"/>
      <c r="AF36" s="28"/>
      <c r="AG36" s="28"/>
      <c r="AH36" s="28"/>
      <c r="AI36" s="28"/>
      <c r="AJ36" s="28"/>
      <c r="AK36" s="28"/>
      <c r="AL36" s="28"/>
      <c r="AM36" s="28"/>
      <c r="AN36" s="28"/>
      <c r="AO36" s="28"/>
      <c r="AP36" s="28"/>
      <c r="AQ36" s="28"/>
      <c r="AR36" s="28"/>
      <c r="AS36" s="28"/>
      <c r="AT36" s="28"/>
      <c r="AU36" s="196"/>
    </row>
    <row r="37" spans="1:47" s="30" customFormat="1" x14ac:dyDescent="0.2">
      <c r="A37" s="25"/>
      <c r="B37" s="25"/>
      <c r="C37" s="33"/>
      <c r="D37" s="25"/>
      <c r="E37" s="34"/>
      <c r="F37" s="26"/>
      <c r="G37" s="34"/>
      <c r="H37" s="26"/>
      <c r="I37" s="35"/>
      <c r="J37" s="36"/>
      <c r="K37" s="36"/>
      <c r="L37" s="36"/>
      <c r="M37" s="36"/>
      <c r="N37" s="36"/>
      <c r="O37" s="35"/>
      <c r="Q37" s="36"/>
      <c r="R37" s="36"/>
      <c r="S37" s="43"/>
      <c r="T37" s="36"/>
      <c r="U37" s="55"/>
      <c r="V37" s="36"/>
      <c r="W37" s="55"/>
      <c r="X37" s="36"/>
      <c r="Y37" s="36"/>
      <c r="Z37" s="36"/>
      <c r="AA37" s="43"/>
      <c r="AB37" s="36"/>
      <c r="AC37" s="55"/>
      <c r="AD37" s="36"/>
      <c r="AE37" s="55"/>
      <c r="AF37" s="55"/>
      <c r="AG37" s="36"/>
      <c r="AH37" s="55"/>
      <c r="AI37" s="55"/>
      <c r="AJ37" s="36"/>
      <c r="AK37" s="55"/>
      <c r="AL37" s="55"/>
      <c r="AM37" s="36"/>
      <c r="AN37" s="55"/>
      <c r="AO37" s="55"/>
      <c r="AP37" s="55"/>
      <c r="AQ37" s="55"/>
      <c r="AR37" s="55"/>
      <c r="AS37" s="55"/>
      <c r="AT37" s="55"/>
      <c r="AU37" s="196"/>
    </row>
    <row r="38" spans="1:47" s="30" customFormat="1" x14ac:dyDescent="0.2">
      <c r="A38" s="25"/>
      <c r="B38" s="25"/>
      <c r="C38" s="33"/>
      <c r="D38" s="25"/>
      <c r="E38" s="34"/>
      <c r="F38" s="26"/>
      <c r="G38" s="34"/>
      <c r="H38" s="26"/>
      <c r="I38" s="35"/>
      <c r="J38" s="36"/>
      <c r="K38" s="36"/>
      <c r="L38" s="36"/>
      <c r="M38" s="36"/>
      <c r="N38" s="36"/>
      <c r="O38" s="35"/>
      <c r="Q38" s="36"/>
      <c r="R38" s="36"/>
      <c r="S38" s="43"/>
      <c r="T38" s="36"/>
      <c r="U38" s="55"/>
      <c r="V38" s="36"/>
      <c r="W38" s="55"/>
      <c r="X38" s="36"/>
      <c r="Y38" s="36"/>
      <c r="Z38" s="36"/>
      <c r="AA38" s="43"/>
      <c r="AB38" s="36"/>
      <c r="AC38" s="55"/>
      <c r="AD38" s="36"/>
      <c r="AE38" s="55"/>
      <c r="AF38" s="55"/>
      <c r="AG38" s="36"/>
      <c r="AH38" s="55"/>
      <c r="AI38" s="55"/>
      <c r="AJ38" s="36"/>
      <c r="AK38" s="55"/>
      <c r="AL38" s="55"/>
      <c r="AM38" s="36"/>
      <c r="AN38" s="55"/>
      <c r="AO38" s="55"/>
      <c r="AP38" s="55"/>
      <c r="AQ38" s="55"/>
      <c r="AR38" s="55"/>
      <c r="AS38" s="55"/>
      <c r="AT38" s="55"/>
      <c r="AU38" s="196"/>
    </row>
    <row r="39" spans="1:47" s="30" customFormat="1" x14ac:dyDescent="0.2">
      <c r="A39" s="25"/>
      <c r="B39" s="25"/>
      <c r="C39" s="33"/>
      <c r="D39" s="25"/>
      <c r="E39" s="34"/>
      <c r="F39" s="26"/>
      <c r="G39" s="34"/>
      <c r="H39" s="26"/>
      <c r="I39" s="35"/>
      <c r="J39" s="36"/>
      <c r="K39" s="36"/>
      <c r="L39" s="36"/>
      <c r="M39" s="36"/>
      <c r="N39" s="36"/>
      <c r="O39" s="35"/>
      <c r="Q39" s="36"/>
      <c r="R39" s="36"/>
      <c r="S39" s="43"/>
      <c r="T39" s="36"/>
      <c r="U39" s="55"/>
      <c r="V39" s="36"/>
      <c r="W39" s="55"/>
      <c r="X39" s="36"/>
      <c r="Y39" s="36"/>
      <c r="Z39" s="36"/>
      <c r="AA39" s="43"/>
      <c r="AB39" s="36"/>
      <c r="AC39" s="55"/>
      <c r="AD39" s="36"/>
      <c r="AE39" s="55"/>
      <c r="AF39" s="55"/>
      <c r="AG39" s="36"/>
      <c r="AH39" s="55"/>
      <c r="AI39" s="55"/>
      <c r="AJ39" s="36"/>
      <c r="AK39" s="55"/>
      <c r="AL39" s="55"/>
      <c r="AM39" s="36"/>
      <c r="AN39" s="55"/>
      <c r="AO39" s="55"/>
      <c r="AP39" s="55"/>
      <c r="AQ39" s="55"/>
      <c r="AR39" s="55"/>
      <c r="AS39" s="55"/>
      <c r="AT39" s="55"/>
      <c r="AU39" s="196"/>
    </row>
    <row r="40" spans="1:47" s="30" customFormat="1" x14ac:dyDescent="0.2">
      <c r="A40" s="25"/>
      <c r="B40" s="25"/>
      <c r="C40" s="33"/>
      <c r="D40" s="25"/>
      <c r="E40" s="34"/>
      <c r="F40" s="26"/>
      <c r="G40" s="34"/>
      <c r="H40" s="26"/>
      <c r="I40" s="35"/>
      <c r="J40" s="36"/>
      <c r="K40" s="36"/>
      <c r="L40" s="36"/>
      <c r="M40" s="36"/>
      <c r="N40" s="36"/>
      <c r="O40" s="35"/>
      <c r="Q40" s="36"/>
      <c r="R40" s="36"/>
      <c r="S40" s="43"/>
      <c r="T40" s="36"/>
      <c r="U40" s="55"/>
      <c r="V40" s="36"/>
      <c r="W40" s="55"/>
      <c r="X40" s="36"/>
      <c r="Y40" s="36"/>
      <c r="Z40" s="36"/>
      <c r="AA40" s="43"/>
      <c r="AB40" s="36"/>
      <c r="AC40" s="55"/>
      <c r="AD40" s="36"/>
      <c r="AE40" s="55"/>
      <c r="AF40" s="55"/>
      <c r="AG40" s="36"/>
      <c r="AH40" s="55"/>
      <c r="AI40" s="55"/>
      <c r="AJ40" s="36"/>
      <c r="AK40" s="55"/>
      <c r="AL40" s="55"/>
      <c r="AM40" s="36"/>
      <c r="AN40" s="55"/>
      <c r="AO40" s="55"/>
      <c r="AP40" s="55"/>
      <c r="AQ40" s="55"/>
      <c r="AR40" s="55"/>
      <c r="AS40" s="55"/>
      <c r="AT40" s="55"/>
      <c r="AU40" s="196"/>
    </row>
    <row r="41" spans="1:47" s="30" customFormat="1" x14ac:dyDescent="0.2">
      <c r="A41" s="25"/>
      <c r="B41" s="25"/>
      <c r="C41" s="33"/>
      <c r="D41" s="25"/>
      <c r="E41" s="34"/>
      <c r="F41" s="26"/>
      <c r="G41" s="34"/>
      <c r="H41" s="26"/>
      <c r="I41" s="35"/>
      <c r="J41" s="36"/>
      <c r="K41" s="36"/>
      <c r="L41" s="36"/>
      <c r="M41" s="36"/>
      <c r="N41" s="36"/>
      <c r="O41" s="35"/>
      <c r="Q41" s="36"/>
      <c r="R41" s="36"/>
      <c r="S41" s="43"/>
      <c r="T41" s="36"/>
      <c r="U41" s="55"/>
      <c r="V41" s="36"/>
      <c r="W41" s="55"/>
      <c r="X41" s="36"/>
      <c r="Y41" s="36"/>
      <c r="Z41" s="36"/>
      <c r="AA41" s="43"/>
      <c r="AB41" s="36"/>
      <c r="AC41" s="55"/>
      <c r="AD41" s="36"/>
      <c r="AE41" s="55"/>
      <c r="AF41" s="55"/>
      <c r="AG41" s="36"/>
      <c r="AH41" s="55"/>
      <c r="AI41" s="55"/>
      <c r="AJ41" s="36"/>
      <c r="AK41" s="55"/>
      <c r="AL41" s="55"/>
      <c r="AM41" s="36"/>
      <c r="AN41" s="55"/>
      <c r="AO41" s="55"/>
      <c r="AP41" s="55"/>
      <c r="AQ41" s="55"/>
      <c r="AR41" s="55"/>
      <c r="AS41" s="55"/>
      <c r="AT41" s="55"/>
      <c r="AU41" s="196"/>
    </row>
    <row r="42" spans="1:47" s="30" customFormat="1" x14ac:dyDescent="0.2">
      <c r="A42" s="25"/>
      <c r="B42" s="25"/>
      <c r="C42" s="33"/>
      <c r="D42" s="25"/>
      <c r="E42" s="34"/>
      <c r="F42" s="26"/>
      <c r="G42" s="34"/>
      <c r="H42" s="26"/>
      <c r="I42" s="35"/>
      <c r="J42" s="36"/>
      <c r="K42" s="36"/>
      <c r="L42" s="36"/>
      <c r="M42" s="36"/>
      <c r="N42" s="36"/>
      <c r="O42" s="35"/>
      <c r="Q42" s="36"/>
      <c r="R42" s="36"/>
      <c r="S42" s="43"/>
      <c r="T42" s="36"/>
      <c r="U42" s="55"/>
      <c r="V42" s="36"/>
      <c r="W42" s="55"/>
      <c r="X42" s="36"/>
      <c r="Y42" s="36"/>
      <c r="Z42" s="36"/>
      <c r="AA42" s="43"/>
      <c r="AB42" s="36"/>
      <c r="AC42" s="55"/>
      <c r="AD42" s="36"/>
      <c r="AE42" s="55"/>
      <c r="AF42" s="55"/>
      <c r="AG42" s="36"/>
      <c r="AH42" s="55"/>
      <c r="AI42" s="55"/>
      <c r="AJ42" s="36"/>
      <c r="AK42" s="55"/>
      <c r="AL42" s="55"/>
      <c r="AM42" s="36"/>
      <c r="AN42" s="55"/>
      <c r="AO42" s="55"/>
      <c r="AP42" s="55"/>
      <c r="AQ42" s="55"/>
      <c r="AR42" s="55"/>
      <c r="AS42" s="55"/>
      <c r="AT42" s="55"/>
      <c r="AU42" s="196"/>
    </row>
    <row r="43" spans="1:47" s="30" customFormat="1" x14ac:dyDescent="0.2">
      <c r="A43" s="25"/>
      <c r="B43" s="25"/>
      <c r="C43" s="33"/>
      <c r="D43" s="25"/>
      <c r="E43" s="34"/>
      <c r="F43" s="26"/>
      <c r="G43" s="34"/>
      <c r="H43" s="26"/>
      <c r="I43" s="35"/>
      <c r="J43" s="36"/>
      <c r="K43" s="36"/>
      <c r="L43" s="36"/>
      <c r="M43" s="36"/>
      <c r="N43" s="36"/>
      <c r="O43" s="35"/>
      <c r="Q43" s="36"/>
      <c r="R43" s="36"/>
      <c r="S43" s="43"/>
      <c r="T43" s="36"/>
      <c r="U43" s="55"/>
      <c r="V43" s="36"/>
      <c r="W43" s="55"/>
      <c r="X43" s="36"/>
      <c r="Y43" s="36"/>
      <c r="Z43" s="36"/>
      <c r="AA43" s="43"/>
      <c r="AB43" s="36"/>
      <c r="AC43" s="55"/>
      <c r="AD43" s="36"/>
      <c r="AE43" s="55"/>
      <c r="AF43" s="55"/>
      <c r="AG43" s="36"/>
      <c r="AH43" s="55"/>
      <c r="AI43" s="55"/>
      <c r="AJ43" s="36"/>
      <c r="AK43" s="55"/>
      <c r="AL43" s="55"/>
      <c r="AM43" s="36"/>
      <c r="AN43" s="55"/>
      <c r="AO43" s="55"/>
      <c r="AP43" s="55"/>
      <c r="AQ43" s="55"/>
      <c r="AR43" s="55"/>
      <c r="AS43" s="55"/>
      <c r="AT43" s="55"/>
      <c r="AU43" s="196"/>
    </row>
    <row r="44" spans="1:47" s="30" customFormat="1" x14ac:dyDescent="0.2">
      <c r="A44" s="25"/>
      <c r="B44" s="25"/>
      <c r="C44" s="33"/>
      <c r="D44" s="25"/>
      <c r="E44" s="34"/>
      <c r="F44" s="26"/>
      <c r="G44" s="34"/>
      <c r="H44" s="26"/>
      <c r="I44" s="35"/>
      <c r="J44" s="36"/>
      <c r="K44" s="36"/>
      <c r="L44" s="36"/>
      <c r="M44" s="36"/>
      <c r="N44" s="36"/>
      <c r="O44" s="35"/>
      <c r="Q44" s="36"/>
      <c r="R44" s="36"/>
      <c r="S44" s="43"/>
      <c r="T44" s="36"/>
      <c r="U44" s="55"/>
      <c r="V44" s="36"/>
      <c r="W44" s="55"/>
      <c r="X44" s="36"/>
      <c r="Y44" s="36"/>
      <c r="Z44" s="36"/>
      <c r="AA44" s="43"/>
      <c r="AB44" s="36"/>
      <c r="AC44" s="55"/>
      <c r="AD44" s="36"/>
      <c r="AE44" s="55"/>
      <c r="AF44" s="55"/>
      <c r="AG44" s="36"/>
      <c r="AH44" s="55"/>
      <c r="AI44" s="55"/>
      <c r="AJ44" s="36"/>
      <c r="AK44" s="55"/>
      <c r="AL44" s="55"/>
      <c r="AM44" s="36"/>
      <c r="AN44" s="55"/>
      <c r="AO44" s="55"/>
      <c r="AP44" s="55"/>
      <c r="AQ44" s="55"/>
      <c r="AR44" s="55"/>
      <c r="AS44" s="55"/>
      <c r="AT44" s="55"/>
      <c r="AU44" s="196"/>
    </row>
    <row r="45" spans="1:47" s="30" customFormat="1" x14ac:dyDescent="0.2">
      <c r="A45" s="25"/>
      <c r="B45" s="25"/>
      <c r="C45" s="33"/>
      <c r="D45" s="25"/>
      <c r="E45" s="34"/>
      <c r="F45" s="26"/>
      <c r="G45" s="34"/>
      <c r="H45" s="26"/>
      <c r="I45" s="35"/>
      <c r="J45" s="36"/>
      <c r="K45" s="36"/>
      <c r="L45" s="36"/>
      <c r="M45" s="36"/>
      <c r="N45" s="36"/>
      <c r="O45" s="35"/>
      <c r="Q45" s="36"/>
      <c r="R45" s="36"/>
      <c r="S45" s="43"/>
      <c r="T45" s="36"/>
      <c r="U45" s="55"/>
      <c r="V45" s="36"/>
      <c r="W45" s="55"/>
      <c r="X45" s="36"/>
      <c r="Y45" s="36"/>
      <c r="Z45" s="36"/>
      <c r="AA45" s="43"/>
      <c r="AB45" s="36"/>
      <c r="AC45" s="55"/>
      <c r="AD45" s="36"/>
      <c r="AE45" s="55"/>
      <c r="AF45" s="55"/>
      <c r="AG45" s="36"/>
      <c r="AH45" s="55"/>
      <c r="AI45" s="55"/>
      <c r="AJ45" s="36"/>
      <c r="AK45" s="55"/>
      <c r="AL45" s="55"/>
      <c r="AM45" s="36"/>
      <c r="AN45" s="55"/>
      <c r="AO45" s="55"/>
      <c r="AP45" s="55"/>
      <c r="AQ45" s="55"/>
      <c r="AR45" s="55"/>
      <c r="AS45" s="55"/>
      <c r="AT45" s="55"/>
      <c r="AU45" s="196"/>
    </row>
    <row r="46" spans="1:47" x14ac:dyDescent="0.2">
      <c r="I46" s="18"/>
      <c r="J46" s="19"/>
      <c r="K46" s="19"/>
      <c r="L46" s="19"/>
      <c r="M46" s="19"/>
      <c r="N46" s="19"/>
      <c r="O46" s="18"/>
      <c r="Q46" s="19"/>
      <c r="R46" s="19"/>
      <c r="S46" s="44"/>
      <c r="T46" s="19"/>
      <c r="U46" s="56"/>
      <c r="V46" s="19"/>
      <c r="W46" s="56"/>
      <c r="X46" s="19"/>
      <c r="Y46" s="19"/>
      <c r="Z46" s="19"/>
      <c r="AA46" s="44"/>
      <c r="AB46" s="19"/>
      <c r="AC46" s="56"/>
      <c r="AD46" s="19"/>
      <c r="AE46" s="56"/>
      <c r="AF46" s="56"/>
      <c r="AG46" s="19"/>
      <c r="AH46" s="56"/>
      <c r="AI46" s="56"/>
      <c r="AJ46" s="19"/>
      <c r="AK46" s="56"/>
      <c r="AL46" s="56"/>
      <c r="AM46" s="19"/>
      <c r="AN46" s="56"/>
      <c r="AO46" s="56"/>
      <c r="AP46" s="56"/>
      <c r="AQ46" s="56"/>
      <c r="AR46" s="56"/>
      <c r="AS46" s="56"/>
      <c r="AT46" s="56"/>
      <c r="AU46" s="196"/>
    </row>
    <row r="47" spans="1:47" x14ac:dyDescent="0.2">
      <c r="I47" s="18"/>
      <c r="J47" s="19"/>
      <c r="K47" s="19"/>
      <c r="L47" s="19"/>
      <c r="M47" s="19"/>
      <c r="N47" s="19"/>
      <c r="O47" s="18"/>
      <c r="Q47" s="19"/>
      <c r="R47" s="19"/>
      <c r="S47" s="44"/>
      <c r="T47" s="19"/>
      <c r="U47" s="56"/>
      <c r="V47" s="19"/>
      <c r="W47" s="56"/>
      <c r="X47" s="19"/>
      <c r="Y47" s="19"/>
      <c r="Z47" s="19"/>
      <c r="AA47" s="44"/>
      <c r="AB47" s="19"/>
      <c r="AC47" s="56"/>
      <c r="AD47" s="19"/>
      <c r="AE47" s="56"/>
      <c r="AF47" s="56"/>
      <c r="AG47" s="19"/>
      <c r="AH47" s="56"/>
      <c r="AI47" s="56"/>
      <c r="AJ47" s="19"/>
      <c r="AK47" s="56"/>
      <c r="AL47" s="56"/>
      <c r="AM47" s="19"/>
      <c r="AN47" s="56"/>
      <c r="AO47" s="56"/>
      <c r="AP47" s="56"/>
      <c r="AQ47" s="56"/>
      <c r="AR47" s="56"/>
      <c r="AS47" s="56"/>
      <c r="AT47" s="56"/>
      <c r="AU47" s="196"/>
    </row>
    <row r="48" spans="1:47" x14ac:dyDescent="0.2">
      <c r="I48" s="18"/>
      <c r="J48" s="19"/>
      <c r="K48" s="19"/>
      <c r="L48" s="19"/>
      <c r="M48" s="19"/>
      <c r="N48" s="19"/>
      <c r="O48" s="18"/>
      <c r="Q48" s="19"/>
      <c r="R48" s="19"/>
      <c r="S48" s="44"/>
      <c r="T48" s="19"/>
      <c r="U48" s="56"/>
      <c r="V48" s="19"/>
      <c r="W48" s="56"/>
      <c r="X48" s="19"/>
      <c r="Y48" s="19"/>
      <c r="Z48" s="19"/>
      <c r="AA48" s="44"/>
      <c r="AB48" s="19"/>
      <c r="AC48" s="56"/>
      <c r="AD48" s="19"/>
      <c r="AE48" s="56"/>
      <c r="AF48" s="56"/>
      <c r="AG48" s="19"/>
      <c r="AH48" s="56"/>
      <c r="AI48" s="56"/>
      <c r="AJ48" s="19"/>
      <c r="AK48" s="56"/>
      <c r="AL48" s="56"/>
      <c r="AM48" s="19"/>
      <c r="AN48" s="56"/>
      <c r="AO48" s="56"/>
      <c r="AP48" s="56"/>
      <c r="AQ48" s="56"/>
      <c r="AR48" s="56"/>
      <c r="AS48" s="56"/>
      <c r="AT48" s="56"/>
      <c r="AU48" s="196"/>
    </row>
    <row r="49" spans="9:47" x14ac:dyDescent="0.2">
      <c r="I49" s="18"/>
      <c r="J49" s="19"/>
      <c r="K49" s="19"/>
      <c r="L49" s="19"/>
      <c r="M49" s="19"/>
      <c r="N49" s="19"/>
      <c r="O49" s="18"/>
      <c r="Q49" s="19"/>
      <c r="R49" s="19"/>
      <c r="S49" s="44"/>
      <c r="T49" s="19"/>
      <c r="U49" s="56"/>
      <c r="V49" s="19"/>
      <c r="W49" s="56"/>
      <c r="X49" s="19"/>
      <c r="Y49" s="19"/>
      <c r="Z49" s="19"/>
      <c r="AA49" s="44"/>
      <c r="AB49" s="19"/>
      <c r="AC49" s="56"/>
      <c r="AD49" s="19"/>
      <c r="AE49" s="56"/>
      <c r="AF49" s="56"/>
      <c r="AG49" s="19"/>
      <c r="AH49" s="56"/>
      <c r="AI49" s="56"/>
      <c r="AJ49" s="19"/>
      <c r="AK49" s="56"/>
      <c r="AL49" s="56"/>
      <c r="AM49" s="19"/>
      <c r="AN49" s="56"/>
      <c r="AO49" s="56"/>
      <c r="AP49" s="56"/>
      <c r="AQ49" s="56"/>
      <c r="AR49" s="56"/>
      <c r="AS49" s="56"/>
      <c r="AT49" s="56"/>
      <c r="AU49" s="196"/>
    </row>
    <row r="50" spans="9:47" x14ac:dyDescent="0.2">
      <c r="I50" s="18"/>
      <c r="J50" s="19"/>
      <c r="K50" s="19"/>
      <c r="L50" s="19"/>
      <c r="M50" s="19"/>
      <c r="N50" s="19"/>
      <c r="O50" s="18"/>
      <c r="Q50" s="19"/>
      <c r="R50" s="19"/>
      <c r="S50" s="44"/>
      <c r="T50" s="19"/>
      <c r="U50" s="56"/>
      <c r="V50" s="19"/>
      <c r="W50" s="56"/>
      <c r="X50" s="19"/>
      <c r="Y50" s="19"/>
      <c r="Z50" s="19"/>
      <c r="AA50" s="44"/>
      <c r="AB50" s="19"/>
      <c r="AC50" s="56"/>
      <c r="AD50" s="19"/>
      <c r="AE50" s="56"/>
      <c r="AF50" s="56"/>
      <c r="AG50" s="19"/>
      <c r="AH50" s="56"/>
      <c r="AI50" s="56"/>
      <c r="AJ50" s="19"/>
      <c r="AK50" s="56"/>
      <c r="AL50" s="56"/>
      <c r="AM50" s="19"/>
      <c r="AN50" s="56"/>
      <c r="AO50" s="56"/>
      <c r="AP50" s="56"/>
      <c r="AQ50" s="56"/>
      <c r="AR50" s="56"/>
      <c r="AS50" s="56"/>
      <c r="AT50" s="56"/>
      <c r="AU50" s="196"/>
    </row>
    <row r="51" spans="9:47" x14ac:dyDescent="0.2">
      <c r="I51" s="18"/>
      <c r="J51" s="19"/>
      <c r="K51" s="19"/>
      <c r="L51" s="19"/>
      <c r="M51" s="19"/>
      <c r="N51" s="19"/>
      <c r="O51" s="18"/>
      <c r="Q51" s="19"/>
      <c r="R51" s="19"/>
      <c r="S51" s="44"/>
      <c r="T51" s="19"/>
      <c r="U51" s="56"/>
      <c r="V51" s="19"/>
      <c r="W51" s="56"/>
      <c r="X51" s="19"/>
      <c r="Y51" s="19"/>
      <c r="Z51" s="19"/>
      <c r="AA51" s="44"/>
      <c r="AB51" s="19"/>
      <c r="AC51" s="56"/>
      <c r="AD51" s="19"/>
      <c r="AE51" s="56"/>
      <c r="AF51" s="56"/>
      <c r="AG51" s="19"/>
      <c r="AH51" s="56"/>
      <c r="AI51" s="56"/>
      <c r="AJ51" s="19"/>
      <c r="AK51" s="56"/>
      <c r="AL51" s="56"/>
      <c r="AM51" s="19"/>
      <c r="AN51" s="56"/>
      <c r="AO51" s="56"/>
      <c r="AP51" s="56"/>
      <c r="AQ51" s="56"/>
      <c r="AR51" s="56"/>
      <c r="AS51" s="56"/>
      <c r="AT51" s="56"/>
      <c r="AU51" s="196"/>
    </row>
    <row r="52" spans="9:47" x14ac:dyDescent="0.2">
      <c r="I52" s="18"/>
      <c r="J52" s="19"/>
      <c r="K52" s="19"/>
      <c r="L52" s="19"/>
      <c r="M52" s="19"/>
      <c r="N52" s="19"/>
      <c r="O52" s="18"/>
      <c r="Q52" s="19"/>
      <c r="R52" s="19"/>
      <c r="S52" s="44"/>
      <c r="T52" s="19"/>
      <c r="U52" s="56"/>
      <c r="V52" s="19"/>
      <c r="W52" s="56"/>
      <c r="X52" s="19"/>
      <c r="Y52" s="19"/>
      <c r="Z52" s="19"/>
      <c r="AA52" s="44"/>
      <c r="AB52" s="19"/>
      <c r="AC52" s="56"/>
      <c r="AD52" s="19"/>
      <c r="AE52" s="56"/>
      <c r="AF52" s="56"/>
      <c r="AG52" s="19"/>
      <c r="AH52" s="56"/>
      <c r="AI52" s="56"/>
      <c r="AJ52" s="19"/>
      <c r="AK52" s="56"/>
      <c r="AL52" s="56"/>
      <c r="AM52" s="19"/>
      <c r="AN52" s="56"/>
      <c r="AO52" s="56"/>
      <c r="AP52" s="56"/>
      <c r="AQ52" s="56"/>
      <c r="AR52" s="56"/>
      <c r="AS52" s="56"/>
      <c r="AT52" s="56"/>
      <c r="AU52" s="196"/>
    </row>
    <row r="53" spans="9:47" x14ac:dyDescent="0.2">
      <c r="I53" s="18"/>
      <c r="J53" s="19"/>
      <c r="K53" s="19"/>
      <c r="L53" s="19"/>
      <c r="M53" s="19"/>
      <c r="N53" s="19"/>
      <c r="O53" s="18"/>
      <c r="Q53" s="19"/>
      <c r="R53" s="19"/>
      <c r="S53" s="44"/>
      <c r="T53" s="19"/>
      <c r="U53" s="56"/>
      <c r="V53" s="19"/>
      <c r="W53" s="56"/>
      <c r="X53" s="19"/>
      <c r="Y53" s="19"/>
      <c r="Z53" s="19"/>
      <c r="AA53" s="44"/>
      <c r="AB53" s="19"/>
      <c r="AC53" s="56"/>
      <c r="AD53" s="19"/>
      <c r="AE53" s="56"/>
      <c r="AF53" s="56"/>
      <c r="AG53" s="19"/>
      <c r="AH53" s="56"/>
      <c r="AI53" s="56"/>
      <c r="AJ53" s="19"/>
      <c r="AK53" s="56"/>
      <c r="AL53" s="56"/>
      <c r="AM53" s="19"/>
      <c r="AN53" s="56"/>
      <c r="AO53" s="56"/>
      <c r="AP53" s="56"/>
      <c r="AQ53" s="56"/>
      <c r="AR53" s="56"/>
      <c r="AS53" s="56"/>
      <c r="AT53" s="56"/>
      <c r="AU53" s="196"/>
    </row>
    <row r="54" spans="9:47" x14ac:dyDescent="0.2">
      <c r="I54" s="18"/>
      <c r="J54" s="19"/>
      <c r="K54" s="19"/>
      <c r="L54" s="19"/>
      <c r="M54" s="19"/>
      <c r="N54" s="19"/>
      <c r="O54" s="18"/>
      <c r="Q54" s="19"/>
      <c r="R54" s="19"/>
      <c r="S54" s="44"/>
      <c r="T54" s="19"/>
      <c r="U54" s="56"/>
      <c r="V54" s="19"/>
      <c r="W54" s="56"/>
      <c r="X54" s="19"/>
      <c r="Y54" s="19"/>
      <c r="Z54" s="19"/>
      <c r="AA54" s="44"/>
      <c r="AB54" s="19"/>
      <c r="AC54" s="56"/>
      <c r="AD54" s="19"/>
      <c r="AE54" s="56"/>
      <c r="AF54" s="56"/>
      <c r="AG54" s="19"/>
      <c r="AH54" s="56"/>
      <c r="AI54" s="56"/>
      <c r="AJ54" s="19"/>
      <c r="AK54" s="56"/>
      <c r="AL54" s="56"/>
      <c r="AM54" s="19"/>
      <c r="AN54" s="56"/>
      <c r="AO54" s="56"/>
      <c r="AP54" s="56"/>
      <c r="AQ54" s="56"/>
      <c r="AR54" s="56"/>
      <c r="AS54" s="56"/>
      <c r="AT54" s="56"/>
      <c r="AU54" s="196"/>
    </row>
    <row r="55" spans="9:47" x14ac:dyDescent="0.2">
      <c r="I55" s="18"/>
      <c r="J55" s="19"/>
      <c r="K55" s="19"/>
      <c r="L55" s="19"/>
      <c r="M55" s="19"/>
      <c r="N55" s="19"/>
      <c r="O55" s="18"/>
      <c r="Q55" s="19"/>
      <c r="R55" s="19"/>
      <c r="S55" s="44"/>
      <c r="T55" s="19"/>
      <c r="U55" s="56"/>
      <c r="V55" s="19"/>
      <c r="W55" s="56"/>
      <c r="X55" s="19"/>
      <c r="Y55" s="19"/>
      <c r="Z55" s="19"/>
      <c r="AA55" s="44"/>
      <c r="AB55" s="19"/>
      <c r="AC55" s="56"/>
      <c r="AD55" s="19"/>
      <c r="AE55" s="56"/>
      <c r="AF55" s="56"/>
      <c r="AG55" s="19"/>
      <c r="AH55" s="56"/>
      <c r="AI55" s="56"/>
      <c r="AJ55" s="19"/>
      <c r="AK55" s="56"/>
      <c r="AL55" s="56"/>
      <c r="AM55" s="19"/>
      <c r="AN55" s="56"/>
      <c r="AO55" s="56"/>
      <c r="AP55" s="56"/>
      <c r="AQ55" s="56"/>
      <c r="AR55" s="56"/>
      <c r="AS55" s="56"/>
      <c r="AT55" s="56"/>
      <c r="AU55" s="196"/>
    </row>
    <row r="56" spans="9:47" x14ac:dyDescent="0.2">
      <c r="I56" s="18"/>
      <c r="J56" s="19"/>
      <c r="K56" s="19"/>
      <c r="L56" s="19"/>
      <c r="M56" s="19"/>
      <c r="N56" s="19"/>
      <c r="O56" s="18"/>
      <c r="Q56" s="19"/>
      <c r="R56" s="19"/>
      <c r="S56" s="44"/>
      <c r="T56" s="19"/>
      <c r="U56" s="56"/>
      <c r="V56" s="19"/>
      <c r="W56" s="56"/>
      <c r="X56" s="19"/>
      <c r="Y56" s="19"/>
      <c r="Z56" s="19"/>
      <c r="AA56" s="44"/>
      <c r="AB56" s="19"/>
      <c r="AC56" s="56"/>
      <c r="AD56" s="19"/>
      <c r="AE56" s="56"/>
      <c r="AF56" s="56"/>
      <c r="AG56" s="19"/>
      <c r="AH56" s="56"/>
      <c r="AI56" s="56"/>
      <c r="AJ56" s="19"/>
      <c r="AK56" s="56"/>
      <c r="AL56" s="56"/>
      <c r="AM56" s="19"/>
      <c r="AN56" s="56"/>
      <c r="AO56" s="56"/>
      <c r="AP56" s="56"/>
      <c r="AQ56" s="56"/>
      <c r="AR56" s="56"/>
      <c r="AS56" s="56"/>
      <c r="AT56" s="56"/>
      <c r="AU56" s="196"/>
    </row>
    <row r="57" spans="9:47" x14ac:dyDescent="0.2">
      <c r="I57" s="18"/>
      <c r="J57" s="19"/>
      <c r="K57" s="19"/>
      <c r="L57" s="19"/>
      <c r="M57" s="19"/>
      <c r="N57" s="19"/>
      <c r="O57" s="18"/>
      <c r="Q57" s="19"/>
      <c r="R57" s="19"/>
      <c r="S57" s="44"/>
      <c r="T57" s="19"/>
      <c r="U57" s="56"/>
      <c r="V57" s="19"/>
      <c r="W57" s="56"/>
      <c r="X57" s="19"/>
      <c r="Y57" s="19"/>
      <c r="Z57" s="19"/>
      <c r="AA57" s="44"/>
      <c r="AB57" s="19"/>
      <c r="AC57" s="56"/>
      <c r="AD57" s="19"/>
      <c r="AE57" s="56"/>
      <c r="AF57" s="56"/>
      <c r="AG57" s="19"/>
      <c r="AH57" s="56"/>
      <c r="AI57" s="56"/>
      <c r="AJ57" s="19"/>
      <c r="AK57" s="56"/>
      <c r="AL57" s="56"/>
      <c r="AM57" s="19"/>
      <c r="AN57" s="56"/>
      <c r="AO57" s="56"/>
      <c r="AP57" s="56"/>
      <c r="AQ57" s="56"/>
      <c r="AR57" s="56"/>
      <c r="AS57" s="56"/>
      <c r="AT57" s="56"/>
      <c r="AU57" s="196"/>
    </row>
    <row r="58" spans="9:47" x14ac:dyDescent="0.2">
      <c r="I58" s="18"/>
      <c r="J58" s="19"/>
      <c r="K58" s="19"/>
      <c r="L58" s="19"/>
      <c r="M58" s="19"/>
      <c r="N58" s="19"/>
      <c r="O58" s="18"/>
      <c r="Q58" s="19"/>
      <c r="R58" s="19"/>
      <c r="S58" s="44"/>
      <c r="T58" s="19"/>
      <c r="U58" s="56"/>
      <c r="V58" s="19"/>
      <c r="W58" s="56"/>
      <c r="X58" s="19"/>
      <c r="Y58" s="19"/>
      <c r="Z58" s="19"/>
      <c r="AA58" s="44"/>
      <c r="AB58" s="19"/>
      <c r="AC58" s="56"/>
      <c r="AD58" s="19"/>
      <c r="AE58" s="56"/>
      <c r="AF58" s="56"/>
      <c r="AG58" s="19"/>
      <c r="AH58" s="56"/>
      <c r="AI58" s="56"/>
      <c r="AJ58" s="19"/>
      <c r="AK58" s="56"/>
      <c r="AL58" s="56"/>
      <c r="AM58" s="19"/>
      <c r="AN58" s="56"/>
      <c r="AO58" s="56"/>
      <c r="AP58" s="56"/>
      <c r="AQ58" s="56"/>
      <c r="AR58" s="56"/>
      <c r="AS58" s="56"/>
      <c r="AT58" s="56"/>
      <c r="AU58" s="196"/>
    </row>
    <row r="59" spans="9:47" x14ac:dyDescent="0.2">
      <c r="I59" s="18"/>
      <c r="J59" s="19"/>
      <c r="K59" s="19"/>
      <c r="L59" s="19"/>
      <c r="M59" s="19"/>
      <c r="N59" s="19"/>
      <c r="O59" s="18"/>
      <c r="Q59" s="19"/>
      <c r="R59" s="19"/>
      <c r="S59" s="44"/>
      <c r="T59" s="19"/>
      <c r="U59" s="56"/>
      <c r="V59" s="19"/>
      <c r="W59" s="56"/>
      <c r="X59" s="19"/>
      <c r="Y59" s="19"/>
      <c r="Z59" s="19"/>
      <c r="AA59" s="44"/>
      <c r="AB59" s="19"/>
      <c r="AC59" s="56"/>
      <c r="AD59" s="19"/>
      <c r="AE59" s="56"/>
      <c r="AF59" s="56"/>
      <c r="AG59" s="19"/>
      <c r="AH59" s="56"/>
      <c r="AI59" s="56"/>
      <c r="AJ59" s="19"/>
      <c r="AK59" s="56"/>
      <c r="AL59" s="56"/>
      <c r="AM59" s="19"/>
      <c r="AN59" s="56"/>
      <c r="AO59" s="56"/>
      <c r="AP59" s="56"/>
      <c r="AQ59" s="56"/>
      <c r="AR59" s="56"/>
      <c r="AS59" s="56"/>
      <c r="AT59" s="56"/>
      <c r="AU59" s="196"/>
    </row>
    <row r="60" spans="9:47" x14ac:dyDescent="0.2">
      <c r="I60" s="18"/>
      <c r="J60" s="19"/>
      <c r="K60" s="19"/>
      <c r="L60" s="19"/>
      <c r="M60" s="19"/>
      <c r="N60" s="19"/>
      <c r="O60" s="18"/>
      <c r="Q60" s="19"/>
      <c r="R60" s="19"/>
      <c r="S60" s="44"/>
      <c r="T60" s="19"/>
      <c r="U60" s="56"/>
      <c r="V60" s="19"/>
      <c r="W60" s="56"/>
      <c r="X60" s="19"/>
      <c r="Y60" s="19"/>
      <c r="Z60" s="19"/>
      <c r="AA60" s="44"/>
      <c r="AB60" s="19"/>
      <c r="AC60" s="56"/>
      <c r="AD60" s="19"/>
      <c r="AE60" s="56"/>
      <c r="AF60" s="56"/>
      <c r="AG60" s="19"/>
      <c r="AH60" s="56"/>
      <c r="AI60" s="56"/>
      <c r="AJ60" s="19"/>
      <c r="AK60" s="56"/>
      <c r="AL60" s="56"/>
      <c r="AM60" s="19"/>
      <c r="AN60" s="56"/>
      <c r="AO60" s="56"/>
      <c r="AP60" s="56"/>
      <c r="AQ60" s="56"/>
      <c r="AR60" s="56"/>
      <c r="AS60" s="56"/>
      <c r="AT60" s="56"/>
      <c r="AU60" s="196"/>
    </row>
    <row r="61" spans="9:47" x14ac:dyDescent="0.2">
      <c r="I61" s="18"/>
      <c r="J61" s="19"/>
      <c r="K61" s="19"/>
      <c r="L61" s="19"/>
      <c r="M61" s="19"/>
      <c r="N61" s="19"/>
      <c r="O61" s="18"/>
      <c r="Q61" s="19"/>
      <c r="R61" s="19"/>
      <c r="S61" s="44"/>
      <c r="T61" s="19"/>
      <c r="U61" s="56"/>
      <c r="V61" s="19"/>
      <c r="W61" s="56"/>
      <c r="X61" s="19"/>
      <c r="Y61" s="19"/>
      <c r="Z61" s="19"/>
      <c r="AA61" s="44"/>
      <c r="AB61" s="19"/>
      <c r="AC61" s="56"/>
      <c r="AD61" s="19"/>
      <c r="AE61" s="56"/>
      <c r="AF61" s="56"/>
      <c r="AG61" s="19"/>
      <c r="AH61" s="56"/>
      <c r="AI61" s="56"/>
      <c r="AJ61" s="19"/>
      <c r="AK61" s="56"/>
      <c r="AL61" s="56"/>
      <c r="AM61" s="19"/>
      <c r="AN61" s="56"/>
      <c r="AO61" s="56"/>
      <c r="AP61" s="56"/>
      <c r="AQ61" s="56"/>
      <c r="AR61" s="56"/>
      <c r="AS61" s="56"/>
      <c r="AT61" s="56"/>
      <c r="AU61" s="196"/>
    </row>
    <row r="62" spans="9:47" x14ac:dyDescent="0.2">
      <c r="I62" s="18"/>
      <c r="J62" s="19"/>
      <c r="K62" s="19"/>
      <c r="L62" s="19"/>
      <c r="M62" s="19"/>
      <c r="N62" s="19"/>
      <c r="O62" s="18"/>
      <c r="Q62" s="19"/>
      <c r="R62" s="19"/>
      <c r="S62" s="44"/>
      <c r="T62" s="19"/>
      <c r="U62" s="56"/>
      <c r="V62" s="19"/>
      <c r="W62" s="56"/>
      <c r="X62" s="19"/>
      <c r="Y62" s="19"/>
      <c r="Z62" s="19"/>
      <c r="AA62" s="44"/>
      <c r="AB62" s="19"/>
      <c r="AC62" s="56"/>
      <c r="AD62" s="19"/>
      <c r="AE62" s="56"/>
      <c r="AF62" s="56"/>
      <c r="AG62" s="19"/>
      <c r="AH62" s="56"/>
      <c r="AI62" s="56"/>
      <c r="AJ62" s="19"/>
      <c r="AK62" s="56"/>
      <c r="AL62" s="56"/>
      <c r="AM62" s="19"/>
      <c r="AN62" s="56"/>
      <c r="AO62" s="56"/>
      <c r="AP62" s="56"/>
      <c r="AQ62" s="56"/>
      <c r="AR62" s="56"/>
      <c r="AS62" s="56"/>
      <c r="AT62" s="56"/>
      <c r="AU62" s="196"/>
    </row>
    <row r="63" spans="9:47" x14ac:dyDescent="0.2">
      <c r="I63" s="18"/>
      <c r="J63" s="19"/>
      <c r="K63" s="19"/>
      <c r="L63" s="19"/>
      <c r="M63" s="19"/>
      <c r="N63" s="19"/>
      <c r="O63" s="18"/>
      <c r="Q63" s="19"/>
      <c r="R63" s="19"/>
      <c r="S63" s="44"/>
      <c r="T63" s="19"/>
      <c r="U63" s="56"/>
      <c r="V63" s="19"/>
      <c r="W63" s="56"/>
      <c r="X63" s="19"/>
      <c r="Y63" s="19"/>
      <c r="Z63" s="19"/>
      <c r="AA63" s="44"/>
      <c r="AB63" s="19"/>
      <c r="AC63" s="56"/>
      <c r="AD63" s="19"/>
      <c r="AE63" s="56"/>
      <c r="AF63" s="56"/>
      <c r="AG63" s="19"/>
      <c r="AH63" s="56"/>
      <c r="AI63" s="56"/>
      <c r="AJ63" s="19"/>
      <c r="AK63" s="56"/>
      <c r="AL63" s="56"/>
      <c r="AM63" s="19"/>
      <c r="AN63" s="56"/>
      <c r="AO63" s="56"/>
      <c r="AP63" s="56"/>
      <c r="AQ63" s="56"/>
      <c r="AR63" s="56"/>
      <c r="AS63" s="56"/>
      <c r="AT63" s="56"/>
      <c r="AU63" s="196"/>
    </row>
    <row r="64" spans="9:47" x14ac:dyDescent="0.2">
      <c r="I64" s="18"/>
      <c r="J64" s="19"/>
      <c r="K64" s="19"/>
      <c r="L64" s="19"/>
      <c r="M64" s="19"/>
      <c r="N64" s="19"/>
      <c r="O64" s="18"/>
      <c r="Q64" s="19"/>
      <c r="R64" s="19"/>
      <c r="S64" s="44"/>
      <c r="T64" s="19"/>
      <c r="U64" s="56"/>
      <c r="V64" s="19"/>
      <c r="W64" s="56"/>
      <c r="X64" s="19"/>
      <c r="Y64" s="19"/>
      <c r="Z64" s="19"/>
      <c r="AA64" s="44"/>
      <c r="AB64" s="19"/>
      <c r="AC64" s="56"/>
      <c r="AD64" s="19"/>
      <c r="AE64" s="56"/>
      <c r="AF64" s="56"/>
      <c r="AG64" s="19"/>
      <c r="AH64" s="56"/>
      <c r="AI64" s="56"/>
      <c r="AJ64" s="19"/>
      <c r="AK64" s="56"/>
      <c r="AL64" s="56"/>
      <c r="AM64" s="19"/>
      <c r="AN64" s="56"/>
      <c r="AO64" s="56"/>
      <c r="AP64" s="56"/>
      <c r="AQ64" s="56"/>
      <c r="AR64" s="56"/>
      <c r="AS64" s="56"/>
      <c r="AT64" s="56"/>
      <c r="AU64" s="196"/>
    </row>
    <row r="65" spans="9:47" x14ac:dyDescent="0.2">
      <c r="I65" s="18"/>
      <c r="J65" s="19"/>
      <c r="K65" s="19"/>
      <c r="L65" s="19"/>
      <c r="M65" s="19"/>
      <c r="N65" s="19"/>
      <c r="O65" s="18"/>
      <c r="Q65" s="19"/>
      <c r="R65" s="19"/>
      <c r="S65" s="44"/>
      <c r="T65" s="19"/>
      <c r="U65" s="56"/>
      <c r="V65" s="19"/>
      <c r="W65" s="56"/>
      <c r="X65" s="19"/>
      <c r="Y65" s="19"/>
      <c r="Z65" s="19"/>
      <c r="AA65" s="44"/>
      <c r="AB65" s="19"/>
      <c r="AC65" s="56"/>
      <c r="AD65" s="19"/>
      <c r="AE65" s="56"/>
      <c r="AF65" s="56"/>
      <c r="AG65" s="19"/>
      <c r="AH65" s="56"/>
      <c r="AI65" s="56"/>
      <c r="AJ65" s="19"/>
      <c r="AK65" s="56"/>
      <c r="AL65" s="56"/>
      <c r="AM65" s="19"/>
      <c r="AN65" s="56"/>
      <c r="AO65" s="56"/>
      <c r="AP65" s="56"/>
      <c r="AQ65" s="56"/>
      <c r="AR65" s="56"/>
      <c r="AS65" s="56"/>
      <c r="AT65" s="56"/>
      <c r="AU65" s="196"/>
    </row>
    <row r="66" spans="9:47" x14ac:dyDescent="0.2">
      <c r="I66" s="18"/>
      <c r="J66" s="19"/>
      <c r="K66" s="19"/>
      <c r="L66" s="19"/>
      <c r="M66" s="19"/>
      <c r="N66" s="19"/>
      <c r="O66" s="18"/>
      <c r="Q66" s="19"/>
      <c r="R66" s="19"/>
      <c r="S66" s="44"/>
      <c r="T66" s="19"/>
      <c r="U66" s="56"/>
      <c r="V66" s="19"/>
      <c r="W66" s="56"/>
      <c r="X66" s="19"/>
      <c r="Y66" s="19"/>
      <c r="Z66" s="19"/>
      <c r="AA66" s="44"/>
      <c r="AB66" s="19"/>
      <c r="AC66" s="56"/>
      <c r="AD66" s="19"/>
      <c r="AE66" s="56"/>
      <c r="AF66" s="56"/>
      <c r="AG66" s="19"/>
      <c r="AH66" s="56"/>
      <c r="AI66" s="56"/>
      <c r="AJ66" s="19"/>
      <c r="AK66" s="56"/>
      <c r="AL66" s="56"/>
      <c r="AM66" s="19"/>
      <c r="AN66" s="56"/>
      <c r="AO66" s="56"/>
      <c r="AP66" s="56"/>
      <c r="AQ66" s="56"/>
      <c r="AR66" s="56"/>
      <c r="AS66" s="56"/>
      <c r="AT66" s="56"/>
      <c r="AU66" s="196"/>
    </row>
    <row r="67" spans="9:47" x14ac:dyDescent="0.2">
      <c r="I67" s="18"/>
      <c r="J67" s="19"/>
      <c r="K67" s="19"/>
      <c r="L67" s="19"/>
      <c r="M67" s="19"/>
      <c r="N67" s="19"/>
      <c r="O67" s="18"/>
      <c r="Q67" s="19"/>
      <c r="R67" s="19"/>
      <c r="S67" s="44"/>
      <c r="T67" s="19"/>
      <c r="U67" s="56"/>
      <c r="V67" s="19"/>
      <c r="W67" s="56"/>
      <c r="X67" s="19"/>
      <c r="Y67" s="19"/>
      <c r="Z67" s="19"/>
      <c r="AA67" s="44"/>
      <c r="AB67" s="19"/>
      <c r="AC67" s="56"/>
      <c r="AD67" s="19"/>
      <c r="AE67" s="56"/>
      <c r="AF67" s="56"/>
      <c r="AG67" s="19"/>
      <c r="AH67" s="56"/>
      <c r="AI67" s="56"/>
      <c r="AJ67" s="19"/>
      <c r="AK67" s="56"/>
      <c r="AL67" s="56"/>
      <c r="AM67" s="19"/>
      <c r="AN67" s="56"/>
      <c r="AO67" s="56"/>
      <c r="AP67" s="56"/>
      <c r="AQ67" s="56"/>
      <c r="AR67" s="56"/>
      <c r="AS67" s="56"/>
      <c r="AT67" s="56"/>
      <c r="AU67" s="196"/>
    </row>
    <row r="68" spans="9:47" x14ac:dyDescent="0.2">
      <c r="I68" s="18"/>
      <c r="J68" s="19"/>
      <c r="K68" s="19"/>
      <c r="L68" s="19"/>
      <c r="M68" s="19"/>
      <c r="N68" s="19"/>
      <c r="O68" s="18"/>
      <c r="Q68" s="19"/>
      <c r="R68" s="19"/>
      <c r="S68" s="44"/>
      <c r="T68" s="19"/>
      <c r="U68" s="56"/>
      <c r="V68" s="19"/>
      <c r="W68" s="56"/>
      <c r="X68" s="19"/>
      <c r="Y68" s="19"/>
      <c r="Z68" s="19"/>
      <c r="AA68" s="44"/>
      <c r="AB68" s="19"/>
      <c r="AC68" s="56"/>
      <c r="AD68" s="19"/>
      <c r="AE68" s="56"/>
      <c r="AF68" s="56"/>
      <c r="AG68" s="19"/>
      <c r="AH68" s="56"/>
      <c r="AI68" s="56"/>
      <c r="AJ68" s="19"/>
      <c r="AK68" s="56"/>
      <c r="AL68" s="56"/>
      <c r="AM68" s="19"/>
      <c r="AN68" s="56"/>
      <c r="AO68" s="56"/>
      <c r="AP68" s="56"/>
      <c r="AQ68" s="56"/>
      <c r="AR68" s="56"/>
      <c r="AS68" s="56"/>
      <c r="AT68" s="56"/>
      <c r="AU68" s="196"/>
    </row>
    <row r="69" spans="9:47" x14ac:dyDescent="0.2">
      <c r="I69" s="18"/>
      <c r="J69" s="19"/>
      <c r="K69" s="19"/>
      <c r="L69" s="19"/>
      <c r="M69" s="19"/>
      <c r="N69" s="19"/>
      <c r="O69" s="18"/>
      <c r="Q69" s="19"/>
      <c r="R69" s="19"/>
      <c r="S69" s="44"/>
      <c r="T69" s="19"/>
      <c r="U69" s="56"/>
      <c r="V69" s="19"/>
      <c r="W69" s="56"/>
      <c r="X69" s="19"/>
      <c r="Y69" s="19"/>
      <c r="Z69" s="19"/>
      <c r="AA69" s="44"/>
      <c r="AB69" s="19"/>
      <c r="AC69" s="56"/>
      <c r="AD69" s="19"/>
      <c r="AE69" s="56"/>
      <c r="AF69" s="56"/>
      <c r="AG69" s="19"/>
      <c r="AH69" s="56"/>
      <c r="AI69" s="56"/>
      <c r="AJ69" s="19"/>
      <c r="AK69" s="56"/>
      <c r="AL69" s="56"/>
      <c r="AM69" s="19"/>
      <c r="AN69" s="56"/>
      <c r="AO69" s="56"/>
      <c r="AP69" s="56"/>
      <c r="AQ69" s="56"/>
      <c r="AR69" s="56"/>
      <c r="AS69" s="56"/>
      <c r="AT69" s="56"/>
      <c r="AU69" s="196"/>
    </row>
    <row r="70" spans="9:47" x14ac:dyDescent="0.2">
      <c r="I70" s="18"/>
      <c r="J70" s="19"/>
      <c r="K70" s="19"/>
      <c r="L70" s="19"/>
      <c r="M70" s="19"/>
      <c r="N70" s="19"/>
      <c r="O70" s="18"/>
      <c r="Q70" s="19"/>
      <c r="R70" s="19"/>
      <c r="S70" s="44"/>
      <c r="T70" s="19"/>
      <c r="U70" s="56"/>
      <c r="V70" s="19"/>
      <c r="W70" s="56"/>
      <c r="X70" s="19"/>
      <c r="Y70" s="19"/>
      <c r="Z70" s="19"/>
      <c r="AA70" s="44"/>
      <c r="AB70" s="19"/>
      <c r="AC70" s="56"/>
      <c r="AD70" s="19"/>
      <c r="AE70" s="56"/>
      <c r="AF70" s="56"/>
      <c r="AG70" s="19"/>
      <c r="AH70" s="56"/>
      <c r="AI70" s="56"/>
      <c r="AJ70" s="19"/>
      <c r="AK70" s="56"/>
      <c r="AL70" s="56"/>
      <c r="AM70" s="19"/>
      <c r="AN70" s="56"/>
      <c r="AO70" s="56"/>
      <c r="AP70" s="56"/>
      <c r="AQ70" s="56"/>
      <c r="AR70" s="56"/>
      <c r="AS70" s="56"/>
      <c r="AT70" s="56"/>
      <c r="AU70" s="196"/>
    </row>
    <row r="71" spans="9:47" x14ac:dyDescent="0.2">
      <c r="I71" s="18"/>
      <c r="J71" s="19"/>
      <c r="K71" s="19"/>
      <c r="L71" s="19"/>
      <c r="M71" s="19"/>
      <c r="N71" s="19"/>
      <c r="O71" s="18"/>
      <c r="Q71" s="19"/>
      <c r="R71" s="19"/>
      <c r="S71" s="44"/>
      <c r="T71" s="19"/>
      <c r="U71" s="56"/>
      <c r="V71" s="19"/>
      <c r="W71" s="56"/>
      <c r="X71" s="19"/>
      <c r="Y71" s="19"/>
      <c r="Z71" s="19"/>
      <c r="AA71" s="44"/>
      <c r="AB71" s="19"/>
      <c r="AC71" s="56"/>
      <c r="AD71" s="19"/>
      <c r="AE71" s="56"/>
      <c r="AF71" s="56"/>
      <c r="AG71" s="19"/>
      <c r="AH71" s="56"/>
      <c r="AI71" s="56"/>
      <c r="AJ71" s="19"/>
      <c r="AK71" s="56"/>
      <c r="AL71" s="56"/>
      <c r="AM71" s="19"/>
      <c r="AN71" s="56"/>
      <c r="AO71" s="56"/>
      <c r="AP71" s="56"/>
      <c r="AQ71" s="56"/>
      <c r="AR71" s="56"/>
      <c r="AS71" s="56"/>
      <c r="AT71" s="56"/>
      <c r="AU71" s="196"/>
    </row>
    <row r="72" spans="9:47" x14ac:dyDescent="0.2">
      <c r="I72" s="18"/>
      <c r="J72" s="19"/>
      <c r="K72" s="19"/>
      <c r="L72" s="19"/>
      <c r="M72" s="19"/>
      <c r="N72" s="19"/>
      <c r="O72" s="18"/>
      <c r="Q72" s="19"/>
      <c r="R72" s="19"/>
      <c r="S72" s="44"/>
      <c r="T72" s="19"/>
      <c r="U72" s="56"/>
      <c r="V72" s="19"/>
      <c r="W72" s="56"/>
      <c r="X72" s="19"/>
      <c r="Y72" s="19"/>
      <c r="Z72" s="19"/>
      <c r="AA72" s="44"/>
      <c r="AB72" s="19"/>
      <c r="AC72" s="56"/>
      <c r="AD72" s="19"/>
      <c r="AE72" s="56"/>
      <c r="AF72" s="56"/>
      <c r="AG72" s="19"/>
      <c r="AH72" s="56"/>
      <c r="AI72" s="56"/>
      <c r="AJ72" s="19"/>
      <c r="AK72" s="56"/>
      <c r="AL72" s="56"/>
      <c r="AM72" s="19"/>
      <c r="AN72" s="56"/>
      <c r="AO72" s="56"/>
      <c r="AP72" s="56"/>
      <c r="AQ72" s="56"/>
      <c r="AR72" s="56"/>
      <c r="AS72" s="56"/>
      <c r="AT72" s="56"/>
      <c r="AU72" s="196"/>
    </row>
    <row r="73" spans="9:47" x14ac:dyDescent="0.2">
      <c r="I73" s="18"/>
      <c r="J73" s="19"/>
      <c r="K73" s="19"/>
      <c r="L73" s="19"/>
      <c r="M73" s="19"/>
      <c r="N73" s="19"/>
      <c r="O73" s="18"/>
      <c r="Q73" s="19"/>
      <c r="R73" s="19"/>
      <c r="S73" s="44"/>
      <c r="T73" s="19"/>
      <c r="U73" s="56"/>
      <c r="V73" s="19"/>
      <c r="W73" s="56"/>
      <c r="X73" s="19"/>
      <c r="Y73" s="19"/>
      <c r="Z73" s="19"/>
      <c r="AA73" s="44"/>
      <c r="AB73" s="19"/>
      <c r="AC73" s="56"/>
      <c r="AD73" s="19"/>
      <c r="AE73" s="56"/>
      <c r="AF73" s="56"/>
      <c r="AG73" s="19"/>
      <c r="AH73" s="56"/>
      <c r="AI73" s="56"/>
      <c r="AJ73" s="19"/>
      <c r="AK73" s="56"/>
      <c r="AL73" s="56"/>
      <c r="AM73" s="19"/>
      <c r="AN73" s="56"/>
      <c r="AO73" s="56"/>
      <c r="AP73" s="56"/>
      <c r="AQ73" s="56"/>
      <c r="AR73" s="56"/>
      <c r="AS73" s="56"/>
      <c r="AT73" s="56"/>
      <c r="AU73" s="196"/>
    </row>
    <row r="74" spans="9:47" x14ac:dyDescent="0.2">
      <c r="I74" s="18"/>
      <c r="J74" s="19"/>
      <c r="K74" s="19"/>
      <c r="L74" s="19"/>
      <c r="M74" s="19"/>
      <c r="N74" s="19"/>
      <c r="O74" s="18"/>
      <c r="Q74" s="19"/>
      <c r="R74" s="19"/>
      <c r="S74" s="44"/>
      <c r="T74" s="19"/>
      <c r="U74" s="56"/>
      <c r="V74" s="19"/>
      <c r="W74" s="56"/>
      <c r="X74" s="19"/>
      <c r="Y74" s="19"/>
      <c r="Z74" s="19"/>
      <c r="AA74" s="44"/>
      <c r="AB74" s="19"/>
      <c r="AC74" s="56"/>
      <c r="AD74" s="19"/>
      <c r="AE74" s="56"/>
      <c r="AF74" s="56"/>
      <c r="AG74" s="19"/>
      <c r="AH74" s="56"/>
      <c r="AI74" s="56"/>
      <c r="AJ74" s="19"/>
      <c r="AK74" s="56"/>
      <c r="AL74" s="56"/>
      <c r="AM74" s="19"/>
      <c r="AN74" s="56"/>
      <c r="AO74" s="56"/>
      <c r="AP74" s="56"/>
      <c r="AQ74" s="56"/>
      <c r="AR74" s="56"/>
      <c r="AS74" s="56"/>
      <c r="AT74" s="56"/>
      <c r="AU74" s="196"/>
    </row>
    <row r="75" spans="9:47" x14ac:dyDescent="0.2">
      <c r="I75" s="18"/>
      <c r="J75" s="19"/>
      <c r="K75" s="19"/>
      <c r="L75" s="19"/>
      <c r="M75" s="19"/>
      <c r="N75" s="19"/>
      <c r="O75" s="18"/>
      <c r="Q75" s="19"/>
      <c r="R75" s="19"/>
      <c r="S75" s="44"/>
      <c r="T75" s="19"/>
      <c r="U75" s="56"/>
      <c r="V75" s="19"/>
      <c r="W75" s="56"/>
      <c r="X75" s="19"/>
      <c r="Y75" s="19"/>
      <c r="Z75" s="19"/>
      <c r="AA75" s="44"/>
      <c r="AB75" s="19"/>
      <c r="AC75" s="56"/>
      <c r="AD75" s="19"/>
      <c r="AE75" s="56"/>
      <c r="AF75" s="56"/>
      <c r="AG75" s="19"/>
      <c r="AH75" s="56"/>
      <c r="AI75" s="56"/>
      <c r="AJ75" s="19"/>
      <c r="AK75" s="56"/>
      <c r="AL75" s="56"/>
      <c r="AM75" s="19"/>
      <c r="AN75" s="56"/>
      <c r="AO75" s="56"/>
      <c r="AP75" s="56"/>
      <c r="AQ75" s="56"/>
      <c r="AR75" s="56"/>
      <c r="AS75" s="56"/>
      <c r="AT75" s="56"/>
    </row>
    <row r="76" spans="9:47" x14ac:dyDescent="0.2">
      <c r="I76" s="18"/>
      <c r="J76" s="19"/>
      <c r="K76" s="19"/>
      <c r="L76" s="19"/>
      <c r="M76" s="19"/>
      <c r="N76" s="19"/>
      <c r="O76" s="18"/>
      <c r="Q76" s="19"/>
      <c r="R76" s="19"/>
      <c r="S76" s="44"/>
      <c r="T76" s="19"/>
      <c r="U76" s="56"/>
      <c r="V76" s="19"/>
      <c r="W76" s="56"/>
      <c r="X76" s="19"/>
      <c r="Y76" s="19"/>
      <c r="Z76" s="19"/>
      <c r="AA76" s="44"/>
      <c r="AB76" s="19"/>
      <c r="AC76" s="56"/>
      <c r="AD76" s="19"/>
      <c r="AE76" s="56"/>
      <c r="AF76" s="56"/>
      <c r="AG76" s="19"/>
      <c r="AH76" s="56"/>
      <c r="AI76" s="56"/>
      <c r="AJ76" s="19"/>
      <c r="AK76" s="56"/>
      <c r="AL76" s="56"/>
      <c r="AM76" s="19"/>
      <c r="AN76" s="56"/>
      <c r="AO76" s="56"/>
      <c r="AP76" s="56"/>
      <c r="AQ76" s="56"/>
      <c r="AR76" s="56"/>
      <c r="AS76" s="56"/>
      <c r="AT76" s="56"/>
    </row>
    <row r="77" spans="9:47" x14ac:dyDescent="0.2">
      <c r="I77" s="18"/>
      <c r="J77" s="19"/>
      <c r="K77" s="19"/>
      <c r="L77" s="19"/>
      <c r="M77" s="19"/>
      <c r="N77" s="19"/>
      <c r="O77" s="18"/>
      <c r="Q77" s="19"/>
      <c r="R77" s="19"/>
      <c r="S77" s="44"/>
      <c r="T77" s="19"/>
      <c r="U77" s="56"/>
      <c r="V77" s="19"/>
      <c r="W77" s="56"/>
      <c r="X77" s="19"/>
      <c r="Y77" s="19"/>
      <c r="Z77" s="19"/>
      <c r="AA77" s="44"/>
      <c r="AB77" s="19"/>
      <c r="AC77" s="56"/>
      <c r="AD77" s="19"/>
      <c r="AE77" s="56"/>
      <c r="AF77" s="56"/>
      <c r="AG77" s="19"/>
      <c r="AH77" s="56"/>
      <c r="AI77" s="56"/>
      <c r="AJ77" s="19"/>
      <c r="AK77" s="56"/>
      <c r="AL77" s="56"/>
      <c r="AM77" s="19"/>
      <c r="AN77" s="56"/>
      <c r="AO77" s="56"/>
      <c r="AP77" s="56"/>
      <c r="AQ77" s="56"/>
      <c r="AR77" s="56"/>
      <c r="AS77" s="56"/>
      <c r="AT77" s="56"/>
    </row>
    <row r="78" spans="9:47" x14ac:dyDescent="0.2">
      <c r="I78" s="18"/>
      <c r="J78" s="19"/>
      <c r="K78" s="19"/>
      <c r="L78" s="19"/>
      <c r="M78" s="19"/>
      <c r="N78" s="19"/>
      <c r="O78" s="18"/>
      <c r="Q78" s="19"/>
      <c r="R78" s="19"/>
      <c r="S78" s="44"/>
      <c r="T78" s="19"/>
      <c r="U78" s="56"/>
      <c r="V78" s="19"/>
      <c r="W78" s="56"/>
      <c r="X78" s="19"/>
      <c r="Y78" s="19"/>
      <c r="Z78" s="19"/>
      <c r="AA78" s="44"/>
      <c r="AB78" s="19"/>
      <c r="AC78" s="56"/>
      <c r="AD78" s="19"/>
      <c r="AE78" s="56"/>
      <c r="AF78" s="56"/>
      <c r="AG78" s="19"/>
      <c r="AH78" s="56"/>
      <c r="AI78" s="56"/>
      <c r="AJ78" s="19"/>
      <c r="AK78" s="56"/>
      <c r="AL78" s="56"/>
      <c r="AM78" s="19"/>
      <c r="AN78" s="56"/>
      <c r="AO78" s="56"/>
      <c r="AP78" s="56"/>
      <c r="AQ78" s="56"/>
      <c r="AR78" s="56"/>
      <c r="AS78" s="56"/>
      <c r="AT78" s="56"/>
    </row>
    <row r="79" spans="9:47" x14ac:dyDescent="0.2">
      <c r="I79" s="18"/>
      <c r="J79" s="19"/>
      <c r="K79" s="19"/>
      <c r="L79" s="19"/>
      <c r="M79" s="19"/>
      <c r="N79" s="19"/>
      <c r="O79" s="18"/>
      <c r="Q79" s="19"/>
      <c r="R79" s="19"/>
      <c r="S79" s="44"/>
      <c r="T79" s="19"/>
      <c r="U79" s="56"/>
      <c r="V79" s="19"/>
      <c r="W79" s="56"/>
      <c r="X79" s="19"/>
      <c r="Y79" s="19"/>
      <c r="Z79" s="19"/>
      <c r="AA79" s="44"/>
      <c r="AB79" s="19"/>
      <c r="AC79" s="56"/>
      <c r="AD79" s="19"/>
      <c r="AE79" s="56"/>
      <c r="AF79" s="56"/>
      <c r="AG79" s="19"/>
      <c r="AH79" s="56"/>
      <c r="AI79" s="56"/>
      <c r="AJ79" s="19"/>
      <c r="AK79" s="56"/>
      <c r="AL79" s="56"/>
      <c r="AM79" s="19"/>
      <c r="AN79" s="56"/>
      <c r="AO79" s="56"/>
      <c r="AP79" s="56"/>
      <c r="AQ79" s="56"/>
      <c r="AR79" s="56"/>
      <c r="AS79" s="56"/>
      <c r="AT79" s="56"/>
    </row>
    <row r="80" spans="9:47" x14ac:dyDescent="0.2">
      <c r="I80" s="18"/>
      <c r="J80" s="19"/>
      <c r="K80" s="19"/>
      <c r="L80" s="19"/>
      <c r="M80" s="19"/>
      <c r="N80" s="19"/>
      <c r="O80" s="18"/>
      <c r="Q80" s="19"/>
      <c r="R80" s="19"/>
      <c r="S80" s="44"/>
      <c r="T80" s="19"/>
      <c r="U80" s="56"/>
      <c r="V80" s="19"/>
      <c r="W80" s="56"/>
      <c r="X80" s="19"/>
      <c r="Y80" s="19"/>
      <c r="Z80" s="19"/>
      <c r="AA80" s="44"/>
      <c r="AB80" s="19"/>
      <c r="AC80" s="56"/>
      <c r="AD80" s="19"/>
      <c r="AE80" s="56"/>
      <c r="AF80" s="56"/>
      <c r="AG80" s="19"/>
      <c r="AH80" s="56"/>
      <c r="AI80" s="56"/>
      <c r="AJ80" s="19"/>
      <c r="AK80" s="56"/>
      <c r="AL80" s="56"/>
      <c r="AM80" s="19"/>
      <c r="AN80" s="56"/>
      <c r="AO80" s="56"/>
      <c r="AP80" s="56"/>
      <c r="AQ80" s="56"/>
      <c r="AR80" s="56"/>
      <c r="AS80" s="56"/>
      <c r="AT80" s="56"/>
    </row>
    <row r="81" spans="9:46" x14ac:dyDescent="0.2">
      <c r="I81" s="18"/>
      <c r="J81" s="19"/>
      <c r="K81" s="19"/>
      <c r="L81" s="19"/>
      <c r="M81" s="19"/>
      <c r="N81" s="19"/>
      <c r="O81" s="18"/>
      <c r="Q81" s="19"/>
      <c r="R81" s="19"/>
      <c r="S81" s="44"/>
      <c r="T81" s="19"/>
      <c r="U81" s="56"/>
      <c r="V81" s="19"/>
      <c r="W81" s="56"/>
      <c r="X81" s="19"/>
      <c r="Y81" s="19"/>
      <c r="Z81" s="19"/>
      <c r="AA81" s="44"/>
      <c r="AB81" s="19"/>
      <c r="AC81" s="56"/>
      <c r="AD81" s="19"/>
      <c r="AE81" s="56"/>
      <c r="AF81" s="56"/>
      <c r="AG81" s="19"/>
      <c r="AH81" s="56"/>
      <c r="AI81" s="56"/>
      <c r="AJ81" s="19"/>
      <c r="AK81" s="56"/>
      <c r="AL81" s="56"/>
      <c r="AM81" s="19"/>
      <c r="AN81" s="56"/>
      <c r="AO81" s="56"/>
      <c r="AP81" s="56"/>
      <c r="AQ81" s="56"/>
      <c r="AR81" s="56"/>
      <c r="AS81" s="56"/>
      <c r="AT81" s="56"/>
    </row>
    <row r="82" spans="9:46" x14ac:dyDescent="0.2">
      <c r="I82" s="18"/>
      <c r="J82" s="19"/>
      <c r="K82" s="19"/>
      <c r="L82" s="19"/>
      <c r="M82" s="19"/>
      <c r="N82" s="19"/>
      <c r="O82" s="18"/>
      <c r="Q82" s="19"/>
      <c r="R82" s="19"/>
      <c r="S82" s="44"/>
      <c r="T82" s="19"/>
      <c r="U82" s="56"/>
      <c r="V82" s="19"/>
      <c r="W82" s="56"/>
      <c r="X82" s="19"/>
      <c r="Y82" s="19"/>
      <c r="Z82" s="19"/>
      <c r="AA82" s="44"/>
      <c r="AB82" s="19"/>
      <c r="AC82" s="56"/>
      <c r="AD82" s="19"/>
      <c r="AE82" s="56"/>
      <c r="AF82" s="56"/>
      <c r="AG82" s="19"/>
      <c r="AH82" s="56"/>
      <c r="AI82" s="56"/>
      <c r="AJ82" s="19"/>
      <c r="AK82" s="56"/>
      <c r="AL82" s="56"/>
      <c r="AM82" s="19"/>
      <c r="AN82" s="56"/>
      <c r="AO82" s="56"/>
      <c r="AP82" s="56"/>
      <c r="AQ82" s="56"/>
      <c r="AR82" s="56"/>
      <c r="AS82" s="56"/>
      <c r="AT82" s="56"/>
    </row>
    <row r="83" spans="9:46" x14ac:dyDescent="0.2">
      <c r="I83" s="18"/>
      <c r="J83" s="19"/>
      <c r="K83" s="19"/>
      <c r="L83" s="19"/>
      <c r="M83" s="19"/>
      <c r="N83" s="19"/>
      <c r="O83" s="18"/>
      <c r="Q83" s="19"/>
      <c r="R83" s="19"/>
      <c r="S83" s="44"/>
      <c r="T83" s="19"/>
      <c r="U83" s="56"/>
      <c r="V83" s="19"/>
      <c r="W83" s="56"/>
      <c r="X83" s="19"/>
      <c r="Y83" s="19"/>
      <c r="Z83" s="19"/>
      <c r="AA83" s="44"/>
      <c r="AB83" s="19"/>
      <c r="AC83" s="56"/>
      <c r="AD83" s="19"/>
      <c r="AE83" s="56"/>
      <c r="AF83" s="56"/>
      <c r="AG83" s="19"/>
      <c r="AH83" s="56"/>
      <c r="AI83" s="56"/>
      <c r="AJ83" s="19"/>
      <c r="AK83" s="56"/>
      <c r="AL83" s="56"/>
      <c r="AM83" s="19"/>
      <c r="AN83" s="56"/>
      <c r="AO83" s="56"/>
      <c r="AP83" s="56"/>
      <c r="AQ83" s="56"/>
      <c r="AR83" s="56"/>
      <c r="AS83" s="56"/>
      <c r="AT83" s="56"/>
    </row>
    <row r="84" spans="9:46" x14ac:dyDescent="0.2">
      <c r="I84" s="18"/>
      <c r="J84" s="19"/>
      <c r="K84" s="19"/>
      <c r="L84" s="19"/>
      <c r="M84" s="19"/>
      <c r="N84" s="19"/>
      <c r="O84" s="18"/>
      <c r="Q84" s="19"/>
      <c r="R84" s="19"/>
      <c r="S84" s="44"/>
      <c r="T84" s="19"/>
      <c r="U84" s="56"/>
      <c r="V84" s="19"/>
      <c r="W84" s="56"/>
      <c r="X84" s="19"/>
      <c r="Y84" s="19"/>
      <c r="Z84" s="19"/>
      <c r="AA84" s="44"/>
      <c r="AB84" s="19"/>
      <c r="AC84" s="56"/>
      <c r="AD84" s="19"/>
      <c r="AE84" s="56"/>
      <c r="AF84" s="56"/>
      <c r="AG84" s="19"/>
      <c r="AH84" s="56"/>
      <c r="AI84" s="56"/>
      <c r="AJ84" s="19"/>
      <c r="AK84" s="56"/>
      <c r="AL84" s="56"/>
      <c r="AM84" s="19"/>
      <c r="AN84" s="56"/>
      <c r="AO84" s="56"/>
      <c r="AP84" s="56"/>
      <c r="AQ84" s="56"/>
      <c r="AR84" s="56"/>
      <c r="AS84" s="56"/>
      <c r="AT84" s="56"/>
    </row>
    <row r="85" spans="9:46" x14ac:dyDescent="0.2">
      <c r="I85" s="18"/>
      <c r="J85" s="19"/>
      <c r="K85" s="19"/>
      <c r="L85" s="19"/>
      <c r="M85" s="19"/>
      <c r="N85" s="19"/>
      <c r="O85" s="18"/>
      <c r="Q85" s="19"/>
      <c r="R85" s="19"/>
      <c r="S85" s="44"/>
      <c r="T85" s="19"/>
      <c r="U85" s="56"/>
      <c r="V85" s="19"/>
      <c r="W85" s="56"/>
      <c r="X85" s="19"/>
      <c r="Y85" s="19"/>
      <c r="Z85" s="19"/>
      <c r="AA85" s="44"/>
      <c r="AB85" s="19"/>
      <c r="AC85" s="56"/>
      <c r="AD85" s="19"/>
      <c r="AE85" s="56"/>
      <c r="AF85" s="56"/>
      <c r="AG85" s="19"/>
      <c r="AH85" s="56"/>
      <c r="AI85" s="56"/>
      <c r="AJ85" s="19"/>
      <c r="AK85" s="56"/>
      <c r="AL85" s="56"/>
      <c r="AM85" s="19"/>
      <c r="AN85" s="56"/>
      <c r="AO85" s="56"/>
      <c r="AP85" s="56"/>
      <c r="AQ85" s="56"/>
      <c r="AR85" s="56"/>
      <c r="AS85" s="56"/>
      <c r="AT85" s="56"/>
    </row>
    <row r="86" spans="9:46" x14ac:dyDescent="0.2">
      <c r="I86" s="18"/>
      <c r="J86" s="19"/>
      <c r="K86" s="19"/>
      <c r="L86" s="19"/>
      <c r="M86" s="19"/>
      <c r="N86" s="19"/>
      <c r="O86" s="18"/>
      <c r="Q86" s="19"/>
      <c r="R86" s="19"/>
      <c r="S86" s="44"/>
      <c r="T86" s="19"/>
      <c r="U86" s="56"/>
      <c r="V86" s="19"/>
      <c r="W86" s="56"/>
      <c r="X86" s="19"/>
      <c r="Y86" s="19"/>
      <c r="Z86" s="19"/>
      <c r="AA86" s="44"/>
      <c r="AB86" s="19"/>
      <c r="AC86" s="56"/>
      <c r="AD86" s="19"/>
      <c r="AE86" s="56"/>
      <c r="AF86" s="56"/>
      <c r="AG86" s="19"/>
      <c r="AH86" s="56"/>
      <c r="AI86" s="56"/>
      <c r="AJ86" s="19"/>
      <c r="AK86" s="56"/>
      <c r="AL86" s="56"/>
      <c r="AM86" s="19"/>
      <c r="AN86" s="56"/>
      <c r="AO86" s="56"/>
      <c r="AP86" s="56"/>
      <c r="AQ86" s="56"/>
      <c r="AR86" s="56"/>
      <c r="AS86" s="56"/>
      <c r="AT86" s="56"/>
    </row>
    <row r="87" spans="9:46" x14ac:dyDescent="0.2">
      <c r="I87" s="18"/>
      <c r="J87" s="19"/>
      <c r="K87" s="19"/>
      <c r="L87" s="19"/>
      <c r="M87" s="19"/>
      <c r="N87" s="19"/>
      <c r="O87" s="18"/>
      <c r="Q87" s="19"/>
      <c r="R87" s="19"/>
      <c r="S87" s="44"/>
      <c r="T87" s="19"/>
      <c r="U87" s="56"/>
      <c r="V87" s="19"/>
      <c r="W87" s="56"/>
      <c r="X87" s="19"/>
      <c r="Y87" s="19"/>
      <c r="Z87" s="19"/>
      <c r="AA87" s="44"/>
      <c r="AB87" s="19"/>
      <c r="AC87" s="56"/>
      <c r="AD87" s="19"/>
      <c r="AE87" s="56"/>
      <c r="AF87" s="56"/>
      <c r="AG87" s="19"/>
      <c r="AH87" s="56"/>
      <c r="AI87" s="56"/>
      <c r="AJ87" s="19"/>
      <c r="AK87" s="56"/>
      <c r="AL87" s="56"/>
      <c r="AM87" s="19"/>
      <c r="AN87" s="56"/>
      <c r="AO87" s="56"/>
      <c r="AP87" s="56"/>
      <c r="AQ87" s="56"/>
      <c r="AR87" s="56"/>
      <c r="AS87" s="56"/>
      <c r="AT87" s="56"/>
    </row>
    <row r="88" spans="9:46" x14ac:dyDescent="0.2">
      <c r="I88" s="18"/>
      <c r="J88" s="19"/>
      <c r="K88" s="19"/>
      <c r="L88" s="19"/>
      <c r="M88" s="19"/>
      <c r="N88" s="19"/>
      <c r="O88" s="18"/>
      <c r="Q88" s="19"/>
      <c r="R88" s="19"/>
      <c r="S88" s="44"/>
      <c r="T88" s="19"/>
      <c r="U88" s="56"/>
      <c r="V88" s="19"/>
      <c r="W88" s="56"/>
      <c r="X88" s="19"/>
      <c r="Y88" s="19"/>
      <c r="Z88" s="19"/>
      <c r="AA88" s="44"/>
      <c r="AB88" s="19"/>
      <c r="AC88" s="56"/>
      <c r="AD88" s="19"/>
      <c r="AE88" s="56"/>
      <c r="AF88" s="56"/>
      <c r="AG88" s="19"/>
      <c r="AH88" s="56"/>
      <c r="AI88" s="56"/>
      <c r="AJ88" s="19"/>
      <c r="AK88" s="56"/>
      <c r="AL88" s="56"/>
      <c r="AM88" s="19"/>
      <c r="AN88" s="56"/>
      <c r="AO88" s="56"/>
      <c r="AP88" s="56"/>
      <c r="AQ88" s="56"/>
      <c r="AR88" s="56"/>
      <c r="AS88" s="56"/>
      <c r="AT88" s="56"/>
    </row>
    <row r="89" spans="9:46" x14ac:dyDescent="0.2">
      <c r="I89" s="18"/>
      <c r="J89" s="19"/>
      <c r="K89" s="19"/>
      <c r="L89" s="19"/>
      <c r="M89" s="19"/>
      <c r="N89" s="19"/>
      <c r="O89" s="18"/>
      <c r="Q89" s="19"/>
      <c r="R89" s="19"/>
      <c r="S89" s="44"/>
      <c r="T89" s="19"/>
      <c r="U89" s="56"/>
      <c r="V89" s="19"/>
      <c r="W89" s="56"/>
      <c r="X89" s="19"/>
      <c r="Y89" s="19"/>
      <c r="Z89" s="19"/>
      <c r="AA89" s="44"/>
      <c r="AB89" s="19"/>
      <c r="AC89" s="56"/>
      <c r="AD89" s="19"/>
      <c r="AE89" s="56"/>
      <c r="AF89" s="56"/>
      <c r="AG89" s="19"/>
      <c r="AH89" s="56"/>
      <c r="AI89" s="56"/>
      <c r="AJ89" s="19"/>
      <c r="AK89" s="56"/>
      <c r="AL89" s="56"/>
      <c r="AM89" s="19"/>
      <c r="AN89" s="56"/>
      <c r="AO89" s="56"/>
      <c r="AP89" s="56"/>
      <c r="AQ89" s="56"/>
      <c r="AR89" s="56"/>
      <c r="AS89" s="56"/>
      <c r="AT89" s="56"/>
    </row>
    <row r="90" spans="9:46" x14ac:dyDescent="0.2">
      <c r="I90" s="18"/>
      <c r="J90" s="19"/>
      <c r="K90" s="19"/>
      <c r="L90" s="19"/>
      <c r="M90" s="19"/>
      <c r="N90" s="19"/>
      <c r="O90" s="18"/>
      <c r="Q90" s="19"/>
      <c r="R90" s="19"/>
      <c r="S90" s="44"/>
      <c r="T90" s="19"/>
      <c r="U90" s="56"/>
      <c r="V90" s="19"/>
      <c r="W90" s="56"/>
      <c r="X90" s="19"/>
      <c r="Y90" s="19"/>
      <c r="Z90" s="19"/>
      <c r="AA90" s="44"/>
      <c r="AB90" s="19"/>
      <c r="AC90" s="56"/>
      <c r="AD90" s="19"/>
      <c r="AE90" s="56"/>
      <c r="AF90" s="56"/>
      <c r="AG90" s="19"/>
      <c r="AH90" s="56"/>
      <c r="AI90" s="56"/>
      <c r="AJ90" s="19"/>
      <c r="AK90" s="56"/>
      <c r="AL90" s="56"/>
      <c r="AM90" s="19"/>
      <c r="AN90" s="56"/>
      <c r="AO90" s="56"/>
      <c r="AP90" s="56"/>
      <c r="AQ90" s="56"/>
      <c r="AR90" s="56"/>
      <c r="AS90" s="56"/>
      <c r="AT90" s="56"/>
    </row>
    <row r="91" spans="9:46" x14ac:dyDescent="0.2">
      <c r="I91" s="18"/>
      <c r="J91" s="19"/>
      <c r="K91" s="19"/>
      <c r="L91" s="19"/>
      <c r="M91" s="19"/>
      <c r="N91" s="19"/>
      <c r="O91" s="18"/>
      <c r="Q91" s="19"/>
      <c r="R91" s="19"/>
      <c r="S91" s="44"/>
      <c r="T91" s="19"/>
      <c r="U91" s="56"/>
      <c r="V91" s="19"/>
      <c r="W91" s="56"/>
      <c r="X91" s="19"/>
      <c r="Y91" s="19"/>
      <c r="Z91" s="19"/>
      <c r="AA91" s="44"/>
      <c r="AB91" s="19"/>
      <c r="AC91" s="56"/>
      <c r="AD91" s="19"/>
      <c r="AE91" s="56"/>
      <c r="AF91" s="56"/>
      <c r="AG91" s="19"/>
      <c r="AH91" s="56"/>
      <c r="AI91" s="56"/>
      <c r="AJ91" s="19"/>
      <c r="AK91" s="56"/>
      <c r="AL91" s="56"/>
      <c r="AM91" s="19"/>
      <c r="AN91" s="56"/>
      <c r="AO91" s="56"/>
      <c r="AP91" s="56"/>
      <c r="AQ91" s="56"/>
      <c r="AR91" s="56"/>
      <c r="AS91" s="56"/>
      <c r="AT91" s="56"/>
    </row>
    <row r="92" spans="9:46" x14ac:dyDescent="0.2">
      <c r="I92" s="18"/>
      <c r="J92" s="19"/>
      <c r="K92" s="19"/>
      <c r="L92" s="19"/>
      <c r="M92" s="19"/>
      <c r="N92" s="19"/>
      <c r="O92" s="18"/>
      <c r="Q92" s="19"/>
      <c r="R92" s="19"/>
      <c r="S92" s="44"/>
      <c r="T92" s="19"/>
      <c r="U92" s="56"/>
      <c r="V92" s="19"/>
      <c r="W92" s="56"/>
      <c r="X92" s="19"/>
      <c r="Y92" s="19"/>
      <c r="Z92" s="19"/>
      <c r="AA92" s="44"/>
      <c r="AB92" s="19"/>
      <c r="AC92" s="56"/>
      <c r="AD92" s="19"/>
      <c r="AE92" s="56"/>
      <c r="AF92" s="56"/>
      <c r="AG92" s="19"/>
      <c r="AH92" s="56"/>
      <c r="AI92" s="56"/>
      <c r="AJ92" s="19"/>
      <c r="AK92" s="56"/>
      <c r="AL92" s="56"/>
      <c r="AM92" s="19"/>
      <c r="AN92" s="56"/>
      <c r="AO92" s="56"/>
      <c r="AP92" s="56"/>
      <c r="AQ92" s="56"/>
      <c r="AR92" s="56"/>
      <c r="AS92" s="56"/>
      <c r="AT92" s="56"/>
    </row>
    <row r="93" spans="9:46" x14ac:dyDescent="0.2">
      <c r="I93" s="18"/>
      <c r="J93" s="19"/>
      <c r="K93" s="19"/>
      <c r="L93" s="19"/>
      <c r="M93" s="19"/>
      <c r="N93" s="19"/>
      <c r="O93" s="18"/>
      <c r="Q93" s="19"/>
      <c r="R93" s="19"/>
      <c r="S93" s="44"/>
      <c r="T93" s="19"/>
      <c r="U93" s="56"/>
      <c r="V93" s="19"/>
      <c r="W93" s="56"/>
      <c r="X93" s="19"/>
      <c r="Y93" s="19"/>
      <c r="Z93" s="19"/>
      <c r="AA93" s="44"/>
      <c r="AB93" s="19"/>
      <c r="AC93" s="56"/>
      <c r="AD93" s="19"/>
      <c r="AE93" s="56"/>
      <c r="AF93" s="56"/>
      <c r="AG93" s="19"/>
      <c r="AH93" s="56"/>
      <c r="AI93" s="56"/>
      <c r="AJ93" s="19"/>
      <c r="AK93" s="56"/>
      <c r="AL93" s="56"/>
      <c r="AM93" s="19"/>
      <c r="AN93" s="56"/>
      <c r="AO93" s="56"/>
      <c r="AP93" s="56"/>
      <c r="AQ93" s="56"/>
      <c r="AR93" s="56"/>
      <c r="AS93" s="56"/>
      <c r="AT93" s="56"/>
    </row>
    <row r="94" spans="9:46" x14ac:dyDescent="0.2">
      <c r="I94" s="18"/>
      <c r="J94" s="19"/>
      <c r="K94" s="19"/>
      <c r="L94" s="19"/>
      <c r="M94" s="19"/>
      <c r="N94" s="19"/>
      <c r="O94" s="18"/>
      <c r="Q94" s="19"/>
      <c r="R94" s="19"/>
      <c r="S94" s="44"/>
      <c r="T94" s="19"/>
      <c r="U94" s="56"/>
      <c r="V94" s="19"/>
      <c r="W94" s="56"/>
      <c r="X94" s="19"/>
      <c r="Y94" s="19"/>
      <c r="Z94" s="19"/>
      <c r="AA94" s="44"/>
      <c r="AB94" s="19"/>
      <c r="AC94" s="56"/>
      <c r="AD94" s="19"/>
      <c r="AE94" s="56"/>
      <c r="AF94" s="56"/>
      <c r="AG94" s="19"/>
      <c r="AH94" s="56"/>
      <c r="AI94" s="56"/>
      <c r="AJ94" s="19"/>
      <c r="AK94" s="56"/>
      <c r="AL94" s="56"/>
      <c r="AM94" s="19"/>
      <c r="AN94" s="56"/>
      <c r="AO94" s="56"/>
      <c r="AP94" s="56"/>
      <c r="AQ94" s="56"/>
      <c r="AR94" s="56"/>
      <c r="AS94" s="56"/>
      <c r="AT94" s="56"/>
    </row>
    <row r="95" spans="9:46" x14ac:dyDescent="0.2">
      <c r="I95" s="18"/>
      <c r="J95" s="19"/>
      <c r="K95" s="19"/>
      <c r="L95" s="19"/>
      <c r="M95" s="19"/>
      <c r="N95" s="19"/>
      <c r="O95" s="18"/>
      <c r="Q95" s="19"/>
      <c r="R95" s="19"/>
      <c r="S95" s="44"/>
      <c r="T95" s="19"/>
      <c r="U95" s="56"/>
      <c r="V95" s="19"/>
      <c r="W95" s="56"/>
      <c r="X95" s="19"/>
      <c r="Y95" s="19"/>
      <c r="Z95" s="19"/>
      <c r="AA95" s="44"/>
      <c r="AB95" s="19"/>
      <c r="AC95" s="56"/>
      <c r="AD95" s="19"/>
      <c r="AE95" s="56"/>
      <c r="AF95" s="56"/>
      <c r="AG95" s="19"/>
      <c r="AH95" s="56"/>
      <c r="AI95" s="56"/>
      <c r="AJ95" s="19"/>
      <c r="AK95" s="56"/>
      <c r="AL95" s="56"/>
      <c r="AM95" s="19"/>
      <c r="AN95" s="56"/>
      <c r="AO95" s="56"/>
      <c r="AP95" s="56"/>
      <c r="AQ95" s="56"/>
      <c r="AR95" s="56"/>
      <c r="AS95" s="56"/>
      <c r="AT95" s="56"/>
    </row>
    <row r="96" spans="9:46" x14ac:dyDescent="0.2">
      <c r="I96" s="18"/>
      <c r="J96" s="19"/>
      <c r="K96" s="19"/>
      <c r="L96" s="19"/>
      <c r="M96" s="19"/>
      <c r="N96" s="19"/>
      <c r="O96" s="18"/>
      <c r="Q96" s="19"/>
      <c r="R96" s="19"/>
      <c r="S96" s="44"/>
      <c r="T96" s="19"/>
      <c r="U96" s="56"/>
      <c r="V96" s="19"/>
      <c r="W96" s="56"/>
      <c r="X96" s="19"/>
      <c r="Y96" s="19"/>
      <c r="Z96" s="19"/>
      <c r="AA96" s="44"/>
      <c r="AB96" s="19"/>
      <c r="AC96" s="56"/>
      <c r="AD96" s="19"/>
      <c r="AE96" s="56"/>
      <c r="AF96" s="56"/>
      <c r="AG96" s="19"/>
      <c r="AH96" s="56"/>
      <c r="AI96" s="56"/>
      <c r="AJ96" s="19"/>
      <c r="AK96" s="56"/>
      <c r="AL96" s="56"/>
      <c r="AM96" s="19"/>
      <c r="AN96" s="56"/>
      <c r="AO96" s="56"/>
      <c r="AP96" s="56"/>
      <c r="AQ96" s="56"/>
      <c r="AR96" s="56"/>
      <c r="AS96" s="56"/>
      <c r="AT96" s="56"/>
    </row>
    <row r="97" spans="9:46" x14ac:dyDescent="0.2">
      <c r="I97" s="18"/>
      <c r="J97" s="19"/>
      <c r="K97" s="19"/>
      <c r="L97" s="19"/>
      <c r="M97" s="19"/>
      <c r="N97" s="19"/>
      <c r="O97" s="18"/>
      <c r="Q97" s="19"/>
      <c r="R97" s="19"/>
      <c r="S97" s="44"/>
      <c r="T97" s="19"/>
      <c r="U97" s="56"/>
      <c r="V97" s="19"/>
      <c r="W97" s="56"/>
      <c r="X97" s="19"/>
      <c r="Y97" s="19"/>
      <c r="Z97" s="19"/>
      <c r="AA97" s="44"/>
      <c r="AB97" s="19"/>
      <c r="AC97" s="56"/>
      <c r="AD97" s="19"/>
      <c r="AE97" s="56"/>
      <c r="AF97" s="56"/>
      <c r="AG97" s="19"/>
      <c r="AH97" s="56"/>
      <c r="AI97" s="56"/>
      <c r="AJ97" s="19"/>
      <c r="AK97" s="56"/>
      <c r="AL97" s="56"/>
      <c r="AM97" s="19"/>
      <c r="AN97" s="56"/>
      <c r="AO97" s="56"/>
      <c r="AP97" s="56"/>
      <c r="AQ97" s="56"/>
      <c r="AR97" s="56"/>
      <c r="AS97" s="56"/>
      <c r="AT97" s="56"/>
    </row>
    <row r="98" spans="9:46" x14ac:dyDescent="0.2">
      <c r="I98" s="18"/>
      <c r="J98" s="19"/>
      <c r="K98" s="19"/>
      <c r="L98" s="19"/>
      <c r="M98" s="19"/>
      <c r="N98" s="19"/>
      <c r="O98" s="18"/>
      <c r="Q98" s="19"/>
      <c r="R98" s="19"/>
      <c r="S98" s="44"/>
      <c r="T98" s="19"/>
      <c r="U98" s="56"/>
      <c r="V98" s="19"/>
      <c r="W98" s="56"/>
      <c r="X98" s="19"/>
      <c r="Y98" s="19"/>
      <c r="Z98" s="19"/>
      <c r="AA98" s="44"/>
      <c r="AB98" s="19"/>
      <c r="AC98" s="56"/>
      <c r="AD98" s="19"/>
      <c r="AE98" s="56"/>
      <c r="AF98" s="56"/>
      <c r="AG98" s="19"/>
      <c r="AH98" s="56"/>
      <c r="AI98" s="56"/>
      <c r="AJ98" s="19"/>
      <c r="AK98" s="56"/>
      <c r="AL98" s="56"/>
      <c r="AM98" s="19"/>
      <c r="AN98" s="56"/>
      <c r="AO98" s="56"/>
      <c r="AP98" s="56"/>
      <c r="AQ98" s="56"/>
      <c r="AR98" s="56"/>
      <c r="AS98" s="56"/>
      <c r="AT98" s="56"/>
    </row>
    <row r="99" spans="9:46" x14ac:dyDescent="0.2">
      <c r="I99" s="18"/>
      <c r="J99" s="19"/>
      <c r="K99" s="19"/>
      <c r="L99" s="19"/>
      <c r="M99" s="19"/>
      <c r="N99" s="19"/>
      <c r="O99" s="18"/>
      <c r="Q99" s="19"/>
      <c r="R99" s="19"/>
      <c r="S99" s="44"/>
      <c r="T99" s="19"/>
      <c r="U99" s="56"/>
      <c r="V99" s="19"/>
      <c r="W99" s="56"/>
      <c r="X99" s="19"/>
      <c r="Y99" s="19"/>
      <c r="Z99" s="19"/>
      <c r="AA99" s="44"/>
      <c r="AB99" s="19"/>
      <c r="AC99" s="56"/>
      <c r="AD99" s="19"/>
      <c r="AE99" s="56"/>
      <c r="AF99" s="56"/>
      <c r="AG99" s="19"/>
      <c r="AH99" s="56"/>
      <c r="AI99" s="56"/>
      <c r="AJ99" s="19"/>
      <c r="AK99" s="56"/>
      <c r="AL99" s="56"/>
      <c r="AM99" s="19"/>
      <c r="AN99" s="56"/>
      <c r="AO99" s="56"/>
      <c r="AP99" s="56"/>
      <c r="AQ99" s="56"/>
      <c r="AR99" s="56"/>
      <c r="AS99" s="56"/>
      <c r="AT99" s="56"/>
    </row>
    <row r="100" spans="9:46" x14ac:dyDescent="0.2">
      <c r="I100" s="18"/>
      <c r="J100" s="19"/>
      <c r="K100" s="19"/>
      <c r="L100" s="19"/>
      <c r="M100" s="19"/>
      <c r="N100" s="19"/>
      <c r="O100" s="18"/>
      <c r="Q100" s="19"/>
      <c r="R100" s="19"/>
      <c r="S100" s="44"/>
      <c r="T100" s="19"/>
      <c r="U100" s="56"/>
      <c r="V100" s="19"/>
      <c r="W100" s="56"/>
      <c r="X100" s="19"/>
      <c r="Y100" s="19"/>
      <c r="Z100" s="19"/>
      <c r="AA100" s="44"/>
      <c r="AB100" s="19"/>
      <c r="AC100" s="56"/>
      <c r="AD100" s="19"/>
      <c r="AE100" s="56"/>
      <c r="AF100" s="56"/>
      <c r="AG100" s="19"/>
      <c r="AH100" s="56"/>
      <c r="AI100" s="56"/>
      <c r="AJ100" s="19"/>
      <c r="AK100" s="56"/>
      <c r="AL100" s="56"/>
      <c r="AM100" s="19"/>
      <c r="AN100" s="56"/>
      <c r="AO100" s="56"/>
      <c r="AP100" s="56"/>
      <c r="AQ100" s="56"/>
      <c r="AR100" s="56"/>
      <c r="AS100" s="56"/>
      <c r="AT100" s="56"/>
    </row>
    <row r="101" spans="9:46" x14ac:dyDescent="0.2">
      <c r="I101" s="18"/>
      <c r="J101" s="19"/>
      <c r="K101" s="19"/>
      <c r="L101" s="19"/>
      <c r="M101" s="19"/>
      <c r="N101" s="19"/>
      <c r="O101" s="18"/>
      <c r="Q101" s="19"/>
      <c r="R101" s="19"/>
      <c r="S101" s="44"/>
      <c r="T101" s="19"/>
      <c r="U101" s="56"/>
      <c r="V101" s="19"/>
      <c r="W101" s="56"/>
      <c r="X101" s="19"/>
      <c r="Y101" s="19"/>
      <c r="Z101" s="19"/>
      <c r="AA101" s="44"/>
      <c r="AB101" s="19"/>
      <c r="AC101" s="56"/>
      <c r="AD101" s="19"/>
      <c r="AE101" s="56"/>
      <c r="AF101" s="56"/>
      <c r="AG101" s="19"/>
      <c r="AH101" s="56"/>
      <c r="AI101" s="56"/>
      <c r="AJ101" s="19"/>
      <c r="AK101" s="56"/>
      <c r="AL101" s="56"/>
      <c r="AM101" s="19"/>
      <c r="AN101" s="56"/>
      <c r="AO101" s="56"/>
      <c r="AP101" s="56"/>
      <c r="AQ101" s="56"/>
      <c r="AR101" s="56"/>
      <c r="AS101" s="56"/>
      <c r="AT101" s="56"/>
    </row>
    <row r="102" spans="9:46" x14ac:dyDescent="0.2">
      <c r="I102" s="18"/>
      <c r="J102" s="19"/>
      <c r="K102" s="19"/>
      <c r="L102" s="19"/>
      <c r="M102" s="19"/>
      <c r="N102" s="19"/>
      <c r="O102" s="18"/>
      <c r="Q102" s="19"/>
      <c r="R102" s="19"/>
      <c r="S102" s="44"/>
      <c r="T102" s="19"/>
      <c r="U102" s="56"/>
      <c r="V102" s="19"/>
      <c r="W102" s="56"/>
      <c r="X102" s="19"/>
      <c r="Y102" s="19"/>
      <c r="Z102" s="19"/>
      <c r="AA102" s="44"/>
      <c r="AB102" s="19"/>
      <c r="AC102" s="56"/>
      <c r="AD102" s="19"/>
      <c r="AE102" s="56"/>
      <c r="AF102" s="56"/>
      <c r="AG102" s="19"/>
      <c r="AH102" s="56"/>
      <c r="AI102" s="56"/>
      <c r="AJ102" s="19"/>
      <c r="AK102" s="56"/>
      <c r="AL102" s="56"/>
      <c r="AM102" s="19"/>
      <c r="AN102" s="56"/>
      <c r="AO102" s="56"/>
      <c r="AP102" s="56"/>
      <c r="AQ102" s="56"/>
      <c r="AR102" s="56"/>
      <c r="AS102" s="56"/>
      <c r="AT102" s="56"/>
    </row>
    <row r="103" spans="9:46" x14ac:dyDescent="0.2">
      <c r="I103" s="18"/>
      <c r="J103" s="19"/>
      <c r="K103" s="19"/>
      <c r="L103" s="19"/>
      <c r="M103" s="19"/>
      <c r="N103" s="19"/>
      <c r="O103" s="18"/>
      <c r="Q103" s="19"/>
      <c r="R103" s="19"/>
      <c r="S103" s="44"/>
      <c r="T103" s="19"/>
      <c r="U103" s="56"/>
      <c r="V103" s="19"/>
      <c r="W103" s="56"/>
      <c r="X103" s="19"/>
      <c r="Y103" s="19"/>
      <c r="Z103" s="19"/>
      <c r="AA103" s="44"/>
      <c r="AB103" s="19"/>
      <c r="AC103" s="56"/>
      <c r="AD103" s="19"/>
      <c r="AE103" s="56"/>
      <c r="AF103" s="56"/>
      <c r="AG103" s="19"/>
      <c r="AH103" s="56"/>
      <c r="AI103" s="56"/>
      <c r="AJ103" s="19"/>
      <c r="AK103" s="56"/>
      <c r="AL103" s="56"/>
      <c r="AM103" s="19"/>
      <c r="AN103" s="56"/>
      <c r="AO103" s="56"/>
      <c r="AP103" s="56"/>
      <c r="AQ103" s="56"/>
      <c r="AR103" s="56"/>
      <c r="AS103" s="56"/>
      <c r="AT103" s="56"/>
    </row>
    <row r="104" spans="9:46" x14ac:dyDescent="0.2">
      <c r="I104" s="18"/>
      <c r="J104" s="19"/>
      <c r="K104" s="19"/>
      <c r="L104" s="19"/>
      <c r="M104" s="19"/>
      <c r="N104" s="19"/>
      <c r="O104" s="18"/>
      <c r="Q104" s="19"/>
      <c r="R104" s="19"/>
      <c r="S104" s="44"/>
      <c r="T104" s="19"/>
      <c r="U104" s="56"/>
      <c r="V104" s="19"/>
      <c r="W104" s="56"/>
      <c r="X104" s="19"/>
      <c r="Y104" s="19"/>
      <c r="Z104" s="19"/>
      <c r="AA104" s="44"/>
      <c r="AB104" s="19"/>
      <c r="AC104" s="56"/>
      <c r="AD104" s="19"/>
      <c r="AE104" s="56"/>
      <c r="AF104" s="56"/>
      <c r="AG104" s="19"/>
      <c r="AH104" s="56"/>
      <c r="AI104" s="56"/>
      <c r="AJ104" s="19"/>
      <c r="AK104" s="56"/>
      <c r="AL104" s="56"/>
      <c r="AM104" s="19"/>
      <c r="AN104" s="56"/>
      <c r="AO104" s="56"/>
      <c r="AP104" s="56"/>
      <c r="AQ104" s="56"/>
      <c r="AR104" s="56"/>
      <c r="AS104" s="56"/>
      <c r="AT104" s="56"/>
    </row>
    <row r="105" spans="9:46" x14ac:dyDescent="0.2">
      <c r="I105" s="18"/>
      <c r="J105" s="19"/>
      <c r="K105" s="19"/>
      <c r="L105" s="19"/>
      <c r="M105" s="19"/>
      <c r="N105" s="19"/>
      <c r="O105" s="18"/>
      <c r="Q105" s="19"/>
      <c r="R105" s="19"/>
      <c r="S105" s="44"/>
      <c r="T105" s="19"/>
      <c r="U105" s="56"/>
      <c r="V105" s="19"/>
      <c r="W105" s="56"/>
      <c r="X105" s="19"/>
      <c r="Y105" s="19"/>
      <c r="Z105" s="19"/>
      <c r="AA105" s="44"/>
      <c r="AB105" s="19"/>
      <c r="AC105" s="56"/>
      <c r="AD105" s="19"/>
      <c r="AE105" s="56"/>
      <c r="AF105" s="56"/>
      <c r="AG105" s="19"/>
      <c r="AH105" s="56"/>
      <c r="AI105" s="56"/>
      <c r="AJ105" s="19"/>
      <c r="AK105" s="56"/>
      <c r="AL105" s="56"/>
      <c r="AM105" s="19"/>
      <c r="AN105" s="56"/>
      <c r="AO105" s="56"/>
      <c r="AP105" s="56"/>
      <c r="AQ105" s="56"/>
      <c r="AR105" s="56"/>
      <c r="AS105" s="56"/>
      <c r="AT105" s="56"/>
    </row>
    <row r="106" spans="9:46" x14ac:dyDescent="0.2">
      <c r="I106" s="18"/>
      <c r="J106" s="19"/>
      <c r="K106" s="19"/>
      <c r="L106" s="19"/>
      <c r="M106" s="19"/>
      <c r="N106" s="19"/>
      <c r="O106" s="18"/>
      <c r="Q106" s="19"/>
      <c r="R106" s="19"/>
      <c r="S106" s="44"/>
      <c r="T106" s="19"/>
      <c r="U106" s="56"/>
      <c r="V106" s="19"/>
      <c r="W106" s="56"/>
      <c r="X106" s="19"/>
      <c r="Y106" s="19"/>
      <c r="Z106" s="19"/>
      <c r="AA106" s="44"/>
      <c r="AB106" s="19"/>
      <c r="AC106" s="56"/>
      <c r="AD106" s="19"/>
      <c r="AE106" s="56"/>
      <c r="AF106" s="56"/>
      <c r="AG106" s="19"/>
      <c r="AH106" s="56"/>
      <c r="AI106" s="56"/>
      <c r="AJ106" s="19"/>
      <c r="AK106" s="56"/>
      <c r="AL106" s="56"/>
      <c r="AM106" s="19"/>
      <c r="AN106" s="56"/>
      <c r="AO106" s="56"/>
      <c r="AP106" s="56"/>
      <c r="AQ106" s="56"/>
      <c r="AR106" s="56"/>
      <c r="AS106" s="56"/>
      <c r="AT106" s="56"/>
    </row>
    <row r="107" spans="9:46" x14ac:dyDescent="0.2">
      <c r="I107" s="18"/>
      <c r="J107" s="19"/>
      <c r="K107" s="19"/>
      <c r="L107" s="19"/>
      <c r="M107" s="19"/>
      <c r="N107" s="19"/>
      <c r="O107" s="18"/>
      <c r="Q107" s="19"/>
      <c r="R107" s="19"/>
      <c r="S107" s="44"/>
      <c r="T107" s="19"/>
      <c r="U107" s="56"/>
      <c r="V107" s="19"/>
      <c r="W107" s="56"/>
      <c r="X107" s="19"/>
      <c r="Y107" s="19"/>
      <c r="Z107" s="19"/>
      <c r="AA107" s="44"/>
      <c r="AB107" s="19"/>
      <c r="AC107" s="56"/>
      <c r="AD107" s="19"/>
      <c r="AE107" s="56"/>
      <c r="AF107" s="56"/>
      <c r="AG107" s="19"/>
      <c r="AH107" s="56"/>
      <c r="AI107" s="56"/>
      <c r="AJ107" s="19"/>
      <c r="AK107" s="56"/>
      <c r="AL107" s="56"/>
      <c r="AM107" s="19"/>
      <c r="AN107" s="56"/>
      <c r="AO107" s="56"/>
      <c r="AP107" s="56"/>
      <c r="AQ107" s="56"/>
      <c r="AR107" s="56"/>
      <c r="AS107" s="56"/>
      <c r="AT107" s="56"/>
    </row>
    <row r="108" spans="9:46" x14ac:dyDescent="0.2">
      <c r="I108" s="18"/>
      <c r="J108" s="19"/>
      <c r="K108" s="19"/>
      <c r="L108" s="19"/>
      <c r="M108" s="19"/>
      <c r="N108" s="19"/>
      <c r="O108" s="18"/>
      <c r="Q108" s="19"/>
      <c r="R108" s="19"/>
      <c r="S108" s="44"/>
      <c r="T108" s="19"/>
      <c r="U108" s="56"/>
      <c r="V108" s="19"/>
      <c r="W108" s="56"/>
      <c r="X108" s="19"/>
      <c r="Y108" s="19"/>
      <c r="Z108" s="19"/>
      <c r="AA108" s="44"/>
      <c r="AB108" s="19"/>
      <c r="AC108" s="56"/>
      <c r="AD108" s="19"/>
      <c r="AE108" s="56"/>
      <c r="AF108" s="56"/>
      <c r="AG108" s="19"/>
      <c r="AH108" s="56"/>
      <c r="AI108" s="56"/>
      <c r="AJ108" s="19"/>
      <c r="AK108" s="56"/>
      <c r="AL108" s="56"/>
      <c r="AM108" s="19"/>
      <c r="AN108" s="56"/>
      <c r="AO108" s="56"/>
      <c r="AP108" s="56"/>
      <c r="AQ108" s="56"/>
      <c r="AR108" s="56"/>
      <c r="AS108" s="56"/>
      <c r="AT108" s="56"/>
    </row>
    <row r="109" spans="9:46" x14ac:dyDescent="0.2">
      <c r="I109" s="18"/>
      <c r="J109" s="19"/>
      <c r="K109" s="19"/>
      <c r="L109" s="19"/>
      <c r="M109" s="19"/>
      <c r="N109" s="19"/>
      <c r="O109" s="18"/>
      <c r="Q109" s="19"/>
      <c r="R109" s="19"/>
      <c r="S109" s="44"/>
      <c r="T109" s="19"/>
      <c r="U109" s="56"/>
      <c r="V109" s="19"/>
      <c r="W109" s="56"/>
      <c r="X109" s="19"/>
      <c r="Y109" s="19"/>
      <c r="Z109" s="19"/>
      <c r="AA109" s="44"/>
      <c r="AB109" s="19"/>
      <c r="AC109" s="56"/>
      <c r="AD109" s="19"/>
      <c r="AE109" s="56"/>
      <c r="AF109" s="56"/>
      <c r="AG109" s="19"/>
      <c r="AH109" s="56"/>
      <c r="AI109" s="56"/>
      <c r="AJ109" s="19"/>
      <c r="AK109" s="56"/>
      <c r="AL109" s="56"/>
      <c r="AM109" s="19"/>
      <c r="AN109" s="56"/>
      <c r="AO109" s="56"/>
      <c r="AP109" s="56"/>
      <c r="AQ109" s="56"/>
      <c r="AR109" s="56"/>
      <c r="AS109" s="56"/>
      <c r="AT109" s="56"/>
    </row>
    <row r="110" spans="9:46" x14ac:dyDescent="0.2">
      <c r="I110" s="18"/>
      <c r="J110" s="19"/>
      <c r="K110" s="19"/>
      <c r="L110" s="19"/>
      <c r="M110" s="19"/>
      <c r="N110" s="19"/>
      <c r="O110" s="18"/>
      <c r="Q110" s="19"/>
      <c r="R110" s="19"/>
      <c r="S110" s="44"/>
      <c r="T110" s="19"/>
      <c r="U110" s="56"/>
      <c r="V110" s="19"/>
      <c r="W110" s="56"/>
      <c r="X110" s="19"/>
      <c r="Y110" s="19"/>
      <c r="Z110" s="19"/>
      <c r="AA110" s="44"/>
      <c r="AB110" s="19"/>
      <c r="AC110" s="56"/>
      <c r="AD110" s="19"/>
      <c r="AE110" s="56"/>
      <c r="AF110" s="56"/>
      <c r="AG110" s="19"/>
      <c r="AH110" s="56"/>
      <c r="AI110" s="56"/>
      <c r="AJ110" s="19"/>
      <c r="AK110" s="56"/>
      <c r="AL110" s="56"/>
      <c r="AM110" s="19"/>
      <c r="AN110" s="56"/>
      <c r="AO110" s="56"/>
      <c r="AP110" s="56"/>
      <c r="AQ110" s="56"/>
      <c r="AR110" s="56"/>
      <c r="AS110" s="56"/>
      <c r="AT110" s="56"/>
    </row>
    <row r="111" spans="9:46" x14ac:dyDescent="0.2">
      <c r="I111" s="18"/>
      <c r="J111" s="19"/>
      <c r="K111" s="19"/>
      <c r="L111" s="19"/>
      <c r="M111" s="19"/>
      <c r="N111" s="19"/>
      <c r="O111" s="18"/>
      <c r="Q111" s="19"/>
      <c r="R111" s="19"/>
      <c r="S111" s="44"/>
      <c r="T111" s="19"/>
      <c r="U111" s="56"/>
      <c r="V111" s="19"/>
      <c r="W111" s="56"/>
      <c r="X111" s="19"/>
      <c r="Y111" s="19"/>
      <c r="Z111" s="19"/>
      <c r="AA111" s="44"/>
      <c r="AB111" s="19"/>
      <c r="AC111" s="56"/>
      <c r="AD111" s="19"/>
      <c r="AE111" s="56"/>
      <c r="AF111" s="56"/>
      <c r="AG111" s="19"/>
      <c r="AH111" s="56"/>
      <c r="AI111" s="56"/>
      <c r="AJ111" s="19"/>
      <c r="AK111" s="56"/>
      <c r="AL111" s="56"/>
      <c r="AM111" s="19"/>
      <c r="AN111" s="56"/>
      <c r="AO111" s="56"/>
      <c r="AP111" s="56"/>
      <c r="AQ111" s="56"/>
      <c r="AR111" s="56"/>
      <c r="AS111" s="56"/>
      <c r="AT111" s="56"/>
    </row>
    <row r="112" spans="9:46" x14ac:dyDescent="0.2">
      <c r="I112" s="18"/>
      <c r="J112" s="19"/>
      <c r="K112" s="19"/>
      <c r="L112" s="19"/>
      <c r="M112" s="19"/>
      <c r="N112" s="19"/>
      <c r="O112" s="18"/>
      <c r="Q112" s="19"/>
      <c r="R112" s="19"/>
      <c r="S112" s="44"/>
      <c r="T112" s="19"/>
      <c r="U112" s="56"/>
      <c r="V112" s="19"/>
      <c r="W112" s="56"/>
      <c r="X112" s="19"/>
      <c r="Y112" s="19"/>
      <c r="Z112" s="19"/>
      <c r="AA112" s="44"/>
      <c r="AB112" s="19"/>
      <c r="AC112" s="56"/>
      <c r="AD112" s="19"/>
      <c r="AE112" s="56"/>
      <c r="AF112" s="56"/>
      <c r="AG112" s="19"/>
      <c r="AH112" s="56"/>
      <c r="AI112" s="56"/>
      <c r="AJ112" s="19"/>
      <c r="AK112" s="56"/>
      <c r="AL112" s="56"/>
      <c r="AM112" s="19"/>
      <c r="AN112" s="56"/>
      <c r="AO112" s="56"/>
      <c r="AP112" s="56"/>
      <c r="AQ112" s="56"/>
      <c r="AR112" s="56"/>
      <c r="AS112" s="56"/>
      <c r="AT112" s="56"/>
    </row>
    <row r="113" spans="9:46" x14ac:dyDescent="0.2">
      <c r="I113" s="18"/>
      <c r="J113" s="19"/>
      <c r="K113" s="19"/>
      <c r="L113" s="19"/>
      <c r="M113" s="19"/>
      <c r="N113" s="19"/>
      <c r="O113" s="18"/>
      <c r="Q113" s="19"/>
      <c r="R113" s="19"/>
      <c r="S113" s="44"/>
      <c r="T113" s="19"/>
      <c r="U113" s="56"/>
      <c r="V113" s="19"/>
      <c r="W113" s="56"/>
      <c r="X113" s="19"/>
      <c r="Y113" s="19"/>
      <c r="Z113" s="19"/>
      <c r="AA113" s="44"/>
      <c r="AB113" s="19"/>
      <c r="AC113" s="56"/>
      <c r="AD113" s="19"/>
      <c r="AE113" s="56"/>
      <c r="AF113" s="56"/>
      <c r="AG113" s="19"/>
      <c r="AH113" s="56"/>
      <c r="AI113" s="56"/>
      <c r="AJ113" s="19"/>
      <c r="AK113" s="56"/>
      <c r="AL113" s="56"/>
      <c r="AM113" s="19"/>
      <c r="AN113" s="56"/>
      <c r="AO113" s="56"/>
      <c r="AP113" s="56"/>
      <c r="AQ113" s="56"/>
      <c r="AR113" s="56"/>
      <c r="AS113" s="56"/>
      <c r="AT113" s="56"/>
    </row>
    <row r="114" spans="9:46" x14ac:dyDescent="0.2">
      <c r="I114" s="18"/>
      <c r="J114" s="19"/>
      <c r="K114" s="19"/>
      <c r="L114" s="19"/>
      <c r="M114" s="19"/>
      <c r="N114" s="19"/>
      <c r="O114" s="18"/>
      <c r="Q114" s="19"/>
      <c r="R114" s="19"/>
      <c r="S114" s="44"/>
      <c r="T114" s="19"/>
      <c r="U114" s="56"/>
      <c r="V114" s="19"/>
      <c r="W114" s="56"/>
      <c r="X114" s="19"/>
      <c r="Y114" s="19"/>
      <c r="Z114" s="19"/>
      <c r="AA114" s="44"/>
      <c r="AB114" s="19"/>
      <c r="AC114" s="56"/>
      <c r="AD114" s="19"/>
      <c r="AE114" s="56"/>
      <c r="AF114" s="56"/>
      <c r="AG114" s="19"/>
      <c r="AH114" s="56"/>
      <c r="AI114" s="56"/>
      <c r="AJ114" s="19"/>
      <c r="AK114" s="56"/>
      <c r="AL114" s="56"/>
      <c r="AM114" s="19"/>
      <c r="AN114" s="56"/>
      <c r="AO114" s="56"/>
      <c r="AP114" s="56"/>
      <c r="AQ114" s="56"/>
      <c r="AR114" s="56"/>
      <c r="AS114" s="56"/>
      <c r="AT114" s="56"/>
    </row>
    <row r="115" spans="9:46" x14ac:dyDescent="0.2">
      <c r="I115" s="18"/>
      <c r="J115" s="19"/>
      <c r="K115" s="19"/>
      <c r="L115" s="19"/>
      <c r="M115" s="19"/>
      <c r="N115" s="19"/>
      <c r="O115" s="18"/>
      <c r="Q115" s="19"/>
      <c r="R115" s="19"/>
      <c r="S115" s="44"/>
      <c r="T115" s="19"/>
      <c r="U115" s="56"/>
      <c r="V115" s="19"/>
      <c r="W115" s="56"/>
      <c r="X115" s="19"/>
      <c r="Y115" s="19"/>
      <c r="Z115" s="19"/>
      <c r="AA115" s="44"/>
      <c r="AB115" s="19"/>
      <c r="AC115" s="56"/>
      <c r="AD115" s="19"/>
      <c r="AE115" s="56"/>
      <c r="AF115" s="56"/>
      <c r="AG115" s="19"/>
      <c r="AH115" s="56"/>
      <c r="AI115" s="56"/>
      <c r="AJ115" s="19"/>
      <c r="AK115" s="56"/>
      <c r="AL115" s="56"/>
      <c r="AM115" s="19"/>
      <c r="AN115" s="56"/>
      <c r="AO115" s="56"/>
      <c r="AP115" s="56"/>
      <c r="AQ115" s="56"/>
      <c r="AR115" s="56"/>
      <c r="AS115" s="56"/>
      <c r="AT115" s="56"/>
    </row>
    <row r="116" spans="9:46" x14ac:dyDescent="0.2">
      <c r="I116" s="18"/>
      <c r="J116" s="19"/>
      <c r="K116" s="19"/>
      <c r="L116" s="19"/>
      <c r="M116" s="19"/>
      <c r="N116" s="19"/>
      <c r="O116" s="18"/>
      <c r="Q116" s="19"/>
      <c r="R116" s="19"/>
      <c r="S116" s="44"/>
      <c r="T116" s="19"/>
      <c r="U116" s="56"/>
      <c r="V116" s="19"/>
      <c r="W116" s="56"/>
      <c r="X116" s="19"/>
      <c r="Y116" s="19"/>
      <c r="Z116" s="19"/>
      <c r="AA116" s="44"/>
      <c r="AB116" s="19"/>
      <c r="AC116" s="56"/>
      <c r="AD116" s="19"/>
      <c r="AE116" s="56"/>
      <c r="AF116" s="56"/>
      <c r="AG116" s="19"/>
      <c r="AH116" s="56"/>
      <c r="AI116" s="56"/>
      <c r="AJ116" s="19"/>
      <c r="AK116" s="56"/>
      <c r="AL116" s="56"/>
      <c r="AM116" s="19"/>
      <c r="AN116" s="56"/>
      <c r="AO116" s="56"/>
      <c r="AP116" s="56"/>
      <c r="AQ116" s="56"/>
      <c r="AR116" s="56"/>
      <c r="AS116" s="56"/>
      <c r="AT116" s="56"/>
    </row>
    <row r="117" spans="9:46" x14ac:dyDescent="0.2">
      <c r="I117" s="18"/>
      <c r="J117" s="19"/>
      <c r="K117" s="19"/>
      <c r="L117" s="19"/>
      <c r="M117" s="19"/>
      <c r="N117" s="19"/>
      <c r="O117" s="18"/>
      <c r="Q117" s="19"/>
      <c r="R117" s="19"/>
      <c r="S117" s="44"/>
      <c r="T117" s="19"/>
      <c r="U117" s="56"/>
      <c r="V117" s="19"/>
      <c r="W117" s="56"/>
      <c r="X117" s="19"/>
      <c r="Y117" s="19"/>
      <c r="Z117" s="19"/>
      <c r="AA117" s="44"/>
      <c r="AB117" s="19"/>
      <c r="AC117" s="56"/>
      <c r="AD117" s="19"/>
      <c r="AE117" s="56"/>
      <c r="AF117" s="56"/>
      <c r="AG117" s="19"/>
      <c r="AH117" s="56"/>
      <c r="AI117" s="56"/>
      <c r="AJ117" s="19"/>
      <c r="AK117" s="56"/>
      <c r="AL117" s="56"/>
      <c r="AM117" s="19"/>
      <c r="AN117" s="56"/>
      <c r="AO117" s="56"/>
      <c r="AP117" s="56"/>
      <c r="AQ117" s="56"/>
      <c r="AR117" s="56"/>
      <c r="AS117" s="56"/>
      <c r="AT117" s="56"/>
    </row>
    <row r="118" spans="9:46" x14ac:dyDescent="0.2">
      <c r="I118" s="18"/>
      <c r="J118" s="19"/>
      <c r="K118" s="19"/>
      <c r="L118" s="19"/>
      <c r="M118" s="19"/>
      <c r="N118" s="19"/>
      <c r="O118" s="18"/>
      <c r="Q118" s="19"/>
      <c r="R118" s="19"/>
      <c r="S118" s="44"/>
      <c r="T118" s="19"/>
      <c r="U118" s="56"/>
      <c r="V118" s="19"/>
      <c r="W118" s="56"/>
      <c r="X118" s="19"/>
      <c r="Y118" s="19"/>
      <c r="Z118" s="19"/>
      <c r="AA118" s="44"/>
      <c r="AB118" s="19"/>
      <c r="AC118" s="56"/>
      <c r="AD118" s="19"/>
      <c r="AE118" s="56"/>
      <c r="AF118" s="56"/>
      <c r="AG118" s="19"/>
      <c r="AH118" s="56"/>
      <c r="AI118" s="56"/>
      <c r="AJ118" s="19"/>
      <c r="AK118" s="56"/>
      <c r="AL118" s="56"/>
      <c r="AM118" s="19"/>
      <c r="AN118" s="56"/>
      <c r="AO118" s="56"/>
      <c r="AP118" s="56"/>
      <c r="AQ118" s="56"/>
      <c r="AR118" s="56"/>
      <c r="AS118" s="56"/>
      <c r="AT118" s="56"/>
    </row>
    <row r="119" spans="9:46" x14ac:dyDescent="0.2">
      <c r="I119" s="18"/>
      <c r="J119" s="19"/>
      <c r="K119" s="19"/>
      <c r="L119" s="19"/>
      <c r="M119" s="19"/>
      <c r="N119" s="19"/>
      <c r="O119" s="18"/>
      <c r="Q119" s="19"/>
      <c r="R119" s="19"/>
      <c r="S119" s="44"/>
      <c r="T119" s="19"/>
      <c r="U119" s="56"/>
      <c r="V119" s="19"/>
      <c r="W119" s="56"/>
      <c r="X119" s="19"/>
      <c r="Y119" s="19"/>
      <c r="Z119" s="19"/>
      <c r="AA119" s="44"/>
      <c r="AB119" s="19"/>
      <c r="AC119" s="56"/>
      <c r="AD119" s="19"/>
      <c r="AE119" s="56"/>
      <c r="AF119" s="56"/>
      <c r="AG119" s="19"/>
      <c r="AH119" s="56"/>
      <c r="AI119" s="56"/>
      <c r="AJ119" s="19"/>
      <c r="AK119" s="56"/>
      <c r="AL119" s="56"/>
      <c r="AM119" s="19"/>
      <c r="AN119" s="56"/>
      <c r="AO119" s="56"/>
      <c r="AP119" s="56"/>
      <c r="AQ119" s="56"/>
      <c r="AR119" s="56"/>
      <c r="AS119" s="56"/>
      <c r="AT119" s="56"/>
    </row>
    <row r="120" spans="9:46" x14ac:dyDescent="0.2">
      <c r="I120" s="18"/>
      <c r="J120" s="19"/>
      <c r="K120" s="19"/>
      <c r="L120" s="19"/>
      <c r="M120" s="19"/>
      <c r="N120" s="19"/>
      <c r="O120" s="18"/>
      <c r="Q120" s="19"/>
      <c r="R120" s="19"/>
      <c r="S120" s="44"/>
      <c r="T120" s="19"/>
      <c r="U120" s="56"/>
      <c r="V120" s="19"/>
      <c r="W120" s="56"/>
      <c r="X120" s="19"/>
      <c r="Y120" s="19"/>
      <c r="Z120" s="19"/>
      <c r="AA120" s="44"/>
      <c r="AB120" s="19"/>
      <c r="AC120" s="56"/>
      <c r="AD120" s="19"/>
      <c r="AE120" s="56"/>
      <c r="AF120" s="56"/>
      <c r="AG120" s="19"/>
      <c r="AH120" s="56"/>
      <c r="AI120" s="56"/>
      <c r="AJ120" s="19"/>
      <c r="AK120" s="56"/>
      <c r="AL120" s="56"/>
      <c r="AM120" s="19"/>
      <c r="AN120" s="56"/>
      <c r="AO120" s="56"/>
      <c r="AP120" s="56"/>
      <c r="AQ120" s="56"/>
      <c r="AR120" s="56"/>
      <c r="AS120" s="56"/>
      <c r="AT120" s="56"/>
    </row>
    <row r="121" spans="9:46" x14ac:dyDescent="0.2">
      <c r="I121" s="18"/>
      <c r="J121" s="19"/>
      <c r="K121" s="19"/>
      <c r="L121" s="19"/>
      <c r="M121" s="19"/>
      <c r="N121" s="19"/>
      <c r="O121" s="18"/>
      <c r="Q121" s="19"/>
      <c r="R121" s="19"/>
      <c r="S121" s="44"/>
      <c r="T121" s="19"/>
      <c r="U121" s="56"/>
      <c r="V121" s="19"/>
      <c r="W121" s="56"/>
      <c r="X121" s="19"/>
      <c r="Y121" s="19"/>
      <c r="Z121" s="19"/>
      <c r="AA121" s="44"/>
      <c r="AB121" s="19"/>
      <c r="AC121" s="56"/>
      <c r="AD121" s="19"/>
      <c r="AE121" s="56"/>
      <c r="AF121" s="56"/>
      <c r="AG121" s="19"/>
      <c r="AH121" s="56"/>
      <c r="AI121" s="56"/>
      <c r="AJ121" s="19"/>
      <c r="AK121" s="56"/>
      <c r="AL121" s="56"/>
      <c r="AM121" s="19"/>
      <c r="AN121" s="56"/>
      <c r="AO121" s="56"/>
      <c r="AP121" s="56"/>
      <c r="AQ121" s="56"/>
      <c r="AR121" s="56"/>
      <c r="AS121" s="56"/>
      <c r="AT121" s="56"/>
    </row>
    <row r="122" spans="9:46" x14ac:dyDescent="0.2">
      <c r="I122" s="18"/>
      <c r="J122" s="19"/>
      <c r="K122" s="19"/>
      <c r="L122" s="19"/>
      <c r="M122" s="19"/>
      <c r="N122" s="19"/>
      <c r="O122" s="18"/>
      <c r="Q122" s="19"/>
      <c r="R122" s="19"/>
      <c r="S122" s="44"/>
      <c r="T122" s="19"/>
      <c r="U122" s="56"/>
      <c r="V122" s="19"/>
      <c r="W122" s="56"/>
      <c r="X122" s="19"/>
      <c r="Y122" s="19"/>
      <c r="Z122" s="19"/>
      <c r="AA122" s="44"/>
      <c r="AB122" s="19"/>
      <c r="AC122" s="56"/>
      <c r="AD122" s="19"/>
      <c r="AE122" s="56"/>
      <c r="AF122" s="56"/>
      <c r="AG122" s="19"/>
      <c r="AH122" s="56"/>
      <c r="AI122" s="56"/>
      <c r="AJ122" s="19"/>
      <c r="AK122" s="56"/>
      <c r="AL122" s="56"/>
      <c r="AM122" s="19"/>
      <c r="AN122" s="56"/>
      <c r="AO122" s="56"/>
      <c r="AP122" s="56"/>
      <c r="AQ122" s="56"/>
      <c r="AR122" s="56"/>
      <c r="AS122" s="56"/>
      <c r="AT122" s="56"/>
    </row>
    <row r="123" spans="9:46" x14ac:dyDescent="0.2">
      <c r="I123" s="18"/>
      <c r="J123" s="19"/>
      <c r="K123" s="19"/>
      <c r="L123" s="19"/>
      <c r="M123" s="19"/>
      <c r="N123" s="19"/>
      <c r="O123" s="18"/>
      <c r="Q123" s="19"/>
      <c r="R123" s="19"/>
      <c r="S123" s="44"/>
      <c r="T123" s="19"/>
      <c r="U123" s="56"/>
      <c r="V123" s="19"/>
      <c r="W123" s="56"/>
      <c r="X123" s="19"/>
      <c r="Y123" s="19"/>
      <c r="Z123" s="19"/>
      <c r="AA123" s="44"/>
      <c r="AB123" s="19"/>
      <c r="AC123" s="56"/>
      <c r="AD123" s="19"/>
      <c r="AE123" s="56"/>
      <c r="AF123" s="56"/>
      <c r="AG123" s="19"/>
      <c r="AH123" s="56"/>
      <c r="AI123" s="56"/>
      <c r="AJ123" s="19"/>
      <c r="AK123" s="56"/>
      <c r="AL123" s="56"/>
      <c r="AM123" s="19"/>
      <c r="AN123" s="56"/>
      <c r="AO123" s="56"/>
      <c r="AP123" s="56"/>
      <c r="AQ123" s="56"/>
      <c r="AR123" s="56"/>
      <c r="AS123" s="56"/>
      <c r="AT123" s="56"/>
    </row>
    <row r="124" spans="9:46" x14ac:dyDescent="0.2">
      <c r="I124" s="18"/>
      <c r="J124" s="19"/>
      <c r="K124" s="19"/>
      <c r="L124" s="19"/>
      <c r="M124" s="19"/>
      <c r="N124" s="19"/>
      <c r="O124" s="18"/>
      <c r="Q124" s="19"/>
      <c r="R124" s="19"/>
      <c r="S124" s="44"/>
      <c r="T124" s="19"/>
      <c r="U124" s="56"/>
      <c r="V124" s="19"/>
      <c r="W124" s="56"/>
      <c r="X124" s="19"/>
      <c r="Y124" s="19"/>
      <c r="Z124" s="19"/>
      <c r="AA124" s="44"/>
      <c r="AB124" s="19"/>
      <c r="AC124" s="56"/>
      <c r="AD124" s="19"/>
      <c r="AE124" s="56"/>
      <c r="AF124" s="56"/>
      <c r="AG124" s="19"/>
      <c r="AH124" s="56"/>
      <c r="AI124" s="56"/>
      <c r="AJ124" s="19"/>
      <c r="AK124" s="56"/>
      <c r="AL124" s="56"/>
      <c r="AM124" s="19"/>
      <c r="AN124" s="56"/>
      <c r="AO124" s="56"/>
      <c r="AP124" s="56"/>
      <c r="AQ124" s="56"/>
      <c r="AR124" s="56"/>
      <c r="AS124" s="56"/>
      <c r="AT124" s="56"/>
    </row>
    <row r="125" spans="9:46" x14ac:dyDescent="0.2">
      <c r="I125" s="18"/>
      <c r="J125" s="19"/>
      <c r="K125" s="19"/>
      <c r="L125" s="19"/>
      <c r="M125" s="19"/>
      <c r="N125" s="19"/>
      <c r="O125" s="18"/>
      <c r="Q125" s="19"/>
      <c r="R125" s="19"/>
      <c r="S125" s="44"/>
      <c r="T125" s="19"/>
      <c r="U125" s="56"/>
      <c r="V125" s="19"/>
      <c r="W125" s="56"/>
      <c r="X125" s="19"/>
      <c r="Y125" s="19"/>
      <c r="Z125" s="19"/>
      <c r="AA125" s="44"/>
      <c r="AB125" s="19"/>
      <c r="AC125" s="56"/>
      <c r="AD125" s="19"/>
      <c r="AE125" s="56"/>
      <c r="AF125" s="56"/>
      <c r="AG125" s="19"/>
      <c r="AH125" s="56"/>
      <c r="AI125" s="56"/>
      <c r="AJ125" s="19"/>
      <c r="AK125" s="56"/>
      <c r="AL125" s="56"/>
      <c r="AM125" s="19"/>
      <c r="AN125" s="56"/>
      <c r="AO125" s="56"/>
      <c r="AP125" s="56"/>
      <c r="AQ125" s="56"/>
      <c r="AR125" s="56"/>
      <c r="AS125" s="56"/>
      <c r="AT125" s="56"/>
    </row>
    <row r="126" spans="9:46" x14ac:dyDescent="0.2">
      <c r="I126" s="18"/>
      <c r="J126" s="19"/>
      <c r="K126" s="19"/>
      <c r="L126" s="19"/>
      <c r="M126" s="19"/>
      <c r="N126" s="19"/>
      <c r="O126" s="18"/>
      <c r="Q126" s="19"/>
      <c r="R126" s="19"/>
      <c r="S126" s="44"/>
      <c r="T126" s="19"/>
      <c r="U126" s="56"/>
      <c r="V126" s="19"/>
      <c r="W126" s="56"/>
      <c r="X126" s="19"/>
      <c r="Y126" s="19"/>
      <c r="Z126" s="19"/>
      <c r="AA126" s="44"/>
      <c r="AB126" s="19"/>
      <c r="AC126" s="56"/>
      <c r="AD126" s="19"/>
      <c r="AE126" s="56"/>
      <c r="AF126" s="56"/>
      <c r="AG126" s="19"/>
      <c r="AH126" s="56"/>
      <c r="AI126" s="56"/>
      <c r="AJ126" s="19"/>
      <c r="AK126" s="56"/>
      <c r="AL126" s="56"/>
      <c r="AM126" s="19"/>
      <c r="AN126" s="56"/>
      <c r="AO126" s="56"/>
      <c r="AP126" s="56"/>
      <c r="AQ126" s="56"/>
      <c r="AR126" s="56"/>
      <c r="AS126" s="56"/>
      <c r="AT126" s="56"/>
    </row>
    <row r="127" spans="9:46" x14ac:dyDescent="0.2">
      <c r="I127" s="18"/>
      <c r="J127" s="19"/>
      <c r="K127" s="19"/>
      <c r="L127" s="19"/>
      <c r="M127" s="19"/>
      <c r="N127" s="19"/>
      <c r="O127" s="18"/>
      <c r="Q127" s="19"/>
      <c r="R127" s="19"/>
      <c r="S127" s="44"/>
      <c r="T127" s="19"/>
      <c r="U127" s="56"/>
      <c r="V127" s="19"/>
      <c r="W127" s="56"/>
      <c r="X127" s="19"/>
      <c r="Y127" s="19"/>
      <c r="Z127" s="19"/>
      <c r="AA127" s="44"/>
      <c r="AB127" s="19"/>
      <c r="AC127" s="56"/>
      <c r="AD127" s="19"/>
      <c r="AE127" s="56"/>
      <c r="AF127" s="56"/>
      <c r="AG127" s="19"/>
      <c r="AH127" s="56"/>
      <c r="AI127" s="56"/>
      <c r="AJ127" s="19"/>
      <c r="AK127" s="56"/>
      <c r="AL127" s="56"/>
      <c r="AM127" s="19"/>
      <c r="AN127" s="56"/>
      <c r="AO127" s="56"/>
      <c r="AP127" s="56"/>
      <c r="AQ127" s="56"/>
      <c r="AR127" s="56"/>
      <c r="AS127" s="56"/>
      <c r="AT127" s="56"/>
    </row>
    <row r="128" spans="9:46" x14ac:dyDescent="0.2">
      <c r="I128" s="18"/>
      <c r="J128" s="19"/>
      <c r="K128" s="19"/>
      <c r="L128" s="19"/>
      <c r="M128" s="19"/>
      <c r="N128" s="19"/>
      <c r="O128" s="18"/>
      <c r="Q128" s="19"/>
      <c r="R128" s="19"/>
      <c r="S128" s="44"/>
      <c r="T128" s="19"/>
      <c r="U128" s="56"/>
      <c r="V128" s="19"/>
      <c r="W128" s="56"/>
      <c r="X128" s="19"/>
      <c r="Y128" s="19"/>
      <c r="Z128" s="19"/>
      <c r="AA128" s="44"/>
      <c r="AB128" s="19"/>
      <c r="AC128" s="56"/>
      <c r="AD128" s="19"/>
      <c r="AE128" s="56"/>
      <c r="AF128" s="56"/>
      <c r="AG128" s="19"/>
      <c r="AH128" s="56"/>
      <c r="AI128" s="56"/>
      <c r="AJ128" s="19"/>
      <c r="AK128" s="56"/>
      <c r="AL128" s="56"/>
      <c r="AM128" s="19"/>
      <c r="AN128" s="56"/>
      <c r="AO128" s="56"/>
      <c r="AP128" s="56"/>
      <c r="AQ128" s="56"/>
      <c r="AR128" s="56"/>
      <c r="AS128" s="56"/>
      <c r="AT128" s="56"/>
    </row>
    <row r="129" spans="9:46" x14ac:dyDescent="0.2">
      <c r="I129" s="18"/>
      <c r="J129" s="19"/>
      <c r="K129" s="19"/>
      <c r="L129" s="19"/>
      <c r="M129" s="19"/>
      <c r="N129" s="19"/>
      <c r="O129" s="18"/>
      <c r="Q129" s="19"/>
      <c r="R129" s="19"/>
      <c r="S129" s="44"/>
      <c r="T129" s="19"/>
      <c r="U129" s="56"/>
      <c r="V129" s="19"/>
      <c r="W129" s="56"/>
      <c r="X129" s="19"/>
      <c r="Y129" s="19"/>
      <c r="Z129" s="19"/>
      <c r="AA129" s="44"/>
      <c r="AB129" s="19"/>
      <c r="AC129" s="56"/>
      <c r="AD129" s="19"/>
      <c r="AE129" s="56"/>
      <c r="AF129" s="56"/>
      <c r="AG129" s="19"/>
      <c r="AH129" s="56"/>
      <c r="AI129" s="56"/>
      <c r="AJ129" s="19"/>
      <c r="AK129" s="56"/>
      <c r="AL129" s="56"/>
      <c r="AM129" s="19"/>
      <c r="AN129" s="56"/>
      <c r="AO129" s="56"/>
      <c r="AP129" s="56"/>
      <c r="AQ129" s="56"/>
      <c r="AR129" s="56"/>
      <c r="AS129" s="56"/>
      <c r="AT129" s="56"/>
    </row>
    <row r="130" spans="9:46" x14ac:dyDescent="0.2">
      <c r="I130" s="18"/>
      <c r="J130" s="19"/>
      <c r="K130" s="19"/>
      <c r="L130" s="19"/>
      <c r="M130" s="19"/>
      <c r="N130" s="19"/>
      <c r="O130" s="18"/>
      <c r="Q130" s="19"/>
      <c r="R130" s="19"/>
      <c r="S130" s="44"/>
      <c r="T130" s="19"/>
      <c r="U130" s="56"/>
      <c r="V130" s="19"/>
      <c r="W130" s="56"/>
      <c r="X130" s="19"/>
      <c r="Y130" s="19"/>
      <c r="Z130" s="19"/>
      <c r="AA130" s="44"/>
      <c r="AB130" s="19"/>
      <c r="AC130" s="56"/>
      <c r="AD130" s="19"/>
      <c r="AE130" s="56"/>
      <c r="AF130" s="56"/>
      <c r="AG130" s="19"/>
      <c r="AH130" s="56"/>
      <c r="AI130" s="56"/>
      <c r="AJ130" s="19"/>
      <c r="AK130" s="56"/>
      <c r="AL130" s="56"/>
      <c r="AM130" s="19"/>
      <c r="AN130" s="56"/>
      <c r="AO130" s="56"/>
      <c r="AP130" s="56"/>
      <c r="AQ130" s="56"/>
      <c r="AR130" s="56"/>
      <c r="AS130" s="56"/>
      <c r="AT130" s="56"/>
    </row>
    <row r="131" spans="9:46" x14ac:dyDescent="0.2">
      <c r="I131" s="18"/>
      <c r="J131" s="19"/>
      <c r="K131" s="19"/>
      <c r="L131" s="19"/>
      <c r="M131" s="19"/>
      <c r="N131" s="19"/>
      <c r="O131" s="18"/>
      <c r="Q131" s="19"/>
      <c r="R131" s="19"/>
      <c r="S131" s="44"/>
      <c r="T131" s="19"/>
      <c r="U131" s="56"/>
      <c r="V131" s="19"/>
      <c r="W131" s="56"/>
      <c r="X131" s="19"/>
      <c r="Y131" s="19"/>
      <c r="Z131" s="19"/>
      <c r="AA131" s="44"/>
      <c r="AB131" s="19"/>
      <c r="AC131" s="56"/>
      <c r="AD131" s="19"/>
      <c r="AE131" s="56"/>
      <c r="AF131" s="56"/>
      <c r="AG131" s="19"/>
      <c r="AH131" s="56"/>
      <c r="AI131" s="56"/>
      <c r="AJ131" s="19"/>
      <c r="AK131" s="56"/>
      <c r="AL131" s="56"/>
      <c r="AM131" s="19"/>
      <c r="AN131" s="56"/>
      <c r="AO131" s="56"/>
      <c r="AP131" s="56"/>
      <c r="AQ131" s="56"/>
      <c r="AR131" s="56"/>
      <c r="AS131" s="56"/>
      <c r="AT131" s="56"/>
    </row>
    <row r="132" spans="9:46" x14ac:dyDescent="0.2">
      <c r="I132" s="18"/>
      <c r="J132" s="19"/>
      <c r="K132" s="19"/>
      <c r="L132" s="19"/>
      <c r="M132" s="19"/>
      <c r="N132" s="19"/>
      <c r="O132" s="18"/>
      <c r="Q132" s="19"/>
      <c r="R132" s="19"/>
      <c r="S132" s="44"/>
      <c r="T132" s="19"/>
      <c r="U132" s="56"/>
      <c r="V132" s="19"/>
      <c r="W132" s="56"/>
      <c r="X132" s="19"/>
      <c r="Y132" s="19"/>
      <c r="Z132" s="19"/>
      <c r="AA132" s="44"/>
      <c r="AB132" s="19"/>
      <c r="AC132" s="56"/>
      <c r="AD132" s="19"/>
      <c r="AE132" s="56"/>
      <c r="AF132" s="56"/>
      <c r="AG132" s="19"/>
      <c r="AH132" s="56"/>
      <c r="AI132" s="56"/>
      <c r="AJ132" s="19"/>
      <c r="AK132" s="56"/>
      <c r="AL132" s="56"/>
      <c r="AM132" s="19"/>
      <c r="AN132" s="56"/>
      <c r="AO132" s="56"/>
      <c r="AP132" s="56"/>
      <c r="AQ132" s="56"/>
      <c r="AR132" s="56"/>
      <c r="AS132" s="56"/>
      <c r="AT132" s="56"/>
    </row>
    <row r="133" spans="9:46" x14ac:dyDescent="0.2">
      <c r="I133" s="18"/>
      <c r="J133" s="19"/>
      <c r="K133" s="19"/>
      <c r="L133" s="19"/>
      <c r="M133" s="19"/>
      <c r="N133" s="19"/>
      <c r="O133" s="18"/>
      <c r="Q133" s="19"/>
      <c r="R133" s="19"/>
      <c r="S133" s="44"/>
      <c r="T133" s="19"/>
      <c r="U133" s="56"/>
      <c r="V133" s="19"/>
      <c r="W133" s="56"/>
      <c r="X133" s="19"/>
      <c r="Y133" s="19"/>
      <c r="Z133" s="19"/>
      <c r="AA133" s="44"/>
      <c r="AB133" s="19"/>
      <c r="AC133" s="56"/>
      <c r="AD133" s="19"/>
      <c r="AE133" s="56"/>
      <c r="AF133" s="56"/>
      <c r="AG133" s="19"/>
      <c r="AH133" s="56"/>
      <c r="AI133" s="56"/>
      <c r="AJ133" s="19"/>
      <c r="AK133" s="56"/>
      <c r="AL133" s="56"/>
      <c r="AM133" s="19"/>
      <c r="AN133" s="56"/>
      <c r="AO133" s="56"/>
      <c r="AP133" s="56"/>
      <c r="AQ133" s="56"/>
      <c r="AR133" s="56"/>
      <c r="AS133" s="56"/>
      <c r="AT133" s="56"/>
    </row>
    <row r="134" spans="9:46" x14ac:dyDescent="0.2">
      <c r="I134" s="18"/>
      <c r="J134" s="19"/>
      <c r="K134" s="19"/>
      <c r="L134" s="19"/>
      <c r="M134" s="19"/>
      <c r="N134" s="19"/>
      <c r="O134" s="18"/>
      <c r="Q134" s="19"/>
      <c r="R134" s="19"/>
      <c r="S134" s="44"/>
      <c r="T134" s="19"/>
      <c r="U134" s="56"/>
      <c r="V134" s="19"/>
      <c r="W134" s="56"/>
      <c r="X134" s="19"/>
      <c r="Y134" s="19"/>
      <c r="Z134" s="19"/>
      <c r="AA134" s="44"/>
      <c r="AB134" s="19"/>
      <c r="AC134" s="56"/>
      <c r="AD134" s="19"/>
      <c r="AE134" s="56"/>
      <c r="AF134" s="56"/>
      <c r="AG134" s="19"/>
      <c r="AH134" s="56"/>
      <c r="AI134" s="56"/>
      <c r="AJ134" s="19"/>
      <c r="AK134" s="56"/>
      <c r="AL134" s="56"/>
      <c r="AM134" s="19"/>
      <c r="AN134" s="56"/>
      <c r="AO134" s="56"/>
      <c r="AP134" s="56"/>
      <c r="AQ134" s="56"/>
      <c r="AR134" s="56"/>
      <c r="AS134" s="56"/>
      <c r="AT134" s="56"/>
    </row>
    <row r="135" spans="9:46" x14ac:dyDescent="0.2">
      <c r="I135" s="18"/>
      <c r="J135" s="19"/>
      <c r="K135" s="19"/>
      <c r="L135" s="19"/>
      <c r="M135" s="19"/>
      <c r="N135" s="19"/>
      <c r="O135" s="18"/>
      <c r="Q135" s="19"/>
      <c r="R135" s="19"/>
      <c r="S135" s="44"/>
      <c r="T135" s="19"/>
      <c r="U135" s="56"/>
      <c r="V135" s="19"/>
      <c r="W135" s="56"/>
      <c r="X135" s="19"/>
      <c r="Y135" s="19"/>
      <c r="Z135" s="19"/>
      <c r="AA135" s="44"/>
      <c r="AB135" s="19"/>
      <c r="AC135" s="56"/>
      <c r="AD135" s="19"/>
      <c r="AE135" s="56"/>
      <c r="AF135" s="56"/>
      <c r="AG135" s="19"/>
      <c r="AH135" s="56"/>
      <c r="AI135" s="56"/>
      <c r="AJ135" s="19"/>
      <c r="AK135" s="56"/>
      <c r="AL135" s="56"/>
      <c r="AM135" s="19"/>
      <c r="AN135" s="56"/>
      <c r="AO135" s="56"/>
      <c r="AP135" s="56"/>
      <c r="AQ135" s="56"/>
      <c r="AR135" s="56"/>
      <c r="AS135" s="56"/>
      <c r="AT135" s="56"/>
    </row>
    <row r="136" spans="9:46" x14ac:dyDescent="0.2">
      <c r="I136" s="18"/>
      <c r="J136" s="19"/>
      <c r="K136" s="19"/>
      <c r="L136" s="19"/>
      <c r="M136" s="19"/>
      <c r="N136" s="19"/>
      <c r="O136" s="18"/>
      <c r="Q136" s="19"/>
      <c r="R136" s="19"/>
      <c r="S136" s="44"/>
      <c r="T136" s="19"/>
      <c r="U136" s="56"/>
      <c r="V136" s="19"/>
      <c r="W136" s="56"/>
      <c r="X136" s="19"/>
      <c r="Y136" s="19"/>
      <c r="Z136" s="19"/>
      <c r="AA136" s="44"/>
      <c r="AB136" s="19"/>
      <c r="AC136" s="56"/>
      <c r="AD136" s="19"/>
      <c r="AE136" s="56"/>
      <c r="AF136" s="56"/>
      <c r="AG136" s="19"/>
      <c r="AH136" s="56"/>
      <c r="AI136" s="56"/>
      <c r="AJ136" s="19"/>
      <c r="AK136" s="56"/>
      <c r="AL136" s="56"/>
      <c r="AM136" s="19"/>
      <c r="AN136" s="56"/>
      <c r="AO136" s="56"/>
      <c r="AP136" s="56"/>
      <c r="AQ136" s="56"/>
      <c r="AR136" s="56"/>
      <c r="AS136" s="56"/>
      <c r="AT136" s="56"/>
    </row>
    <row r="137" spans="9:46" x14ac:dyDescent="0.2">
      <c r="I137" s="18"/>
      <c r="J137" s="19"/>
      <c r="K137" s="19"/>
      <c r="L137" s="19"/>
      <c r="M137" s="19"/>
      <c r="N137" s="19"/>
      <c r="O137" s="18"/>
      <c r="Q137" s="19"/>
      <c r="R137" s="19"/>
      <c r="S137" s="44"/>
      <c r="T137" s="19"/>
      <c r="U137" s="56"/>
      <c r="V137" s="19"/>
      <c r="W137" s="56"/>
      <c r="X137" s="19"/>
      <c r="Y137" s="19"/>
      <c r="Z137" s="19"/>
      <c r="AA137" s="44"/>
      <c r="AB137" s="19"/>
      <c r="AC137" s="56"/>
      <c r="AD137" s="19"/>
      <c r="AE137" s="56"/>
      <c r="AF137" s="56"/>
      <c r="AG137" s="19"/>
      <c r="AH137" s="56"/>
      <c r="AI137" s="56"/>
      <c r="AJ137" s="19"/>
      <c r="AK137" s="56"/>
      <c r="AL137" s="56"/>
      <c r="AM137" s="19"/>
      <c r="AN137" s="56"/>
      <c r="AO137" s="56"/>
      <c r="AP137" s="56"/>
      <c r="AQ137" s="56"/>
      <c r="AR137" s="56"/>
      <c r="AS137" s="56"/>
      <c r="AT137" s="56"/>
    </row>
    <row r="138" spans="9:46" x14ac:dyDescent="0.2">
      <c r="I138" s="18"/>
      <c r="J138" s="19"/>
      <c r="K138" s="19"/>
      <c r="L138" s="19"/>
      <c r="M138" s="19"/>
      <c r="N138" s="19"/>
      <c r="O138" s="18"/>
      <c r="Q138" s="19"/>
      <c r="R138" s="19"/>
      <c r="S138" s="44"/>
      <c r="T138" s="19"/>
      <c r="U138" s="56"/>
      <c r="V138" s="19"/>
      <c r="W138" s="56"/>
      <c r="X138" s="19"/>
      <c r="Y138" s="19"/>
      <c r="Z138" s="19"/>
      <c r="AA138" s="44"/>
      <c r="AB138" s="19"/>
      <c r="AC138" s="56"/>
      <c r="AD138" s="19"/>
      <c r="AE138" s="56"/>
      <c r="AF138" s="56"/>
      <c r="AG138" s="19"/>
      <c r="AH138" s="56"/>
      <c r="AI138" s="56"/>
      <c r="AJ138" s="19"/>
      <c r="AK138" s="56"/>
      <c r="AL138" s="56"/>
      <c r="AM138" s="19"/>
      <c r="AN138" s="56"/>
      <c r="AO138" s="56"/>
      <c r="AP138" s="56"/>
      <c r="AQ138" s="56"/>
      <c r="AR138" s="56"/>
      <c r="AS138" s="56"/>
      <c r="AT138" s="56"/>
    </row>
    <row r="139" spans="9:46" x14ac:dyDescent="0.2">
      <c r="I139" s="18"/>
      <c r="J139" s="19"/>
      <c r="K139" s="19"/>
      <c r="L139" s="19"/>
      <c r="M139" s="19"/>
      <c r="N139" s="19"/>
      <c r="O139" s="18"/>
      <c r="Q139" s="19"/>
      <c r="R139" s="19"/>
      <c r="S139" s="44"/>
      <c r="T139" s="19"/>
      <c r="U139" s="56"/>
      <c r="V139" s="19"/>
      <c r="W139" s="56"/>
      <c r="X139" s="19"/>
      <c r="Y139" s="19"/>
      <c r="Z139" s="19"/>
      <c r="AA139" s="44"/>
      <c r="AB139" s="19"/>
      <c r="AC139" s="56"/>
      <c r="AD139" s="19"/>
      <c r="AE139" s="56"/>
      <c r="AF139" s="56"/>
      <c r="AG139" s="19"/>
      <c r="AH139" s="56"/>
      <c r="AI139" s="56"/>
      <c r="AJ139" s="19"/>
      <c r="AK139" s="56"/>
      <c r="AL139" s="56"/>
      <c r="AM139" s="19"/>
      <c r="AN139" s="56"/>
      <c r="AO139" s="56"/>
      <c r="AP139" s="56"/>
      <c r="AQ139" s="56"/>
      <c r="AR139" s="56"/>
      <c r="AS139" s="56"/>
      <c r="AT139" s="56"/>
    </row>
    <row r="140" spans="9:46" x14ac:dyDescent="0.2">
      <c r="I140" s="18"/>
      <c r="J140" s="19"/>
      <c r="K140" s="19"/>
      <c r="L140" s="19"/>
      <c r="M140" s="19"/>
      <c r="N140" s="19"/>
      <c r="O140" s="18"/>
      <c r="Q140" s="19"/>
      <c r="R140" s="19"/>
      <c r="S140" s="44"/>
      <c r="T140" s="19"/>
      <c r="U140" s="56"/>
      <c r="V140" s="19"/>
      <c r="W140" s="56"/>
      <c r="X140" s="19"/>
      <c r="Y140" s="19"/>
      <c r="Z140" s="19"/>
      <c r="AA140" s="44"/>
      <c r="AB140" s="19"/>
      <c r="AC140" s="56"/>
      <c r="AD140" s="19"/>
      <c r="AE140" s="56"/>
      <c r="AF140" s="56"/>
      <c r="AG140" s="19"/>
      <c r="AH140" s="56"/>
      <c r="AI140" s="56"/>
      <c r="AJ140" s="19"/>
      <c r="AK140" s="56"/>
      <c r="AL140" s="56"/>
      <c r="AM140" s="19"/>
      <c r="AN140" s="56"/>
      <c r="AO140" s="56"/>
      <c r="AP140" s="56"/>
      <c r="AQ140" s="56"/>
      <c r="AR140" s="56"/>
      <c r="AS140" s="56"/>
      <c r="AT140" s="56"/>
    </row>
    <row r="141" spans="9:46" x14ac:dyDescent="0.2">
      <c r="I141" s="18"/>
      <c r="J141" s="19"/>
      <c r="K141" s="19"/>
      <c r="L141" s="19"/>
      <c r="M141" s="19"/>
      <c r="N141" s="19"/>
      <c r="O141" s="18"/>
      <c r="Q141" s="19"/>
      <c r="R141" s="19"/>
      <c r="S141" s="44"/>
      <c r="T141" s="19"/>
      <c r="U141" s="56"/>
      <c r="V141" s="19"/>
      <c r="W141" s="56"/>
      <c r="X141" s="19"/>
      <c r="Y141" s="19"/>
      <c r="Z141" s="19"/>
      <c r="AA141" s="44"/>
      <c r="AB141" s="19"/>
      <c r="AC141" s="56"/>
      <c r="AD141" s="19"/>
      <c r="AE141" s="56"/>
      <c r="AF141" s="56"/>
      <c r="AG141" s="19"/>
      <c r="AH141" s="56"/>
      <c r="AI141" s="56"/>
      <c r="AJ141" s="19"/>
      <c r="AK141" s="56"/>
      <c r="AL141" s="56"/>
      <c r="AM141" s="19"/>
      <c r="AN141" s="56"/>
      <c r="AO141" s="56"/>
      <c r="AP141" s="56"/>
      <c r="AQ141" s="56"/>
      <c r="AR141" s="56"/>
      <c r="AS141" s="56"/>
      <c r="AT141" s="56"/>
    </row>
    <row r="142" spans="9:46" x14ac:dyDescent="0.2">
      <c r="I142" s="18"/>
      <c r="J142" s="19"/>
      <c r="K142" s="19"/>
      <c r="L142" s="19"/>
      <c r="M142" s="19"/>
      <c r="N142" s="19"/>
      <c r="O142" s="18"/>
      <c r="Q142" s="19"/>
      <c r="R142" s="19"/>
      <c r="S142" s="44"/>
      <c r="T142" s="19"/>
      <c r="U142" s="56"/>
      <c r="V142" s="19"/>
      <c r="W142" s="56"/>
      <c r="X142" s="19"/>
      <c r="Y142" s="19"/>
      <c r="Z142" s="19"/>
      <c r="AA142" s="44"/>
      <c r="AB142" s="19"/>
      <c r="AC142" s="56"/>
      <c r="AD142" s="19"/>
      <c r="AE142" s="56"/>
      <c r="AF142" s="56"/>
      <c r="AG142" s="19"/>
      <c r="AH142" s="56"/>
      <c r="AI142" s="56"/>
      <c r="AJ142" s="19"/>
      <c r="AK142" s="56"/>
      <c r="AL142" s="56"/>
      <c r="AM142" s="19"/>
      <c r="AN142" s="56"/>
      <c r="AO142" s="56"/>
      <c r="AP142" s="56"/>
      <c r="AQ142" s="56"/>
      <c r="AR142" s="56"/>
      <c r="AS142" s="56"/>
      <c r="AT142" s="56"/>
    </row>
    <row r="143" spans="9:46" x14ac:dyDescent="0.2">
      <c r="I143" s="18"/>
      <c r="J143" s="19"/>
      <c r="K143" s="19"/>
      <c r="L143" s="19"/>
      <c r="M143" s="19"/>
      <c r="N143" s="19"/>
      <c r="O143" s="18"/>
      <c r="Q143" s="19"/>
      <c r="R143" s="19"/>
      <c r="S143" s="44"/>
      <c r="T143" s="19"/>
      <c r="U143" s="56"/>
      <c r="V143" s="19"/>
      <c r="W143" s="56"/>
      <c r="X143" s="19"/>
      <c r="Y143" s="19"/>
      <c r="Z143" s="19"/>
      <c r="AA143" s="44"/>
      <c r="AB143" s="19"/>
      <c r="AC143" s="56"/>
      <c r="AD143" s="19"/>
      <c r="AE143" s="56"/>
      <c r="AF143" s="56"/>
      <c r="AG143" s="19"/>
      <c r="AH143" s="56"/>
      <c r="AI143" s="56"/>
      <c r="AJ143" s="19"/>
      <c r="AK143" s="56"/>
      <c r="AL143" s="56"/>
      <c r="AM143" s="19"/>
      <c r="AN143" s="56"/>
      <c r="AO143" s="56"/>
      <c r="AP143" s="56"/>
      <c r="AQ143" s="56"/>
      <c r="AR143" s="56"/>
      <c r="AS143" s="56"/>
      <c r="AT143" s="56"/>
    </row>
    <row r="144" spans="9:46" x14ac:dyDescent="0.2">
      <c r="I144" s="18"/>
      <c r="J144" s="19"/>
      <c r="K144" s="19"/>
      <c r="L144" s="19"/>
      <c r="M144" s="19"/>
      <c r="N144" s="19"/>
      <c r="O144" s="18"/>
      <c r="Q144" s="19"/>
      <c r="R144" s="19"/>
      <c r="S144" s="44"/>
      <c r="T144" s="19"/>
      <c r="U144" s="56"/>
      <c r="V144" s="19"/>
      <c r="W144" s="56"/>
      <c r="X144" s="19"/>
      <c r="Y144" s="19"/>
      <c r="Z144" s="19"/>
      <c r="AA144" s="44"/>
      <c r="AB144" s="19"/>
      <c r="AC144" s="56"/>
      <c r="AD144" s="19"/>
      <c r="AE144" s="56"/>
      <c r="AF144" s="56"/>
      <c r="AG144" s="19"/>
      <c r="AH144" s="56"/>
      <c r="AI144" s="56"/>
      <c r="AJ144" s="19"/>
      <c r="AK144" s="56"/>
      <c r="AL144" s="56"/>
      <c r="AM144" s="19"/>
      <c r="AN144" s="56"/>
      <c r="AO144" s="56"/>
      <c r="AP144" s="56"/>
      <c r="AQ144" s="56"/>
      <c r="AR144" s="56"/>
      <c r="AS144" s="56"/>
      <c r="AT144" s="56"/>
    </row>
    <row r="145" spans="9:46" x14ac:dyDescent="0.2">
      <c r="I145" s="18"/>
      <c r="J145" s="19"/>
      <c r="K145" s="19"/>
      <c r="L145" s="19"/>
      <c r="M145" s="19"/>
      <c r="N145" s="19"/>
      <c r="O145" s="18"/>
      <c r="Q145" s="19"/>
      <c r="R145" s="19"/>
      <c r="S145" s="44"/>
      <c r="T145" s="19"/>
      <c r="U145" s="56"/>
      <c r="V145" s="19"/>
      <c r="W145" s="56"/>
      <c r="X145" s="19"/>
      <c r="Y145" s="19"/>
      <c r="Z145" s="19"/>
      <c r="AA145" s="44"/>
      <c r="AB145" s="19"/>
      <c r="AC145" s="56"/>
      <c r="AD145" s="19"/>
      <c r="AE145" s="56"/>
      <c r="AF145" s="56"/>
      <c r="AG145" s="19"/>
      <c r="AH145" s="56"/>
      <c r="AI145" s="56"/>
      <c r="AJ145" s="19"/>
      <c r="AK145" s="56"/>
      <c r="AL145" s="56"/>
      <c r="AM145" s="19"/>
      <c r="AN145" s="56"/>
      <c r="AO145" s="56"/>
      <c r="AP145" s="56"/>
      <c r="AQ145" s="56"/>
      <c r="AR145" s="56"/>
      <c r="AS145" s="56"/>
      <c r="AT145" s="56"/>
    </row>
    <row r="146" spans="9:46" x14ac:dyDescent="0.2">
      <c r="I146" s="18"/>
      <c r="J146" s="19"/>
      <c r="K146" s="19"/>
      <c r="L146" s="19"/>
      <c r="M146" s="19"/>
      <c r="N146" s="19"/>
      <c r="O146" s="18"/>
      <c r="Q146" s="19"/>
      <c r="R146" s="19"/>
      <c r="S146" s="44"/>
      <c r="T146" s="19"/>
      <c r="U146" s="56"/>
      <c r="V146" s="19"/>
      <c r="W146" s="56"/>
      <c r="X146" s="19"/>
      <c r="Y146" s="19"/>
      <c r="Z146" s="19"/>
      <c r="AA146" s="44"/>
      <c r="AB146" s="19"/>
      <c r="AC146" s="56"/>
      <c r="AD146" s="19"/>
      <c r="AE146" s="56"/>
      <c r="AF146" s="56"/>
      <c r="AG146" s="19"/>
      <c r="AH146" s="56"/>
      <c r="AI146" s="56"/>
      <c r="AJ146" s="19"/>
      <c r="AK146" s="56"/>
      <c r="AL146" s="56"/>
      <c r="AM146" s="19"/>
      <c r="AN146" s="56"/>
      <c r="AO146" s="56"/>
      <c r="AP146" s="56"/>
      <c r="AQ146" s="56"/>
      <c r="AR146" s="56"/>
      <c r="AS146" s="56"/>
      <c r="AT146" s="56"/>
    </row>
    <row r="147" spans="9:46" x14ac:dyDescent="0.2">
      <c r="I147" s="18"/>
      <c r="J147" s="19"/>
      <c r="K147" s="19"/>
      <c r="L147" s="19"/>
      <c r="M147" s="19"/>
      <c r="N147" s="19"/>
      <c r="O147" s="18"/>
      <c r="Q147" s="19"/>
      <c r="R147" s="19"/>
      <c r="S147" s="44"/>
      <c r="T147" s="19"/>
      <c r="U147" s="56"/>
      <c r="V147" s="19"/>
      <c r="W147" s="56"/>
      <c r="X147" s="19"/>
      <c r="Y147" s="19"/>
      <c r="Z147" s="19"/>
      <c r="AA147" s="44"/>
      <c r="AB147" s="19"/>
      <c r="AC147" s="56"/>
      <c r="AD147" s="19"/>
      <c r="AE147" s="56"/>
      <c r="AF147" s="56"/>
      <c r="AG147" s="19"/>
      <c r="AH147" s="56"/>
      <c r="AI147" s="56"/>
      <c r="AJ147" s="19"/>
      <c r="AK147" s="56"/>
      <c r="AL147" s="56"/>
      <c r="AM147" s="19"/>
      <c r="AN147" s="56"/>
      <c r="AO147" s="56"/>
      <c r="AP147" s="56"/>
      <c r="AQ147" s="56"/>
      <c r="AR147" s="56"/>
      <c r="AS147" s="56"/>
      <c r="AT147" s="56"/>
    </row>
    <row r="148" spans="9:46" x14ac:dyDescent="0.2">
      <c r="I148" s="18"/>
      <c r="J148" s="19"/>
      <c r="K148" s="19"/>
      <c r="L148" s="19"/>
      <c r="M148" s="19"/>
      <c r="N148" s="19"/>
      <c r="O148" s="18"/>
      <c r="Q148" s="19"/>
      <c r="R148" s="19"/>
      <c r="S148" s="44"/>
      <c r="T148" s="19"/>
      <c r="U148" s="56"/>
      <c r="V148" s="19"/>
      <c r="W148" s="56"/>
      <c r="X148" s="19"/>
      <c r="Y148" s="19"/>
      <c r="Z148" s="19"/>
      <c r="AA148" s="44"/>
      <c r="AB148" s="19"/>
      <c r="AC148" s="56"/>
      <c r="AD148" s="19"/>
      <c r="AE148" s="56"/>
      <c r="AF148" s="56"/>
      <c r="AG148" s="19"/>
      <c r="AH148" s="56"/>
      <c r="AI148" s="56"/>
      <c r="AJ148" s="19"/>
      <c r="AK148" s="56"/>
      <c r="AL148" s="56"/>
      <c r="AM148" s="19"/>
      <c r="AN148" s="56"/>
      <c r="AO148" s="56"/>
      <c r="AP148" s="56"/>
      <c r="AQ148" s="56"/>
      <c r="AR148" s="56"/>
      <c r="AS148" s="56"/>
      <c r="AT148" s="56"/>
    </row>
    <row r="149" spans="9:46" x14ac:dyDescent="0.2">
      <c r="I149" s="18"/>
      <c r="J149" s="19"/>
      <c r="K149" s="19"/>
      <c r="L149" s="19"/>
      <c r="M149" s="19"/>
      <c r="N149" s="19"/>
      <c r="O149" s="18"/>
      <c r="Q149" s="19"/>
      <c r="R149" s="19"/>
      <c r="S149" s="44"/>
      <c r="T149" s="19"/>
      <c r="U149" s="56"/>
      <c r="V149" s="19"/>
      <c r="W149" s="56"/>
      <c r="X149" s="19"/>
      <c r="Y149" s="19"/>
      <c r="Z149" s="19"/>
      <c r="AA149" s="44"/>
      <c r="AB149" s="19"/>
      <c r="AC149" s="56"/>
      <c r="AD149" s="19"/>
      <c r="AE149" s="56"/>
      <c r="AF149" s="56"/>
      <c r="AG149" s="19"/>
      <c r="AH149" s="56"/>
      <c r="AI149" s="56"/>
      <c r="AJ149" s="19"/>
      <c r="AK149" s="56"/>
      <c r="AL149" s="56"/>
      <c r="AM149" s="19"/>
      <c r="AN149" s="56"/>
      <c r="AO149" s="56"/>
      <c r="AP149" s="56"/>
      <c r="AQ149" s="56"/>
      <c r="AR149" s="56"/>
      <c r="AS149" s="56"/>
      <c r="AT149" s="56"/>
    </row>
    <row r="150" spans="9:46" x14ac:dyDescent="0.2">
      <c r="I150" s="18"/>
      <c r="J150" s="19"/>
      <c r="K150" s="19"/>
      <c r="L150" s="19"/>
      <c r="M150" s="19"/>
      <c r="N150" s="19"/>
      <c r="O150" s="18"/>
      <c r="Q150" s="19"/>
      <c r="R150" s="19"/>
      <c r="S150" s="44"/>
      <c r="T150" s="19"/>
      <c r="U150" s="56"/>
      <c r="V150" s="19"/>
      <c r="W150" s="56"/>
      <c r="X150" s="19"/>
      <c r="Y150" s="19"/>
      <c r="Z150" s="19"/>
      <c r="AA150" s="44"/>
      <c r="AB150" s="19"/>
      <c r="AC150" s="56"/>
      <c r="AD150" s="19"/>
      <c r="AE150" s="56"/>
      <c r="AF150" s="56"/>
      <c r="AG150" s="19"/>
      <c r="AH150" s="56"/>
      <c r="AI150" s="56"/>
      <c r="AJ150" s="19"/>
      <c r="AK150" s="56"/>
      <c r="AL150" s="56"/>
      <c r="AM150" s="19"/>
      <c r="AN150" s="56"/>
      <c r="AO150" s="56"/>
      <c r="AP150" s="56"/>
      <c r="AQ150" s="56"/>
      <c r="AR150" s="56"/>
      <c r="AS150" s="56"/>
      <c r="AT150" s="56"/>
    </row>
    <row r="151" spans="9:46" x14ac:dyDescent="0.2">
      <c r="I151" s="18"/>
      <c r="J151" s="19"/>
      <c r="K151" s="19"/>
      <c r="L151" s="19"/>
      <c r="M151" s="19"/>
      <c r="N151" s="19"/>
      <c r="O151" s="18"/>
      <c r="Q151" s="19"/>
      <c r="R151" s="19"/>
      <c r="S151" s="44"/>
      <c r="T151" s="19"/>
      <c r="U151" s="56"/>
      <c r="V151" s="19"/>
      <c r="W151" s="56"/>
      <c r="X151" s="19"/>
      <c r="Y151" s="19"/>
      <c r="Z151" s="19"/>
      <c r="AA151" s="44"/>
      <c r="AB151" s="19"/>
      <c r="AC151" s="56"/>
      <c r="AD151" s="19"/>
      <c r="AE151" s="56"/>
      <c r="AF151" s="56"/>
      <c r="AG151" s="19"/>
      <c r="AH151" s="56"/>
      <c r="AI151" s="56"/>
      <c r="AJ151" s="19"/>
      <c r="AK151" s="56"/>
      <c r="AL151" s="56"/>
      <c r="AM151" s="19"/>
      <c r="AN151" s="56"/>
      <c r="AO151" s="56"/>
      <c r="AP151" s="56"/>
      <c r="AQ151" s="56"/>
      <c r="AR151" s="56"/>
      <c r="AS151" s="56"/>
      <c r="AT151" s="56"/>
    </row>
    <row r="152" spans="9:46" x14ac:dyDescent="0.2">
      <c r="I152" s="18"/>
      <c r="J152" s="19"/>
      <c r="K152" s="19"/>
      <c r="L152" s="19"/>
      <c r="M152" s="19"/>
      <c r="N152" s="19"/>
      <c r="O152" s="18"/>
      <c r="Q152" s="19"/>
      <c r="R152" s="19"/>
      <c r="S152" s="44"/>
      <c r="T152" s="19"/>
      <c r="U152" s="56"/>
      <c r="V152" s="19"/>
      <c r="W152" s="56"/>
      <c r="X152" s="19"/>
      <c r="Y152" s="19"/>
      <c r="Z152" s="19"/>
      <c r="AA152" s="44"/>
      <c r="AB152" s="19"/>
      <c r="AC152" s="56"/>
      <c r="AD152" s="19"/>
      <c r="AE152" s="56"/>
      <c r="AF152" s="56"/>
      <c r="AG152" s="19"/>
      <c r="AH152" s="56"/>
      <c r="AI152" s="56"/>
      <c r="AJ152" s="19"/>
      <c r="AK152" s="56"/>
      <c r="AL152" s="56"/>
      <c r="AM152" s="19"/>
      <c r="AN152" s="56"/>
      <c r="AO152" s="56"/>
      <c r="AP152" s="56"/>
      <c r="AQ152" s="56"/>
      <c r="AR152" s="56"/>
      <c r="AS152" s="56"/>
      <c r="AT152" s="56"/>
    </row>
    <row r="153" spans="9:46" x14ac:dyDescent="0.2">
      <c r="I153" s="18"/>
      <c r="J153" s="19"/>
      <c r="K153" s="19"/>
      <c r="L153" s="19"/>
      <c r="M153" s="19"/>
      <c r="N153" s="19"/>
      <c r="O153" s="18"/>
      <c r="Q153" s="19"/>
      <c r="R153" s="19"/>
      <c r="S153" s="44"/>
      <c r="T153" s="19"/>
      <c r="U153" s="56"/>
      <c r="V153" s="19"/>
      <c r="W153" s="56"/>
      <c r="X153" s="19"/>
      <c r="Y153" s="19"/>
      <c r="Z153" s="19"/>
      <c r="AA153" s="44"/>
      <c r="AB153" s="19"/>
      <c r="AC153" s="56"/>
      <c r="AD153" s="19"/>
      <c r="AE153" s="56"/>
      <c r="AF153" s="56"/>
      <c r="AG153" s="19"/>
      <c r="AH153" s="56"/>
      <c r="AI153" s="56"/>
      <c r="AJ153" s="19"/>
      <c r="AK153" s="56"/>
      <c r="AL153" s="56"/>
      <c r="AM153" s="19"/>
      <c r="AN153" s="56"/>
      <c r="AO153" s="56"/>
      <c r="AP153" s="56"/>
      <c r="AQ153" s="56"/>
      <c r="AR153" s="56"/>
      <c r="AS153" s="56"/>
      <c r="AT153" s="56"/>
    </row>
    <row r="154" spans="9:46" x14ac:dyDescent="0.2">
      <c r="I154" s="18"/>
      <c r="J154" s="19"/>
      <c r="K154" s="19"/>
      <c r="L154" s="19"/>
      <c r="M154" s="19"/>
      <c r="N154" s="19"/>
      <c r="O154" s="18"/>
      <c r="Q154" s="19"/>
      <c r="R154" s="19"/>
      <c r="S154" s="44"/>
      <c r="T154" s="19"/>
      <c r="U154" s="56"/>
      <c r="V154" s="19"/>
      <c r="W154" s="56"/>
      <c r="X154" s="19"/>
      <c r="Y154" s="19"/>
      <c r="Z154" s="19"/>
      <c r="AA154" s="44"/>
      <c r="AB154" s="19"/>
      <c r="AC154" s="56"/>
      <c r="AD154" s="19"/>
      <c r="AE154" s="56"/>
      <c r="AF154" s="56"/>
      <c r="AG154" s="19"/>
      <c r="AH154" s="56"/>
      <c r="AI154" s="56"/>
      <c r="AJ154" s="19"/>
      <c r="AK154" s="56"/>
      <c r="AL154" s="56"/>
      <c r="AM154" s="19"/>
      <c r="AN154" s="56"/>
      <c r="AO154" s="56"/>
      <c r="AP154" s="56"/>
      <c r="AQ154" s="56"/>
      <c r="AR154" s="56"/>
      <c r="AS154" s="56"/>
      <c r="AT154" s="56"/>
    </row>
    <row r="155" spans="9:46" x14ac:dyDescent="0.2">
      <c r="I155" s="18"/>
      <c r="J155" s="19"/>
      <c r="K155" s="19"/>
      <c r="L155" s="19"/>
      <c r="M155" s="19"/>
      <c r="N155" s="19"/>
      <c r="O155" s="18"/>
      <c r="Q155" s="19"/>
      <c r="R155" s="19"/>
      <c r="S155" s="44"/>
      <c r="T155" s="19"/>
      <c r="U155" s="56"/>
      <c r="V155" s="19"/>
      <c r="W155" s="56"/>
      <c r="X155" s="19"/>
      <c r="Y155" s="19"/>
      <c r="Z155" s="19"/>
      <c r="AA155" s="44"/>
      <c r="AB155" s="19"/>
      <c r="AC155" s="56"/>
      <c r="AD155" s="19"/>
      <c r="AE155" s="56"/>
      <c r="AF155" s="56"/>
      <c r="AG155" s="19"/>
      <c r="AH155" s="56"/>
      <c r="AI155" s="56"/>
      <c r="AJ155" s="19"/>
      <c r="AK155" s="56"/>
      <c r="AL155" s="56"/>
      <c r="AM155" s="19"/>
      <c r="AN155" s="56"/>
      <c r="AO155" s="56"/>
      <c r="AP155" s="56"/>
      <c r="AQ155" s="56"/>
      <c r="AR155" s="56"/>
      <c r="AS155" s="56"/>
      <c r="AT155" s="56"/>
    </row>
    <row r="156" spans="9:46" x14ac:dyDescent="0.2">
      <c r="I156" s="18"/>
      <c r="J156" s="19"/>
      <c r="K156" s="19"/>
      <c r="L156" s="19"/>
      <c r="M156" s="19"/>
      <c r="N156" s="19"/>
      <c r="O156" s="18"/>
      <c r="Q156" s="19"/>
      <c r="R156" s="19"/>
      <c r="S156" s="44"/>
      <c r="T156" s="19"/>
      <c r="U156" s="56"/>
      <c r="V156" s="19"/>
      <c r="W156" s="56"/>
      <c r="X156" s="19"/>
      <c r="Y156" s="19"/>
      <c r="Z156" s="19"/>
      <c r="AA156" s="44"/>
      <c r="AB156" s="19"/>
      <c r="AC156" s="56"/>
      <c r="AD156" s="19"/>
      <c r="AE156" s="56"/>
      <c r="AF156" s="56"/>
      <c r="AG156" s="19"/>
      <c r="AH156" s="56"/>
      <c r="AI156" s="56"/>
      <c r="AJ156" s="19"/>
      <c r="AK156" s="56"/>
      <c r="AL156" s="56"/>
      <c r="AM156" s="19"/>
      <c r="AN156" s="56"/>
      <c r="AO156" s="56"/>
      <c r="AP156" s="56"/>
      <c r="AQ156" s="56"/>
      <c r="AR156" s="56"/>
      <c r="AS156" s="56"/>
      <c r="AT156" s="56"/>
    </row>
    <row r="157" spans="9:46" x14ac:dyDescent="0.2">
      <c r="I157" s="18"/>
      <c r="J157" s="19"/>
      <c r="K157" s="19"/>
      <c r="L157" s="19"/>
      <c r="M157" s="19"/>
      <c r="N157" s="19"/>
      <c r="O157" s="18"/>
      <c r="Q157" s="19"/>
      <c r="R157" s="19"/>
      <c r="S157" s="44"/>
      <c r="T157" s="19"/>
      <c r="U157" s="56"/>
      <c r="V157" s="19"/>
      <c r="W157" s="56"/>
      <c r="X157" s="19"/>
      <c r="Y157" s="19"/>
      <c r="Z157" s="19"/>
      <c r="AA157" s="44"/>
      <c r="AB157" s="19"/>
      <c r="AC157" s="56"/>
      <c r="AD157" s="19"/>
      <c r="AE157" s="56"/>
      <c r="AF157" s="56"/>
      <c r="AG157" s="19"/>
      <c r="AH157" s="56"/>
      <c r="AI157" s="56"/>
      <c r="AJ157" s="19"/>
      <c r="AK157" s="56"/>
      <c r="AL157" s="56"/>
      <c r="AM157" s="19"/>
      <c r="AN157" s="56"/>
      <c r="AO157" s="56"/>
      <c r="AP157" s="56"/>
      <c r="AQ157" s="56"/>
      <c r="AR157" s="56"/>
      <c r="AS157" s="56"/>
      <c r="AT157" s="56"/>
    </row>
    <row r="158" spans="9:46" x14ac:dyDescent="0.2">
      <c r="I158" s="18"/>
      <c r="J158" s="19"/>
      <c r="K158" s="19"/>
      <c r="L158" s="19"/>
      <c r="M158" s="19"/>
      <c r="N158" s="19"/>
      <c r="O158" s="18"/>
      <c r="Q158" s="19"/>
      <c r="R158" s="19"/>
      <c r="S158" s="44"/>
      <c r="T158" s="19"/>
      <c r="U158" s="56"/>
      <c r="V158" s="19"/>
      <c r="W158" s="56"/>
      <c r="X158" s="19"/>
      <c r="Y158" s="19"/>
      <c r="Z158" s="19"/>
      <c r="AA158" s="44"/>
      <c r="AB158" s="19"/>
      <c r="AC158" s="56"/>
      <c r="AD158" s="19"/>
      <c r="AE158" s="56"/>
      <c r="AF158" s="56"/>
      <c r="AG158" s="19"/>
      <c r="AH158" s="56"/>
      <c r="AI158" s="56"/>
      <c r="AJ158" s="19"/>
      <c r="AK158" s="56"/>
      <c r="AL158" s="56"/>
      <c r="AM158" s="19"/>
      <c r="AN158" s="56"/>
      <c r="AO158" s="56"/>
      <c r="AP158" s="56"/>
      <c r="AQ158" s="56"/>
      <c r="AR158" s="56"/>
      <c r="AS158" s="56"/>
      <c r="AT158" s="56"/>
    </row>
    <row r="159" spans="9:46" x14ac:dyDescent="0.2">
      <c r="I159" s="18"/>
      <c r="J159" s="19"/>
      <c r="K159" s="19"/>
      <c r="L159" s="19"/>
      <c r="M159" s="19"/>
      <c r="N159" s="19"/>
      <c r="O159" s="18"/>
      <c r="Q159" s="19"/>
      <c r="R159" s="19"/>
      <c r="S159" s="44"/>
      <c r="T159" s="19"/>
      <c r="U159" s="56"/>
      <c r="V159" s="19"/>
      <c r="W159" s="56"/>
      <c r="X159" s="19"/>
      <c r="Y159" s="19"/>
      <c r="Z159" s="19"/>
      <c r="AA159" s="44"/>
      <c r="AB159" s="19"/>
      <c r="AC159" s="56"/>
      <c r="AD159" s="19"/>
      <c r="AE159" s="56"/>
      <c r="AF159" s="56"/>
      <c r="AG159" s="19"/>
      <c r="AH159" s="56"/>
      <c r="AI159" s="56"/>
      <c r="AJ159" s="19"/>
      <c r="AK159" s="56"/>
      <c r="AL159" s="56"/>
      <c r="AM159" s="19"/>
      <c r="AN159" s="56"/>
      <c r="AO159" s="56"/>
      <c r="AP159" s="56"/>
      <c r="AQ159" s="56"/>
      <c r="AR159" s="56"/>
      <c r="AS159" s="56"/>
      <c r="AT159" s="56"/>
    </row>
    <row r="160" spans="9:46" x14ac:dyDescent="0.2">
      <c r="I160" s="18"/>
      <c r="J160" s="19"/>
      <c r="K160" s="19"/>
      <c r="L160" s="19"/>
      <c r="M160" s="19"/>
      <c r="N160" s="19"/>
      <c r="O160" s="18"/>
      <c r="Q160" s="19"/>
      <c r="R160" s="19"/>
      <c r="S160" s="44"/>
      <c r="T160" s="19"/>
      <c r="U160" s="56"/>
      <c r="V160" s="19"/>
      <c r="W160" s="56"/>
      <c r="X160" s="19"/>
      <c r="Y160" s="19"/>
      <c r="Z160" s="19"/>
      <c r="AA160" s="44"/>
      <c r="AB160" s="19"/>
      <c r="AC160" s="56"/>
      <c r="AD160" s="19"/>
      <c r="AE160" s="56"/>
      <c r="AF160" s="56"/>
      <c r="AG160" s="19"/>
      <c r="AH160" s="56"/>
      <c r="AI160" s="56"/>
      <c r="AJ160" s="19"/>
      <c r="AK160" s="56"/>
      <c r="AL160" s="56"/>
      <c r="AM160" s="19"/>
      <c r="AN160" s="56"/>
      <c r="AO160" s="56"/>
      <c r="AP160" s="56"/>
      <c r="AQ160" s="56"/>
      <c r="AR160" s="56"/>
      <c r="AS160" s="56"/>
      <c r="AT160" s="56"/>
    </row>
    <row r="161" spans="9:46" x14ac:dyDescent="0.2">
      <c r="I161" s="18"/>
      <c r="J161" s="19"/>
      <c r="K161" s="19"/>
      <c r="L161" s="19"/>
      <c r="M161" s="19"/>
      <c r="N161" s="19"/>
      <c r="O161" s="18"/>
      <c r="Q161" s="19"/>
      <c r="R161" s="19"/>
      <c r="S161" s="44"/>
      <c r="T161" s="19"/>
      <c r="U161" s="56"/>
      <c r="V161" s="19"/>
      <c r="W161" s="56"/>
      <c r="X161" s="19"/>
      <c r="Y161" s="19"/>
      <c r="Z161" s="19"/>
      <c r="AA161" s="44"/>
      <c r="AB161" s="19"/>
      <c r="AC161" s="56"/>
      <c r="AD161" s="19"/>
      <c r="AE161" s="56"/>
      <c r="AF161" s="56"/>
      <c r="AG161" s="19"/>
      <c r="AH161" s="56"/>
      <c r="AI161" s="56"/>
      <c r="AJ161" s="19"/>
      <c r="AK161" s="56"/>
      <c r="AL161" s="56"/>
      <c r="AM161" s="19"/>
      <c r="AN161" s="56"/>
      <c r="AO161" s="56"/>
      <c r="AP161" s="56"/>
      <c r="AQ161" s="56"/>
      <c r="AR161" s="56"/>
      <c r="AS161" s="56"/>
      <c r="AT161" s="56"/>
    </row>
    <row r="162" spans="9:46" x14ac:dyDescent="0.2">
      <c r="I162" s="18"/>
      <c r="J162" s="19"/>
      <c r="K162" s="19"/>
      <c r="L162" s="19"/>
      <c r="M162" s="19"/>
      <c r="N162" s="19"/>
      <c r="O162" s="18"/>
      <c r="Q162" s="19"/>
      <c r="R162" s="19"/>
      <c r="S162" s="44"/>
      <c r="T162" s="19"/>
      <c r="U162" s="56"/>
      <c r="V162" s="19"/>
      <c r="W162" s="56"/>
      <c r="X162" s="19"/>
      <c r="Y162" s="19"/>
      <c r="Z162" s="19"/>
      <c r="AA162" s="44"/>
      <c r="AB162" s="19"/>
      <c r="AC162" s="56"/>
      <c r="AD162" s="19"/>
      <c r="AE162" s="56"/>
      <c r="AF162" s="56"/>
      <c r="AG162" s="19"/>
      <c r="AH162" s="56"/>
      <c r="AI162" s="56"/>
      <c r="AJ162" s="19"/>
      <c r="AK162" s="56"/>
      <c r="AL162" s="56"/>
      <c r="AM162" s="19"/>
      <c r="AN162" s="56"/>
      <c r="AO162" s="56"/>
      <c r="AP162" s="56"/>
      <c r="AQ162" s="56"/>
      <c r="AR162" s="56"/>
      <c r="AS162" s="56"/>
      <c r="AT162" s="56"/>
    </row>
  </sheetData>
  <mergeCells count="1">
    <mergeCell ref="A5:I5"/>
  </mergeCells>
  <phoneticPr fontId="3" type="noConversion"/>
  <printOptions horizontalCentered="1"/>
  <pageMargins left="0.3" right="0.3" top="1" bottom="1" header="0.42" footer="0.5"/>
  <pageSetup scale="52" orientation="landscape" r:id="rId1"/>
  <headerFooter alignWithMargins="0">
    <oddHeader>&amp;L&amp;"Arial,Bold"&amp;12Attorney General&amp;R&amp;"Arial,Bold"&amp;12 Justice System Appropriations Subcommittee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1454"/>
  <sheetViews>
    <sheetView view="pageBreakPreview" topLeftCell="B1" zoomScale="60" zoomScaleNormal="75" workbookViewId="0">
      <selection activeCell="AN1" sqref="AN1:AT1048576"/>
    </sheetView>
  </sheetViews>
  <sheetFormatPr defaultColWidth="9.140625" defaultRowHeight="11.25" x14ac:dyDescent="0.2"/>
  <cols>
    <col min="1" max="1" width="2.140625" style="342" hidden="1" customWidth="1"/>
    <col min="2" max="2" width="17.42578125" style="421" customWidth="1"/>
    <col min="3" max="3" width="0.7109375" style="342" customWidth="1"/>
    <col min="4" max="4" width="11.140625" style="348" hidden="1" customWidth="1"/>
    <col min="5" max="5" width="0.7109375" style="342" customWidth="1"/>
    <col min="6" max="6" width="36.5703125" style="395" customWidth="1"/>
    <col min="7" max="7" width="0.85546875" style="351" customWidth="1"/>
    <col min="8" max="8" width="29.140625" style="395" customWidth="1"/>
    <col min="9" max="9" width="0.85546875" style="351" customWidth="1"/>
    <col min="10" max="10" width="30.7109375" style="351" customWidth="1"/>
    <col min="11" max="11" width="0.85546875" style="342" hidden="1" customWidth="1"/>
    <col min="12" max="12" width="11.42578125" style="351" hidden="1" customWidth="1"/>
    <col min="13" max="13" width="0.85546875" style="351" hidden="1" customWidth="1"/>
    <col min="14" max="14" width="14.140625" style="342" hidden="1" customWidth="1"/>
    <col min="15" max="15" width="0.7109375" style="342" hidden="1" customWidth="1"/>
    <col min="16" max="16" width="9.140625" style="342" hidden="1" customWidth="1"/>
    <col min="17" max="17" width="13.85546875" style="342" hidden="1" customWidth="1"/>
    <col min="18" max="18" width="12" style="351" hidden="1" customWidth="1"/>
    <col min="19" max="19" width="14" style="361" hidden="1" customWidth="1"/>
    <col min="20" max="20" width="12.140625" style="361" hidden="1" customWidth="1"/>
    <col min="21" max="21" width="0.5703125" style="342" hidden="1" customWidth="1"/>
    <col min="22" max="22" width="11.140625" style="360" hidden="1" customWidth="1"/>
    <col min="23" max="23" width="10.28515625" style="361" hidden="1" customWidth="1"/>
    <col min="24" max="24" width="12" style="350" hidden="1" customWidth="1"/>
    <col min="25" max="25" width="0.7109375" style="342" hidden="1" customWidth="1"/>
    <col min="26" max="26" width="12.140625" style="361" hidden="1" customWidth="1"/>
    <col min="27" max="27" width="11.140625" style="360" hidden="1" customWidth="1"/>
    <col min="28" max="28" width="0.85546875" style="342" hidden="1" customWidth="1"/>
    <col min="29" max="29" width="10.28515625" style="361" hidden="1" customWidth="1"/>
    <col min="30" max="30" width="12" style="350" hidden="1" customWidth="1"/>
    <col min="31" max="31" width="12" style="349" hidden="1" customWidth="1"/>
    <col min="32" max="32" width="1.28515625" style="351" hidden="1" customWidth="1"/>
    <col min="33" max="33" width="10.28515625" style="361" hidden="1" customWidth="1"/>
    <col min="34" max="34" width="12" style="350" hidden="1" customWidth="1"/>
    <col min="35" max="35" width="13.140625" style="360" hidden="1" customWidth="1"/>
    <col min="36" max="36" width="43.140625" style="351" hidden="1" customWidth="1"/>
    <col min="37" max="37" width="0.85546875" style="342" hidden="1" customWidth="1"/>
    <col min="38" max="38" width="53.85546875" style="351" hidden="1" customWidth="1"/>
    <col min="39" max="39" width="0.85546875" style="351" hidden="1" customWidth="1"/>
    <col min="40" max="40" width="11.5703125" style="361" hidden="1" customWidth="1"/>
    <col min="41" max="41" width="14" style="350" hidden="1" customWidth="1"/>
    <col min="42" max="42" width="12" style="349" hidden="1" customWidth="1"/>
    <col min="43" max="43" width="1.28515625" style="351" hidden="1" customWidth="1"/>
    <col min="44" max="44" width="11" style="361" hidden="1" customWidth="1"/>
    <col min="45" max="45" width="15.7109375" style="350" hidden="1" customWidth="1"/>
    <col min="46" max="46" width="13.140625" style="360" hidden="1" customWidth="1"/>
    <col min="47" max="47" width="0.85546875" style="342" customWidth="1"/>
    <col min="48" max="48" width="13.140625" style="361" customWidth="1"/>
    <col min="49" max="49" width="14.42578125" style="361" bestFit="1" customWidth="1"/>
    <col min="50" max="50" width="13.140625" style="360" customWidth="1"/>
    <col min="51" max="51" width="0.85546875" style="342" customWidth="1"/>
    <col min="52" max="52" width="13.140625" style="361" customWidth="1"/>
    <col min="53" max="53" width="14.42578125" style="361" bestFit="1" customWidth="1"/>
    <col min="54" max="54" width="13.140625" style="360" customWidth="1"/>
    <col min="55" max="55" width="0.85546875" style="360" customWidth="1"/>
    <col min="56" max="56" width="20.7109375" style="379" bestFit="1" customWidth="1"/>
    <col min="57" max="58" width="9.140625" style="342"/>
    <col min="59" max="59" width="9.5703125" style="342" customWidth="1"/>
    <col min="60" max="62" width="9.140625" style="342" hidden="1" customWidth="1"/>
    <col min="63" max="267" width="9.140625" style="342"/>
    <col min="268" max="268" width="2.140625" style="342" customWidth="1"/>
    <col min="269" max="269" width="13" style="342" customWidth="1"/>
    <col min="270" max="270" width="0.7109375" style="342" customWidth="1"/>
    <col min="271" max="271" width="14.7109375" style="342" customWidth="1"/>
    <col min="272" max="272" width="1.140625" style="342" customWidth="1"/>
    <col min="273" max="273" width="39" style="342" customWidth="1"/>
    <col min="274" max="274" width="1" style="342" customWidth="1"/>
    <col min="275" max="275" width="19" style="342" customWidth="1"/>
    <col min="276" max="276" width="1" style="342" customWidth="1"/>
    <col min="277" max="277" width="12.7109375" style="342" customWidth="1"/>
    <col min="278" max="278" width="0.7109375" style="342" customWidth="1"/>
    <col min="279" max="279" width="11.42578125" style="342" customWidth="1"/>
    <col min="280" max="280" width="1" style="342" customWidth="1"/>
    <col min="281" max="281" width="12" style="342" customWidth="1"/>
    <col min="282" max="282" width="0.85546875" style="342" customWidth="1"/>
    <col min="283" max="284" width="0" style="342" hidden="1" customWidth="1"/>
    <col min="285" max="285" width="14.28515625" style="342" customWidth="1"/>
    <col min="286" max="286" width="0.5703125" style="342" customWidth="1"/>
    <col min="287" max="287" width="11.140625" style="342" customWidth="1"/>
    <col min="288" max="288" width="1.28515625" style="342" customWidth="1"/>
    <col min="289" max="289" width="9.28515625" style="342" customWidth="1"/>
    <col min="290" max="290" width="1" style="342" customWidth="1"/>
    <col min="291" max="291" width="12.42578125" style="342" customWidth="1"/>
    <col min="292" max="292" width="1.140625" style="342" customWidth="1"/>
    <col min="293" max="293" width="11.7109375" style="342" customWidth="1"/>
    <col min="294" max="294" width="1.140625" style="342" customWidth="1"/>
    <col min="295" max="295" width="9.140625" style="342"/>
    <col min="296" max="296" width="1.42578125" style="342" customWidth="1"/>
    <col min="297" max="297" width="13.85546875" style="342" customWidth="1"/>
    <col min="298" max="298" width="55.28515625" style="342" customWidth="1"/>
    <col min="299" max="299" width="2" style="342" customWidth="1"/>
    <col min="300" max="300" width="67.42578125" style="342" customWidth="1"/>
    <col min="301" max="304" width="9.140625" style="342"/>
    <col min="305" max="307" width="9.140625" style="342" customWidth="1"/>
    <col min="308" max="308" width="16.85546875" style="342" customWidth="1"/>
    <col min="309" max="314" width="9.140625" style="342"/>
    <col min="315" max="315" width="9.5703125" style="342" customWidth="1"/>
    <col min="316" max="318" width="0" style="342" hidden="1" customWidth="1"/>
    <col min="319" max="523" width="9.140625" style="342"/>
    <col min="524" max="524" width="2.140625" style="342" customWidth="1"/>
    <col min="525" max="525" width="13" style="342" customWidth="1"/>
    <col min="526" max="526" width="0.7109375" style="342" customWidth="1"/>
    <col min="527" max="527" width="14.7109375" style="342" customWidth="1"/>
    <col min="528" max="528" width="1.140625" style="342" customWidth="1"/>
    <col min="529" max="529" width="39" style="342" customWidth="1"/>
    <col min="530" max="530" width="1" style="342" customWidth="1"/>
    <col min="531" max="531" width="19" style="342" customWidth="1"/>
    <col min="532" max="532" width="1" style="342" customWidth="1"/>
    <col min="533" max="533" width="12.7109375" style="342" customWidth="1"/>
    <col min="534" max="534" width="0.7109375" style="342" customWidth="1"/>
    <col min="535" max="535" width="11.42578125" style="342" customWidth="1"/>
    <col min="536" max="536" width="1" style="342" customWidth="1"/>
    <col min="537" max="537" width="12" style="342" customWidth="1"/>
    <col min="538" max="538" width="0.85546875" style="342" customWidth="1"/>
    <col min="539" max="540" width="0" style="342" hidden="1" customWidth="1"/>
    <col min="541" max="541" width="14.28515625" style="342" customWidth="1"/>
    <col min="542" max="542" width="0.5703125" style="342" customWidth="1"/>
    <col min="543" max="543" width="11.140625" style="342" customWidth="1"/>
    <col min="544" max="544" width="1.28515625" style="342" customWidth="1"/>
    <col min="545" max="545" width="9.28515625" style="342" customWidth="1"/>
    <col min="546" max="546" width="1" style="342" customWidth="1"/>
    <col min="547" max="547" width="12.42578125" style="342" customWidth="1"/>
    <col min="548" max="548" width="1.140625" style="342" customWidth="1"/>
    <col min="549" max="549" width="11.7109375" style="342" customWidth="1"/>
    <col min="550" max="550" width="1.140625" style="342" customWidth="1"/>
    <col min="551" max="551" width="9.140625" style="342"/>
    <col min="552" max="552" width="1.42578125" style="342" customWidth="1"/>
    <col min="553" max="553" width="13.85546875" style="342" customWidth="1"/>
    <col min="554" max="554" width="55.28515625" style="342" customWidth="1"/>
    <col min="555" max="555" width="2" style="342" customWidth="1"/>
    <col min="556" max="556" width="67.42578125" style="342" customWidth="1"/>
    <col min="557" max="560" width="9.140625" style="342"/>
    <col min="561" max="563" width="9.140625" style="342" customWidth="1"/>
    <col min="564" max="564" width="16.85546875" style="342" customWidth="1"/>
    <col min="565" max="570" width="9.140625" style="342"/>
    <col min="571" max="571" width="9.5703125" style="342" customWidth="1"/>
    <col min="572" max="574" width="0" style="342" hidden="1" customWidth="1"/>
    <col min="575" max="779" width="9.140625" style="342"/>
    <col min="780" max="780" width="2.140625" style="342" customWidth="1"/>
    <col min="781" max="781" width="13" style="342" customWidth="1"/>
    <col min="782" max="782" width="0.7109375" style="342" customWidth="1"/>
    <col min="783" max="783" width="14.7109375" style="342" customWidth="1"/>
    <col min="784" max="784" width="1.140625" style="342" customWidth="1"/>
    <col min="785" max="785" width="39" style="342" customWidth="1"/>
    <col min="786" max="786" width="1" style="342" customWidth="1"/>
    <col min="787" max="787" width="19" style="342" customWidth="1"/>
    <col min="788" max="788" width="1" style="342" customWidth="1"/>
    <col min="789" max="789" width="12.7109375" style="342" customWidth="1"/>
    <col min="790" max="790" width="0.7109375" style="342" customWidth="1"/>
    <col min="791" max="791" width="11.42578125" style="342" customWidth="1"/>
    <col min="792" max="792" width="1" style="342" customWidth="1"/>
    <col min="793" max="793" width="12" style="342" customWidth="1"/>
    <col min="794" max="794" width="0.85546875" style="342" customWidth="1"/>
    <col min="795" max="796" width="0" style="342" hidden="1" customWidth="1"/>
    <col min="797" max="797" width="14.28515625" style="342" customWidth="1"/>
    <col min="798" max="798" width="0.5703125" style="342" customWidth="1"/>
    <col min="799" max="799" width="11.140625" style="342" customWidth="1"/>
    <col min="800" max="800" width="1.28515625" style="342" customWidth="1"/>
    <col min="801" max="801" width="9.28515625" style="342" customWidth="1"/>
    <col min="802" max="802" width="1" style="342" customWidth="1"/>
    <col min="803" max="803" width="12.42578125" style="342" customWidth="1"/>
    <col min="804" max="804" width="1.140625" style="342" customWidth="1"/>
    <col min="805" max="805" width="11.7109375" style="342" customWidth="1"/>
    <col min="806" max="806" width="1.140625" style="342" customWidth="1"/>
    <col min="807" max="807" width="9.140625" style="342"/>
    <col min="808" max="808" width="1.42578125" style="342" customWidth="1"/>
    <col min="809" max="809" width="13.85546875" style="342" customWidth="1"/>
    <col min="810" max="810" width="55.28515625" style="342" customWidth="1"/>
    <col min="811" max="811" width="2" style="342" customWidth="1"/>
    <col min="812" max="812" width="67.42578125" style="342" customWidth="1"/>
    <col min="813" max="816" width="9.140625" style="342"/>
    <col min="817" max="819" width="9.140625" style="342" customWidth="1"/>
    <col min="820" max="820" width="16.85546875" style="342" customWidth="1"/>
    <col min="821" max="826" width="9.140625" style="342"/>
    <col min="827" max="827" width="9.5703125" style="342" customWidth="1"/>
    <col min="828" max="830" width="0" style="342" hidden="1" customWidth="1"/>
    <col min="831" max="1035" width="9.140625" style="342"/>
    <col min="1036" max="1036" width="2.140625" style="342" customWidth="1"/>
    <col min="1037" max="1037" width="13" style="342" customWidth="1"/>
    <col min="1038" max="1038" width="0.7109375" style="342" customWidth="1"/>
    <col min="1039" max="1039" width="14.7109375" style="342" customWidth="1"/>
    <col min="1040" max="1040" width="1.140625" style="342" customWidth="1"/>
    <col min="1041" max="1041" width="39" style="342" customWidth="1"/>
    <col min="1042" max="1042" width="1" style="342" customWidth="1"/>
    <col min="1043" max="1043" width="19" style="342" customWidth="1"/>
    <col min="1044" max="1044" width="1" style="342" customWidth="1"/>
    <col min="1045" max="1045" width="12.7109375" style="342" customWidth="1"/>
    <col min="1046" max="1046" width="0.7109375" style="342" customWidth="1"/>
    <col min="1047" max="1047" width="11.42578125" style="342" customWidth="1"/>
    <col min="1048" max="1048" width="1" style="342" customWidth="1"/>
    <col min="1049" max="1049" width="12" style="342" customWidth="1"/>
    <col min="1050" max="1050" width="0.85546875" style="342" customWidth="1"/>
    <col min="1051" max="1052" width="0" style="342" hidden="1" customWidth="1"/>
    <col min="1053" max="1053" width="14.28515625" style="342" customWidth="1"/>
    <col min="1054" max="1054" width="0.5703125" style="342" customWidth="1"/>
    <col min="1055" max="1055" width="11.140625" style="342" customWidth="1"/>
    <col min="1056" max="1056" width="1.28515625" style="342" customWidth="1"/>
    <col min="1057" max="1057" width="9.28515625" style="342" customWidth="1"/>
    <col min="1058" max="1058" width="1" style="342" customWidth="1"/>
    <col min="1059" max="1059" width="12.42578125" style="342" customWidth="1"/>
    <col min="1060" max="1060" width="1.140625" style="342" customWidth="1"/>
    <col min="1061" max="1061" width="11.7109375" style="342" customWidth="1"/>
    <col min="1062" max="1062" width="1.140625" style="342" customWidth="1"/>
    <col min="1063" max="1063" width="9.140625" style="342"/>
    <col min="1064" max="1064" width="1.42578125" style="342" customWidth="1"/>
    <col min="1065" max="1065" width="13.85546875" style="342" customWidth="1"/>
    <col min="1066" max="1066" width="55.28515625" style="342" customWidth="1"/>
    <col min="1067" max="1067" width="2" style="342" customWidth="1"/>
    <col min="1068" max="1068" width="67.42578125" style="342" customWidth="1"/>
    <col min="1069" max="1072" width="9.140625" style="342"/>
    <col min="1073" max="1075" width="9.140625" style="342" customWidth="1"/>
    <col min="1076" max="1076" width="16.85546875" style="342" customWidth="1"/>
    <col min="1077" max="1082" width="9.140625" style="342"/>
    <col min="1083" max="1083" width="9.5703125" style="342" customWidth="1"/>
    <col min="1084" max="1086" width="0" style="342" hidden="1" customWidth="1"/>
    <col min="1087" max="1291" width="9.140625" style="342"/>
    <col min="1292" max="1292" width="2.140625" style="342" customWidth="1"/>
    <col min="1293" max="1293" width="13" style="342" customWidth="1"/>
    <col min="1294" max="1294" width="0.7109375" style="342" customWidth="1"/>
    <col min="1295" max="1295" width="14.7109375" style="342" customWidth="1"/>
    <col min="1296" max="1296" width="1.140625" style="342" customWidth="1"/>
    <col min="1297" max="1297" width="39" style="342" customWidth="1"/>
    <col min="1298" max="1298" width="1" style="342" customWidth="1"/>
    <col min="1299" max="1299" width="19" style="342" customWidth="1"/>
    <col min="1300" max="1300" width="1" style="342" customWidth="1"/>
    <col min="1301" max="1301" width="12.7109375" style="342" customWidth="1"/>
    <col min="1302" max="1302" width="0.7109375" style="342" customWidth="1"/>
    <col min="1303" max="1303" width="11.42578125" style="342" customWidth="1"/>
    <col min="1304" max="1304" width="1" style="342" customWidth="1"/>
    <col min="1305" max="1305" width="12" style="342" customWidth="1"/>
    <col min="1306" max="1306" width="0.85546875" style="342" customWidth="1"/>
    <col min="1307" max="1308" width="0" style="342" hidden="1" customWidth="1"/>
    <col min="1309" max="1309" width="14.28515625" style="342" customWidth="1"/>
    <col min="1310" max="1310" width="0.5703125" style="342" customWidth="1"/>
    <col min="1311" max="1311" width="11.140625" style="342" customWidth="1"/>
    <col min="1312" max="1312" width="1.28515625" style="342" customWidth="1"/>
    <col min="1313" max="1313" width="9.28515625" style="342" customWidth="1"/>
    <col min="1314" max="1314" width="1" style="342" customWidth="1"/>
    <col min="1315" max="1315" width="12.42578125" style="342" customWidth="1"/>
    <col min="1316" max="1316" width="1.140625" style="342" customWidth="1"/>
    <col min="1317" max="1317" width="11.7109375" style="342" customWidth="1"/>
    <col min="1318" max="1318" width="1.140625" style="342" customWidth="1"/>
    <col min="1319" max="1319" width="9.140625" style="342"/>
    <col min="1320" max="1320" width="1.42578125" style="342" customWidth="1"/>
    <col min="1321" max="1321" width="13.85546875" style="342" customWidth="1"/>
    <col min="1322" max="1322" width="55.28515625" style="342" customWidth="1"/>
    <col min="1323" max="1323" width="2" style="342" customWidth="1"/>
    <col min="1324" max="1324" width="67.42578125" style="342" customWidth="1"/>
    <col min="1325" max="1328" width="9.140625" style="342"/>
    <col min="1329" max="1331" width="9.140625" style="342" customWidth="1"/>
    <col min="1332" max="1332" width="16.85546875" style="342" customWidth="1"/>
    <col min="1333" max="1338" width="9.140625" style="342"/>
    <col min="1339" max="1339" width="9.5703125" style="342" customWidth="1"/>
    <col min="1340" max="1342" width="0" style="342" hidden="1" customWidth="1"/>
    <col min="1343" max="1547" width="9.140625" style="342"/>
    <col min="1548" max="1548" width="2.140625" style="342" customWidth="1"/>
    <col min="1549" max="1549" width="13" style="342" customWidth="1"/>
    <col min="1550" max="1550" width="0.7109375" style="342" customWidth="1"/>
    <col min="1551" max="1551" width="14.7109375" style="342" customWidth="1"/>
    <col min="1552" max="1552" width="1.140625" style="342" customWidth="1"/>
    <col min="1553" max="1553" width="39" style="342" customWidth="1"/>
    <col min="1554" max="1554" width="1" style="342" customWidth="1"/>
    <col min="1555" max="1555" width="19" style="342" customWidth="1"/>
    <col min="1556" max="1556" width="1" style="342" customWidth="1"/>
    <col min="1557" max="1557" width="12.7109375" style="342" customWidth="1"/>
    <col min="1558" max="1558" width="0.7109375" style="342" customWidth="1"/>
    <col min="1559" max="1559" width="11.42578125" style="342" customWidth="1"/>
    <col min="1560" max="1560" width="1" style="342" customWidth="1"/>
    <col min="1561" max="1561" width="12" style="342" customWidth="1"/>
    <col min="1562" max="1562" width="0.85546875" style="342" customWidth="1"/>
    <col min="1563" max="1564" width="0" style="342" hidden="1" customWidth="1"/>
    <col min="1565" max="1565" width="14.28515625" style="342" customWidth="1"/>
    <col min="1566" max="1566" width="0.5703125" style="342" customWidth="1"/>
    <col min="1567" max="1567" width="11.140625" style="342" customWidth="1"/>
    <col min="1568" max="1568" width="1.28515625" style="342" customWidth="1"/>
    <col min="1569" max="1569" width="9.28515625" style="342" customWidth="1"/>
    <col min="1570" max="1570" width="1" style="342" customWidth="1"/>
    <col min="1571" max="1571" width="12.42578125" style="342" customWidth="1"/>
    <col min="1572" max="1572" width="1.140625" style="342" customWidth="1"/>
    <col min="1573" max="1573" width="11.7109375" style="342" customWidth="1"/>
    <col min="1574" max="1574" width="1.140625" style="342" customWidth="1"/>
    <col min="1575" max="1575" width="9.140625" style="342"/>
    <col min="1576" max="1576" width="1.42578125" style="342" customWidth="1"/>
    <col min="1577" max="1577" width="13.85546875" style="342" customWidth="1"/>
    <col min="1578" max="1578" width="55.28515625" style="342" customWidth="1"/>
    <col min="1579" max="1579" width="2" style="342" customWidth="1"/>
    <col min="1580" max="1580" width="67.42578125" style="342" customWidth="1"/>
    <col min="1581" max="1584" width="9.140625" style="342"/>
    <col min="1585" max="1587" width="9.140625" style="342" customWidth="1"/>
    <col min="1588" max="1588" width="16.85546875" style="342" customWidth="1"/>
    <col min="1589" max="1594" width="9.140625" style="342"/>
    <col min="1595" max="1595" width="9.5703125" style="342" customWidth="1"/>
    <col min="1596" max="1598" width="0" style="342" hidden="1" customWidth="1"/>
    <col min="1599" max="1803" width="9.140625" style="342"/>
    <col min="1804" max="1804" width="2.140625" style="342" customWidth="1"/>
    <col min="1805" max="1805" width="13" style="342" customWidth="1"/>
    <col min="1806" max="1806" width="0.7109375" style="342" customWidth="1"/>
    <col min="1807" max="1807" width="14.7109375" style="342" customWidth="1"/>
    <col min="1808" max="1808" width="1.140625" style="342" customWidth="1"/>
    <col min="1809" max="1809" width="39" style="342" customWidth="1"/>
    <col min="1810" max="1810" width="1" style="342" customWidth="1"/>
    <col min="1811" max="1811" width="19" style="342" customWidth="1"/>
    <col min="1812" max="1812" width="1" style="342" customWidth="1"/>
    <col min="1813" max="1813" width="12.7109375" style="342" customWidth="1"/>
    <col min="1814" max="1814" width="0.7109375" style="342" customWidth="1"/>
    <col min="1815" max="1815" width="11.42578125" style="342" customWidth="1"/>
    <col min="1816" max="1816" width="1" style="342" customWidth="1"/>
    <col min="1817" max="1817" width="12" style="342" customWidth="1"/>
    <col min="1818" max="1818" width="0.85546875" style="342" customWidth="1"/>
    <col min="1819" max="1820" width="0" style="342" hidden="1" customWidth="1"/>
    <col min="1821" max="1821" width="14.28515625" style="342" customWidth="1"/>
    <col min="1822" max="1822" width="0.5703125" style="342" customWidth="1"/>
    <col min="1823" max="1823" width="11.140625" style="342" customWidth="1"/>
    <col min="1824" max="1824" width="1.28515625" style="342" customWidth="1"/>
    <col min="1825" max="1825" width="9.28515625" style="342" customWidth="1"/>
    <col min="1826" max="1826" width="1" style="342" customWidth="1"/>
    <col min="1827" max="1827" width="12.42578125" style="342" customWidth="1"/>
    <col min="1828" max="1828" width="1.140625" style="342" customWidth="1"/>
    <col min="1829" max="1829" width="11.7109375" style="342" customWidth="1"/>
    <col min="1830" max="1830" width="1.140625" style="342" customWidth="1"/>
    <col min="1831" max="1831" width="9.140625" style="342"/>
    <col min="1832" max="1832" width="1.42578125" style="342" customWidth="1"/>
    <col min="1833" max="1833" width="13.85546875" style="342" customWidth="1"/>
    <col min="1834" max="1834" width="55.28515625" style="342" customWidth="1"/>
    <col min="1835" max="1835" width="2" style="342" customWidth="1"/>
    <col min="1836" max="1836" width="67.42578125" style="342" customWidth="1"/>
    <col min="1837" max="1840" width="9.140625" style="342"/>
    <col min="1841" max="1843" width="9.140625" style="342" customWidth="1"/>
    <col min="1844" max="1844" width="16.85546875" style="342" customWidth="1"/>
    <col min="1845" max="1850" width="9.140625" style="342"/>
    <col min="1851" max="1851" width="9.5703125" style="342" customWidth="1"/>
    <col min="1852" max="1854" width="0" style="342" hidden="1" customWidth="1"/>
    <col min="1855" max="2059" width="9.140625" style="342"/>
    <col min="2060" max="2060" width="2.140625" style="342" customWidth="1"/>
    <col min="2061" max="2061" width="13" style="342" customWidth="1"/>
    <col min="2062" max="2062" width="0.7109375" style="342" customWidth="1"/>
    <col min="2063" max="2063" width="14.7109375" style="342" customWidth="1"/>
    <col min="2064" max="2064" width="1.140625" style="342" customWidth="1"/>
    <col min="2065" max="2065" width="39" style="342" customWidth="1"/>
    <col min="2066" max="2066" width="1" style="342" customWidth="1"/>
    <col min="2067" max="2067" width="19" style="342" customWidth="1"/>
    <col min="2068" max="2068" width="1" style="342" customWidth="1"/>
    <col min="2069" max="2069" width="12.7109375" style="342" customWidth="1"/>
    <col min="2070" max="2070" width="0.7109375" style="342" customWidth="1"/>
    <col min="2071" max="2071" width="11.42578125" style="342" customWidth="1"/>
    <col min="2072" max="2072" width="1" style="342" customWidth="1"/>
    <col min="2073" max="2073" width="12" style="342" customWidth="1"/>
    <col min="2074" max="2074" width="0.85546875" style="342" customWidth="1"/>
    <col min="2075" max="2076" width="0" style="342" hidden="1" customWidth="1"/>
    <col min="2077" max="2077" width="14.28515625" style="342" customWidth="1"/>
    <col min="2078" max="2078" width="0.5703125" style="342" customWidth="1"/>
    <col min="2079" max="2079" width="11.140625" style="342" customWidth="1"/>
    <col min="2080" max="2080" width="1.28515625" style="342" customWidth="1"/>
    <col min="2081" max="2081" width="9.28515625" style="342" customWidth="1"/>
    <col min="2082" max="2082" width="1" style="342" customWidth="1"/>
    <col min="2083" max="2083" width="12.42578125" style="342" customWidth="1"/>
    <col min="2084" max="2084" width="1.140625" style="342" customWidth="1"/>
    <col min="2085" max="2085" width="11.7109375" style="342" customWidth="1"/>
    <col min="2086" max="2086" width="1.140625" style="342" customWidth="1"/>
    <col min="2087" max="2087" width="9.140625" style="342"/>
    <col min="2088" max="2088" width="1.42578125" style="342" customWidth="1"/>
    <col min="2089" max="2089" width="13.85546875" style="342" customWidth="1"/>
    <col min="2090" max="2090" width="55.28515625" style="342" customWidth="1"/>
    <col min="2091" max="2091" width="2" style="342" customWidth="1"/>
    <col min="2092" max="2092" width="67.42578125" style="342" customWidth="1"/>
    <col min="2093" max="2096" width="9.140625" style="342"/>
    <col min="2097" max="2099" width="9.140625" style="342" customWidth="1"/>
    <col min="2100" max="2100" width="16.85546875" style="342" customWidth="1"/>
    <col min="2101" max="2106" width="9.140625" style="342"/>
    <col min="2107" max="2107" width="9.5703125" style="342" customWidth="1"/>
    <col min="2108" max="2110" width="0" style="342" hidden="1" customWidth="1"/>
    <col min="2111" max="2315" width="9.140625" style="342"/>
    <col min="2316" max="2316" width="2.140625" style="342" customWidth="1"/>
    <col min="2317" max="2317" width="13" style="342" customWidth="1"/>
    <col min="2318" max="2318" width="0.7109375" style="342" customWidth="1"/>
    <col min="2319" max="2319" width="14.7109375" style="342" customWidth="1"/>
    <col min="2320" max="2320" width="1.140625" style="342" customWidth="1"/>
    <col min="2321" max="2321" width="39" style="342" customWidth="1"/>
    <col min="2322" max="2322" width="1" style="342" customWidth="1"/>
    <col min="2323" max="2323" width="19" style="342" customWidth="1"/>
    <col min="2324" max="2324" width="1" style="342" customWidth="1"/>
    <col min="2325" max="2325" width="12.7109375" style="342" customWidth="1"/>
    <col min="2326" max="2326" width="0.7109375" style="342" customWidth="1"/>
    <col min="2327" max="2327" width="11.42578125" style="342" customWidth="1"/>
    <col min="2328" max="2328" width="1" style="342" customWidth="1"/>
    <col min="2329" max="2329" width="12" style="342" customWidth="1"/>
    <col min="2330" max="2330" width="0.85546875" style="342" customWidth="1"/>
    <col min="2331" max="2332" width="0" style="342" hidden="1" customWidth="1"/>
    <col min="2333" max="2333" width="14.28515625" style="342" customWidth="1"/>
    <col min="2334" max="2334" width="0.5703125" style="342" customWidth="1"/>
    <col min="2335" max="2335" width="11.140625" style="342" customWidth="1"/>
    <col min="2336" max="2336" width="1.28515625" style="342" customWidth="1"/>
    <col min="2337" max="2337" width="9.28515625" style="342" customWidth="1"/>
    <col min="2338" max="2338" width="1" style="342" customWidth="1"/>
    <col min="2339" max="2339" width="12.42578125" style="342" customWidth="1"/>
    <col min="2340" max="2340" width="1.140625" style="342" customWidth="1"/>
    <col min="2341" max="2341" width="11.7109375" style="342" customWidth="1"/>
    <col min="2342" max="2342" width="1.140625" style="342" customWidth="1"/>
    <col min="2343" max="2343" width="9.140625" style="342"/>
    <col min="2344" max="2344" width="1.42578125" style="342" customWidth="1"/>
    <col min="2345" max="2345" width="13.85546875" style="342" customWidth="1"/>
    <col min="2346" max="2346" width="55.28515625" style="342" customWidth="1"/>
    <col min="2347" max="2347" width="2" style="342" customWidth="1"/>
    <col min="2348" max="2348" width="67.42578125" style="342" customWidth="1"/>
    <col min="2349" max="2352" width="9.140625" style="342"/>
    <col min="2353" max="2355" width="9.140625" style="342" customWidth="1"/>
    <col min="2356" max="2356" width="16.85546875" style="342" customWidth="1"/>
    <col min="2357" max="2362" width="9.140625" style="342"/>
    <col min="2363" max="2363" width="9.5703125" style="342" customWidth="1"/>
    <col min="2364" max="2366" width="0" style="342" hidden="1" customWidth="1"/>
    <col min="2367" max="2571" width="9.140625" style="342"/>
    <col min="2572" max="2572" width="2.140625" style="342" customWidth="1"/>
    <col min="2573" max="2573" width="13" style="342" customWidth="1"/>
    <col min="2574" max="2574" width="0.7109375" style="342" customWidth="1"/>
    <col min="2575" max="2575" width="14.7109375" style="342" customWidth="1"/>
    <col min="2576" max="2576" width="1.140625" style="342" customWidth="1"/>
    <col min="2577" max="2577" width="39" style="342" customWidth="1"/>
    <col min="2578" max="2578" width="1" style="342" customWidth="1"/>
    <col min="2579" max="2579" width="19" style="342" customWidth="1"/>
    <col min="2580" max="2580" width="1" style="342" customWidth="1"/>
    <col min="2581" max="2581" width="12.7109375" style="342" customWidth="1"/>
    <col min="2582" max="2582" width="0.7109375" style="342" customWidth="1"/>
    <col min="2583" max="2583" width="11.42578125" style="342" customWidth="1"/>
    <col min="2584" max="2584" width="1" style="342" customWidth="1"/>
    <col min="2585" max="2585" width="12" style="342" customWidth="1"/>
    <col min="2586" max="2586" width="0.85546875" style="342" customWidth="1"/>
    <col min="2587" max="2588" width="0" style="342" hidden="1" customWidth="1"/>
    <col min="2589" max="2589" width="14.28515625" style="342" customWidth="1"/>
    <col min="2590" max="2590" width="0.5703125" style="342" customWidth="1"/>
    <col min="2591" max="2591" width="11.140625" style="342" customWidth="1"/>
    <col min="2592" max="2592" width="1.28515625" style="342" customWidth="1"/>
    <col min="2593" max="2593" width="9.28515625" style="342" customWidth="1"/>
    <col min="2594" max="2594" width="1" style="342" customWidth="1"/>
    <col min="2595" max="2595" width="12.42578125" style="342" customWidth="1"/>
    <col min="2596" max="2596" width="1.140625" style="342" customWidth="1"/>
    <col min="2597" max="2597" width="11.7109375" style="342" customWidth="1"/>
    <col min="2598" max="2598" width="1.140625" style="342" customWidth="1"/>
    <col min="2599" max="2599" width="9.140625" style="342"/>
    <col min="2600" max="2600" width="1.42578125" style="342" customWidth="1"/>
    <col min="2601" max="2601" width="13.85546875" style="342" customWidth="1"/>
    <col min="2602" max="2602" width="55.28515625" style="342" customWidth="1"/>
    <col min="2603" max="2603" width="2" style="342" customWidth="1"/>
    <col min="2604" max="2604" width="67.42578125" style="342" customWidth="1"/>
    <col min="2605" max="2608" width="9.140625" style="342"/>
    <col min="2609" max="2611" width="9.140625" style="342" customWidth="1"/>
    <col min="2612" max="2612" width="16.85546875" style="342" customWidth="1"/>
    <col min="2613" max="2618" width="9.140625" style="342"/>
    <col min="2619" max="2619" width="9.5703125" style="342" customWidth="1"/>
    <col min="2620" max="2622" width="0" style="342" hidden="1" customWidth="1"/>
    <col min="2623" max="2827" width="9.140625" style="342"/>
    <col min="2828" max="2828" width="2.140625" style="342" customWidth="1"/>
    <col min="2829" max="2829" width="13" style="342" customWidth="1"/>
    <col min="2830" max="2830" width="0.7109375" style="342" customWidth="1"/>
    <col min="2831" max="2831" width="14.7109375" style="342" customWidth="1"/>
    <col min="2832" max="2832" width="1.140625" style="342" customWidth="1"/>
    <col min="2833" max="2833" width="39" style="342" customWidth="1"/>
    <col min="2834" max="2834" width="1" style="342" customWidth="1"/>
    <col min="2835" max="2835" width="19" style="342" customWidth="1"/>
    <col min="2836" max="2836" width="1" style="342" customWidth="1"/>
    <col min="2837" max="2837" width="12.7109375" style="342" customWidth="1"/>
    <col min="2838" max="2838" width="0.7109375" style="342" customWidth="1"/>
    <col min="2839" max="2839" width="11.42578125" style="342" customWidth="1"/>
    <col min="2840" max="2840" width="1" style="342" customWidth="1"/>
    <col min="2841" max="2841" width="12" style="342" customWidth="1"/>
    <col min="2842" max="2842" width="0.85546875" style="342" customWidth="1"/>
    <col min="2843" max="2844" width="0" style="342" hidden="1" customWidth="1"/>
    <col min="2845" max="2845" width="14.28515625" style="342" customWidth="1"/>
    <col min="2846" max="2846" width="0.5703125" style="342" customWidth="1"/>
    <col min="2847" max="2847" width="11.140625" style="342" customWidth="1"/>
    <col min="2848" max="2848" width="1.28515625" style="342" customWidth="1"/>
    <col min="2849" max="2849" width="9.28515625" style="342" customWidth="1"/>
    <col min="2850" max="2850" width="1" style="342" customWidth="1"/>
    <col min="2851" max="2851" width="12.42578125" style="342" customWidth="1"/>
    <col min="2852" max="2852" width="1.140625" style="342" customWidth="1"/>
    <col min="2853" max="2853" width="11.7109375" style="342" customWidth="1"/>
    <col min="2854" max="2854" width="1.140625" style="342" customWidth="1"/>
    <col min="2855" max="2855" width="9.140625" style="342"/>
    <col min="2856" max="2856" width="1.42578125" style="342" customWidth="1"/>
    <col min="2857" max="2857" width="13.85546875" style="342" customWidth="1"/>
    <col min="2858" max="2858" width="55.28515625" style="342" customWidth="1"/>
    <col min="2859" max="2859" width="2" style="342" customWidth="1"/>
    <col min="2860" max="2860" width="67.42578125" style="342" customWidth="1"/>
    <col min="2861" max="2864" width="9.140625" style="342"/>
    <col min="2865" max="2867" width="9.140625" style="342" customWidth="1"/>
    <col min="2868" max="2868" width="16.85546875" style="342" customWidth="1"/>
    <col min="2869" max="2874" width="9.140625" style="342"/>
    <col min="2875" max="2875" width="9.5703125" style="342" customWidth="1"/>
    <col min="2876" max="2878" width="0" style="342" hidden="1" customWidth="1"/>
    <col min="2879" max="3083" width="9.140625" style="342"/>
    <col min="3084" max="3084" width="2.140625" style="342" customWidth="1"/>
    <col min="3085" max="3085" width="13" style="342" customWidth="1"/>
    <col min="3086" max="3086" width="0.7109375" style="342" customWidth="1"/>
    <col min="3087" max="3087" width="14.7109375" style="342" customWidth="1"/>
    <col min="3088" max="3088" width="1.140625" style="342" customWidth="1"/>
    <col min="3089" max="3089" width="39" style="342" customWidth="1"/>
    <col min="3090" max="3090" width="1" style="342" customWidth="1"/>
    <col min="3091" max="3091" width="19" style="342" customWidth="1"/>
    <col min="3092" max="3092" width="1" style="342" customWidth="1"/>
    <col min="3093" max="3093" width="12.7109375" style="342" customWidth="1"/>
    <col min="3094" max="3094" width="0.7109375" style="342" customWidth="1"/>
    <col min="3095" max="3095" width="11.42578125" style="342" customWidth="1"/>
    <col min="3096" max="3096" width="1" style="342" customWidth="1"/>
    <col min="3097" max="3097" width="12" style="342" customWidth="1"/>
    <col min="3098" max="3098" width="0.85546875" style="342" customWidth="1"/>
    <col min="3099" max="3100" width="0" style="342" hidden="1" customWidth="1"/>
    <col min="3101" max="3101" width="14.28515625" style="342" customWidth="1"/>
    <col min="3102" max="3102" width="0.5703125" style="342" customWidth="1"/>
    <col min="3103" max="3103" width="11.140625" style="342" customWidth="1"/>
    <col min="3104" max="3104" width="1.28515625" style="342" customWidth="1"/>
    <col min="3105" max="3105" width="9.28515625" style="342" customWidth="1"/>
    <col min="3106" max="3106" width="1" style="342" customWidth="1"/>
    <col min="3107" max="3107" width="12.42578125" style="342" customWidth="1"/>
    <col min="3108" max="3108" width="1.140625" style="342" customWidth="1"/>
    <col min="3109" max="3109" width="11.7109375" style="342" customWidth="1"/>
    <col min="3110" max="3110" width="1.140625" style="342" customWidth="1"/>
    <col min="3111" max="3111" width="9.140625" style="342"/>
    <col min="3112" max="3112" width="1.42578125" style="342" customWidth="1"/>
    <col min="3113" max="3113" width="13.85546875" style="342" customWidth="1"/>
    <col min="3114" max="3114" width="55.28515625" style="342" customWidth="1"/>
    <col min="3115" max="3115" width="2" style="342" customWidth="1"/>
    <col min="3116" max="3116" width="67.42578125" style="342" customWidth="1"/>
    <col min="3117" max="3120" width="9.140625" style="342"/>
    <col min="3121" max="3123" width="9.140625" style="342" customWidth="1"/>
    <col min="3124" max="3124" width="16.85546875" style="342" customWidth="1"/>
    <col min="3125" max="3130" width="9.140625" style="342"/>
    <col min="3131" max="3131" width="9.5703125" style="342" customWidth="1"/>
    <col min="3132" max="3134" width="0" style="342" hidden="1" customWidth="1"/>
    <col min="3135" max="3339" width="9.140625" style="342"/>
    <col min="3340" max="3340" width="2.140625" style="342" customWidth="1"/>
    <col min="3341" max="3341" width="13" style="342" customWidth="1"/>
    <col min="3342" max="3342" width="0.7109375" style="342" customWidth="1"/>
    <col min="3343" max="3343" width="14.7109375" style="342" customWidth="1"/>
    <col min="3344" max="3344" width="1.140625" style="342" customWidth="1"/>
    <col min="3345" max="3345" width="39" style="342" customWidth="1"/>
    <col min="3346" max="3346" width="1" style="342" customWidth="1"/>
    <col min="3347" max="3347" width="19" style="342" customWidth="1"/>
    <col min="3348" max="3348" width="1" style="342" customWidth="1"/>
    <col min="3349" max="3349" width="12.7109375" style="342" customWidth="1"/>
    <col min="3350" max="3350" width="0.7109375" style="342" customWidth="1"/>
    <col min="3351" max="3351" width="11.42578125" style="342" customWidth="1"/>
    <col min="3352" max="3352" width="1" style="342" customWidth="1"/>
    <col min="3353" max="3353" width="12" style="342" customWidth="1"/>
    <col min="3354" max="3354" width="0.85546875" style="342" customWidth="1"/>
    <col min="3355" max="3356" width="0" style="342" hidden="1" customWidth="1"/>
    <col min="3357" max="3357" width="14.28515625" style="342" customWidth="1"/>
    <col min="3358" max="3358" width="0.5703125" style="342" customWidth="1"/>
    <col min="3359" max="3359" width="11.140625" style="342" customWidth="1"/>
    <col min="3360" max="3360" width="1.28515625" style="342" customWidth="1"/>
    <col min="3361" max="3361" width="9.28515625" style="342" customWidth="1"/>
    <col min="3362" max="3362" width="1" style="342" customWidth="1"/>
    <col min="3363" max="3363" width="12.42578125" style="342" customWidth="1"/>
    <col min="3364" max="3364" width="1.140625" style="342" customWidth="1"/>
    <col min="3365" max="3365" width="11.7109375" style="342" customWidth="1"/>
    <col min="3366" max="3366" width="1.140625" style="342" customWidth="1"/>
    <col min="3367" max="3367" width="9.140625" style="342"/>
    <col min="3368" max="3368" width="1.42578125" style="342" customWidth="1"/>
    <col min="3369" max="3369" width="13.85546875" style="342" customWidth="1"/>
    <col min="3370" max="3370" width="55.28515625" style="342" customWidth="1"/>
    <col min="3371" max="3371" width="2" style="342" customWidth="1"/>
    <col min="3372" max="3372" width="67.42578125" style="342" customWidth="1"/>
    <col min="3373" max="3376" width="9.140625" style="342"/>
    <col min="3377" max="3379" width="9.140625" style="342" customWidth="1"/>
    <col min="3380" max="3380" width="16.85546875" style="342" customWidth="1"/>
    <col min="3381" max="3386" width="9.140625" style="342"/>
    <col min="3387" max="3387" width="9.5703125" style="342" customWidth="1"/>
    <col min="3388" max="3390" width="0" style="342" hidden="1" customWidth="1"/>
    <col min="3391" max="3595" width="9.140625" style="342"/>
    <col min="3596" max="3596" width="2.140625" style="342" customWidth="1"/>
    <col min="3597" max="3597" width="13" style="342" customWidth="1"/>
    <col min="3598" max="3598" width="0.7109375" style="342" customWidth="1"/>
    <col min="3599" max="3599" width="14.7109375" style="342" customWidth="1"/>
    <col min="3600" max="3600" width="1.140625" style="342" customWidth="1"/>
    <col min="3601" max="3601" width="39" style="342" customWidth="1"/>
    <col min="3602" max="3602" width="1" style="342" customWidth="1"/>
    <col min="3603" max="3603" width="19" style="342" customWidth="1"/>
    <col min="3604" max="3604" width="1" style="342" customWidth="1"/>
    <col min="3605" max="3605" width="12.7109375" style="342" customWidth="1"/>
    <col min="3606" max="3606" width="0.7109375" style="342" customWidth="1"/>
    <col min="3607" max="3607" width="11.42578125" style="342" customWidth="1"/>
    <col min="3608" max="3608" width="1" style="342" customWidth="1"/>
    <col min="3609" max="3609" width="12" style="342" customWidth="1"/>
    <col min="3610" max="3610" width="0.85546875" style="342" customWidth="1"/>
    <col min="3611" max="3612" width="0" style="342" hidden="1" customWidth="1"/>
    <col min="3613" max="3613" width="14.28515625" style="342" customWidth="1"/>
    <col min="3614" max="3614" width="0.5703125" style="342" customWidth="1"/>
    <col min="3615" max="3615" width="11.140625" style="342" customWidth="1"/>
    <col min="3616" max="3616" width="1.28515625" style="342" customWidth="1"/>
    <col min="3617" max="3617" width="9.28515625" style="342" customWidth="1"/>
    <col min="3618" max="3618" width="1" style="342" customWidth="1"/>
    <col min="3619" max="3619" width="12.42578125" style="342" customWidth="1"/>
    <col min="3620" max="3620" width="1.140625" style="342" customWidth="1"/>
    <col min="3621" max="3621" width="11.7109375" style="342" customWidth="1"/>
    <col min="3622" max="3622" width="1.140625" style="342" customWidth="1"/>
    <col min="3623" max="3623" width="9.140625" style="342"/>
    <col min="3624" max="3624" width="1.42578125" style="342" customWidth="1"/>
    <col min="3625" max="3625" width="13.85546875" style="342" customWidth="1"/>
    <col min="3626" max="3626" width="55.28515625" style="342" customWidth="1"/>
    <col min="3627" max="3627" width="2" style="342" customWidth="1"/>
    <col min="3628" max="3628" width="67.42578125" style="342" customWidth="1"/>
    <col min="3629" max="3632" width="9.140625" style="342"/>
    <col min="3633" max="3635" width="9.140625" style="342" customWidth="1"/>
    <col min="3636" max="3636" width="16.85546875" style="342" customWidth="1"/>
    <col min="3637" max="3642" width="9.140625" style="342"/>
    <col min="3643" max="3643" width="9.5703125" style="342" customWidth="1"/>
    <col min="3644" max="3646" width="0" style="342" hidden="1" customWidth="1"/>
    <col min="3647" max="3851" width="9.140625" style="342"/>
    <col min="3852" max="3852" width="2.140625" style="342" customWidth="1"/>
    <col min="3853" max="3853" width="13" style="342" customWidth="1"/>
    <col min="3854" max="3854" width="0.7109375" style="342" customWidth="1"/>
    <col min="3855" max="3855" width="14.7109375" style="342" customWidth="1"/>
    <col min="3856" max="3856" width="1.140625" style="342" customWidth="1"/>
    <col min="3857" max="3857" width="39" style="342" customWidth="1"/>
    <col min="3858" max="3858" width="1" style="342" customWidth="1"/>
    <col min="3859" max="3859" width="19" style="342" customWidth="1"/>
    <col min="3860" max="3860" width="1" style="342" customWidth="1"/>
    <col min="3861" max="3861" width="12.7109375" style="342" customWidth="1"/>
    <col min="3862" max="3862" width="0.7109375" style="342" customWidth="1"/>
    <col min="3863" max="3863" width="11.42578125" style="342" customWidth="1"/>
    <col min="3864" max="3864" width="1" style="342" customWidth="1"/>
    <col min="3865" max="3865" width="12" style="342" customWidth="1"/>
    <col min="3866" max="3866" width="0.85546875" style="342" customWidth="1"/>
    <col min="3867" max="3868" width="0" style="342" hidden="1" customWidth="1"/>
    <col min="3869" max="3869" width="14.28515625" style="342" customWidth="1"/>
    <col min="3870" max="3870" width="0.5703125" style="342" customWidth="1"/>
    <col min="3871" max="3871" width="11.140625" style="342" customWidth="1"/>
    <col min="3872" max="3872" width="1.28515625" style="342" customWidth="1"/>
    <col min="3873" max="3873" width="9.28515625" style="342" customWidth="1"/>
    <col min="3874" max="3874" width="1" style="342" customWidth="1"/>
    <col min="3875" max="3875" width="12.42578125" style="342" customWidth="1"/>
    <col min="3876" max="3876" width="1.140625" style="342" customWidth="1"/>
    <col min="3877" max="3877" width="11.7109375" style="342" customWidth="1"/>
    <col min="3878" max="3878" width="1.140625" style="342" customWidth="1"/>
    <col min="3879" max="3879" width="9.140625" style="342"/>
    <col min="3880" max="3880" width="1.42578125" style="342" customWidth="1"/>
    <col min="3881" max="3881" width="13.85546875" style="342" customWidth="1"/>
    <col min="3882" max="3882" width="55.28515625" style="342" customWidth="1"/>
    <col min="3883" max="3883" width="2" style="342" customWidth="1"/>
    <col min="3884" max="3884" width="67.42578125" style="342" customWidth="1"/>
    <col min="3885" max="3888" width="9.140625" style="342"/>
    <col min="3889" max="3891" width="9.140625" style="342" customWidth="1"/>
    <col min="3892" max="3892" width="16.85546875" style="342" customWidth="1"/>
    <col min="3893" max="3898" width="9.140625" style="342"/>
    <col min="3899" max="3899" width="9.5703125" style="342" customWidth="1"/>
    <col min="3900" max="3902" width="0" style="342" hidden="1" customWidth="1"/>
    <col min="3903" max="4107" width="9.140625" style="342"/>
    <col min="4108" max="4108" width="2.140625" style="342" customWidth="1"/>
    <col min="4109" max="4109" width="13" style="342" customWidth="1"/>
    <col min="4110" max="4110" width="0.7109375" style="342" customWidth="1"/>
    <col min="4111" max="4111" width="14.7109375" style="342" customWidth="1"/>
    <col min="4112" max="4112" width="1.140625" style="342" customWidth="1"/>
    <col min="4113" max="4113" width="39" style="342" customWidth="1"/>
    <col min="4114" max="4114" width="1" style="342" customWidth="1"/>
    <col min="4115" max="4115" width="19" style="342" customWidth="1"/>
    <col min="4116" max="4116" width="1" style="342" customWidth="1"/>
    <col min="4117" max="4117" width="12.7109375" style="342" customWidth="1"/>
    <col min="4118" max="4118" width="0.7109375" style="342" customWidth="1"/>
    <col min="4119" max="4119" width="11.42578125" style="342" customWidth="1"/>
    <col min="4120" max="4120" width="1" style="342" customWidth="1"/>
    <col min="4121" max="4121" width="12" style="342" customWidth="1"/>
    <col min="4122" max="4122" width="0.85546875" style="342" customWidth="1"/>
    <col min="4123" max="4124" width="0" style="342" hidden="1" customWidth="1"/>
    <col min="4125" max="4125" width="14.28515625" style="342" customWidth="1"/>
    <col min="4126" max="4126" width="0.5703125" style="342" customWidth="1"/>
    <col min="4127" max="4127" width="11.140625" style="342" customWidth="1"/>
    <col min="4128" max="4128" width="1.28515625" style="342" customWidth="1"/>
    <col min="4129" max="4129" width="9.28515625" style="342" customWidth="1"/>
    <col min="4130" max="4130" width="1" style="342" customWidth="1"/>
    <col min="4131" max="4131" width="12.42578125" style="342" customWidth="1"/>
    <col min="4132" max="4132" width="1.140625" style="342" customWidth="1"/>
    <col min="4133" max="4133" width="11.7109375" style="342" customWidth="1"/>
    <col min="4134" max="4134" width="1.140625" style="342" customWidth="1"/>
    <col min="4135" max="4135" width="9.140625" style="342"/>
    <col min="4136" max="4136" width="1.42578125" style="342" customWidth="1"/>
    <col min="4137" max="4137" width="13.85546875" style="342" customWidth="1"/>
    <col min="4138" max="4138" width="55.28515625" style="342" customWidth="1"/>
    <col min="4139" max="4139" width="2" style="342" customWidth="1"/>
    <col min="4140" max="4140" width="67.42578125" style="342" customWidth="1"/>
    <col min="4141" max="4144" width="9.140625" style="342"/>
    <col min="4145" max="4147" width="9.140625" style="342" customWidth="1"/>
    <col min="4148" max="4148" width="16.85546875" style="342" customWidth="1"/>
    <col min="4149" max="4154" width="9.140625" style="342"/>
    <col min="4155" max="4155" width="9.5703125" style="342" customWidth="1"/>
    <col min="4156" max="4158" width="0" style="342" hidden="1" customWidth="1"/>
    <col min="4159" max="4363" width="9.140625" style="342"/>
    <col min="4364" max="4364" width="2.140625" style="342" customWidth="1"/>
    <col min="4365" max="4365" width="13" style="342" customWidth="1"/>
    <col min="4366" max="4366" width="0.7109375" style="342" customWidth="1"/>
    <col min="4367" max="4367" width="14.7109375" style="342" customWidth="1"/>
    <col min="4368" max="4368" width="1.140625" style="342" customWidth="1"/>
    <col min="4369" max="4369" width="39" style="342" customWidth="1"/>
    <col min="4370" max="4370" width="1" style="342" customWidth="1"/>
    <col min="4371" max="4371" width="19" style="342" customWidth="1"/>
    <col min="4372" max="4372" width="1" style="342" customWidth="1"/>
    <col min="4373" max="4373" width="12.7109375" style="342" customWidth="1"/>
    <col min="4374" max="4374" width="0.7109375" style="342" customWidth="1"/>
    <col min="4375" max="4375" width="11.42578125" style="342" customWidth="1"/>
    <col min="4376" max="4376" width="1" style="342" customWidth="1"/>
    <col min="4377" max="4377" width="12" style="342" customWidth="1"/>
    <col min="4378" max="4378" width="0.85546875" style="342" customWidth="1"/>
    <col min="4379" max="4380" width="0" style="342" hidden="1" customWidth="1"/>
    <col min="4381" max="4381" width="14.28515625" style="342" customWidth="1"/>
    <col min="4382" max="4382" width="0.5703125" style="342" customWidth="1"/>
    <col min="4383" max="4383" width="11.140625" style="342" customWidth="1"/>
    <col min="4384" max="4384" width="1.28515625" style="342" customWidth="1"/>
    <col min="4385" max="4385" width="9.28515625" style="342" customWidth="1"/>
    <col min="4386" max="4386" width="1" style="342" customWidth="1"/>
    <col min="4387" max="4387" width="12.42578125" style="342" customWidth="1"/>
    <col min="4388" max="4388" width="1.140625" style="342" customWidth="1"/>
    <col min="4389" max="4389" width="11.7109375" style="342" customWidth="1"/>
    <col min="4390" max="4390" width="1.140625" style="342" customWidth="1"/>
    <col min="4391" max="4391" width="9.140625" style="342"/>
    <col min="4392" max="4392" width="1.42578125" style="342" customWidth="1"/>
    <col min="4393" max="4393" width="13.85546875" style="342" customWidth="1"/>
    <col min="4394" max="4394" width="55.28515625" style="342" customWidth="1"/>
    <col min="4395" max="4395" width="2" style="342" customWidth="1"/>
    <col min="4396" max="4396" width="67.42578125" style="342" customWidth="1"/>
    <col min="4397" max="4400" width="9.140625" style="342"/>
    <col min="4401" max="4403" width="9.140625" style="342" customWidth="1"/>
    <col min="4404" max="4404" width="16.85546875" style="342" customWidth="1"/>
    <col min="4405" max="4410" width="9.140625" style="342"/>
    <col min="4411" max="4411" width="9.5703125" style="342" customWidth="1"/>
    <col min="4412" max="4414" width="0" style="342" hidden="1" customWidth="1"/>
    <col min="4415" max="4619" width="9.140625" style="342"/>
    <col min="4620" max="4620" width="2.140625" style="342" customWidth="1"/>
    <col min="4621" max="4621" width="13" style="342" customWidth="1"/>
    <col min="4622" max="4622" width="0.7109375" style="342" customWidth="1"/>
    <col min="4623" max="4623" width="14.7109375" style="342" customWidth="1"/>
    <col min="4624" max="4624" width="1.140625" style="342" customWidth="1"/>
    <col min="4625" max="4625" width="39" style="342" customWidth="1"/>
    <col min="4626" max="4626" width="1" style="342" customWidth="1"/>
    <col min="4627" max="4627" width="19" style="342" customWidth="1"/>
    <col min="4628" max="4628" width="1" style="342" customWidth="1"/>
    <col min="4629" max="4629" width="12.7109375" style="342" customWidth="1"/>
    <col min="4630" max="4630" width="0.7109375" style="342" customWidth="1"/>
    <col min="4631" max="4631" width="11.42578125" style="342" customWidth="1"/>
    <col min="4632" max="4632" width="1" style="342" customWidth="1"/>
    <col min="4633" max="4633" width="12" style="342" customWidth="1"/>
    <col min="4634" max="4634" width="0.85546875" style="342" customWidth="1"/>
    <col min="4635" max="4636" width="0" style="342" hidden="1" customWidth="1"/>
    <col min="4637" max="4637" width="14.28515625" style="342" customWidth="1"/>
    <col min="4638" max="4638" width="0.5703125" style="342" customWidth="1"/>
    <col min="4639" max="4639" width="11.140625" style="342" customWidth="1"/>
    <col min="4640" max="4640" width="1.28515625" style="342" customWidth="1"/>
    <col min="4641" max="4641" width="9.28515625" style="342" customWidth="1"/>
    <col min="4642" max="4642" width="1" style="342" customWidth="1"/>
    <col min="4643" max="4643" width="12.42578125" style="342" customWidth="1"/>
    <col min="4644" max="4644" width="1.140625" style="342" customWidth="1"/>
    <col min="4645" max="4645" width="11.7109375" style="342" customWidth="1"/>
    <col min="4646" max="4646" width="1.140625" style="342" customWidth="1"/>
    <col min="4647" max="4647" width="9.140625" style="342"/>
    <col min="4648" max="4648" width="1.42578125" style="342" customWidth="1"/>
    <col min="4649" max="4649" width="13.85546875" style="342" customWidth="1"/>
    <col min="4650" max="4650" width="55.28515625" style="342" customWidth="1"/>
    <col min="4651" max="4651" width="2" style="342" customWidth="1"/>
    <col min="4652" max="4652" width="67.42578125" style="342" customWidth="1"/>
    <col min="4653" max="4656" width="9.140625" style="342"/>
    <col min="4657" max="4659" width="9.140625" style="342" customWidth="1"/>
    <col min="4660" max="4660" width="16.85546875" style="342" customWidth="1"/>
    <col min="4661" max="4666" width="9.140625" style="342"/>
    <col min="4667" max="4667" width="9.5703125" style="342" customWidth="1"/>
    <col min="4668" max="4670" width="0" style="342" hidden="1" customWidth="1"/>
    <col min="4671" max="4875" width="9.140625" style="342"/>
    <col min="4876" max="4876" width="2.140625" style="342" customWidth="1"/>
    <col min="4877" max="4877" width="13" style="342" customWidth="1"/>
    <col min="4878" max="4878" width="0.7109375" style="342" customWidth="1"/>
    <col min="4879" max="4879" width="14.7109375" style="342" customWidth="1"/>
    <col min="4880" max="4880" width="1.140625" style="342" customWidth="1"/>
    <col min="4881" max="4881" width="39" style="342" customWidth="1"/>
    <col min="4882" max="4882" width="1" style="342" customWidth="1"/>
    <col min="4883" max="4883" width="19" style="342" customWidth="1"/>
    <col min="4884" max="4884" width="1" style="342" customWidth="1"/>
    <col min="4885" max="4885" width="12.7109375" style="342" customWidth="1"/>
    <col min="4886" max="4886" width="0.7109375" style="342" customWidth="1"/>
    <col min="4887" max="4887" width="11.42578125" style="342" customWidth="1"/>
    <col min="4888" max="4888" width="1" style="342" customWidth="1"/>
    <col min="4889" max="4889" width="12" style="342" customWidth="1"/>
    <col min="4890" max="4890" width="0.85546875" style="342" customWidth="1"/>
    <col min="4891" max="4892" width="0" style="342" hidden="1" customWidth="1"/>
    <col min="4893" max="4893" width="14.28515625" style="342" customWidth="1"/>
    <col min="4894" max="4894" width="0.5703125" style="342" customWidth="1"/>
    <col min="4895" max="4895" width="11.140625" style="342" customWidth="1"/>
    <col min="4896" max="4896" width="1.28515625" style="342" customWidth="1"/>
    <col min="4897" max="4897" width="9.28515625" style="342" customWidth="1"/>
    <col min="4898" max="4898" width="1" style="342" customWidth="1"/>
    <col min="4899" max="4899" width="12.42578125" style="342" customWidth="1"/>
    <col min="4900" max="4900" width="1.140625" style="342" customWidth="1"/>
    <col min="4901" max="4901" width="11.7109375" style="342" customWidth="1"/>
    <col min="4902" max="4902" width="1.140625" style="342" customWidth="1"/>
    <col min="4903" max="4903" width="9.140625" style="342"/>
    <col min="4904" max="4904" width="1.42578125" style="342" customWidth="1"/>
    <col min="4905" max="4905" width="13.85546875" style="342" customWidth="1"/>
    <col min="4906" max="4906" width="55.28515625" style="342" customWidth="1"/>
    <col min="4907" max="4907" width="2" style="342" customWidth="1"/>
    <col min="4908" max="4908" width="67.42578125" style="342" customWidth="1"/>
    <col min="4909" max="4912" width="9.140625" style="342"/>
    <col min="4913" max="4915" width="9.140625" style="342" customWidth="1"/>
    <col min="4916" max="4916" width="16.85546875" style="342" customWidth="1"/>
    <col min="4917" max="4922" width="9.140625" style="342"/>
    <col min="4923" max="4923" width="9.5703125" style="342" customWidth="1"/>
    <col min="4924" max="4926" width="0" style="342" hidden="1" customWidth="1"/>
    <col min="4927" max="5131" width="9.140625" style="342"/>
    <col min="5132" max="5132" width="2.140625" style="342" customWidth="1"/>
    <col min="5133" max="5133" width="13" style="342" customWidth="1"/>
    <col min="5134" max="5134" width="0.7109375" style="342" customWidth="1"/>
    <col min="5135" max="5135" width="14.7109375" style="342" customWidth="1"/>
    <col min="5136" max="5136" width="1.140625" style="342" customWidth="1"/>
    <col min="5137" max="5137" width="39" style="342" customWidth="1"/>
    <col min="5138" max="5138" width="1" style="342" customWidth="1"/>
    <col min="5139" max="5139" width="19" style="342" customWidth="1"/>
    <col min="5140" max="5140" width="1" style="342" customWidth="1"/>
    <col min="5141" max="5141" width="12.7109375" style="342" customWidth="1"/>
    <col min="5142" max="5142" width="0.7109375" style="342" customWidth="1"/>
    <col min="5143" max="5143" width="11.42578125" style="342" customWidth="1"/>
    <col min="5144" max="5144" width="1" style="342" customWidth="1"/>
    <col min="5145" max="5145" width="12" style="342" customWidth="1"/>
    <col min="5146" max="5146" width="0.85546875" style="342" customWidth="1"/>
    <col min="5147" max="5148" width="0" style="342" hidden="1" customWidth="1"/>
    <col min="5149" max="5149" width="14.28515625" style="342" customWidth="1"/>
    <col min="5150" max="5150" width="0.5703125" style="342" customWidth="1"/>
    <col min="5151" max="5151" width="11.140625" style="342" customWidth="1"/>
    <col min="5152" max="5152" width="1.28515625" style="342" customWidth="1"/>
    <col min="5153" max="5153" width="9.28515625" style="342" customWidth="1"/>
    <col min="5154" max="5154" width="1" style="342" customWidth="1"/>
    <col min="5155" max="5155" width="12.42578125" style="342" customWidth="1"/>
    <col min="5156" max="5156" width="1.140625" style="342" customWidth="1"/>
    <col min="5157" max="5157" width="11.7109375" style="342" customWidth="1"/>
    <col min="5158" max="5158" width="1.140625" style="342" customWidth="1"/>
    <col min="5159" max="5159" width="9.140625" style="342"/>
    <col min="5160" max="5160" width="1.42578125" style="342" customWidth="1"/>
    <col min="5161" max="5161" width="13.85546875" style="342" customWidth="1"/>
    <col min="5162" max="5162" width="55.28515625" style="342" customWidth="1"/>
    <col min="5163" max="5163" width="2" style="342" customWidth="1"/>
    <col min="5164" max="5164" width="67.42578125" style="342" customWidth="1"/>
    <col min="5165" max="5168" width="9.140625" style="342"/>
    <col min="5169" max="5171" width="9.140625" style="342" customWidth="1"/>
    <col min="5172" max="5172" width="16.85546875" style="342" customWidth="1"/>
    <col min="5173" max="5178" width="9.140625" style="342"/>
    <col min="5179" max="5179" width="9.5703125" style="342" customWidth="1"/>
    <col min="5180" max="5182" width="0" style="342" hidden="1" customWidth="1"/>
    <col min="5183" max="5387" width="9.140625" style="342"/>
    <col min="5388" max="5388" width="2.140625" style="342" customWidth="1"/>
    <col min="5389" max="5389" width="13" style="342" customWidth="1"/>
    <col min="5390" max="5390" width="0.7109375" style="342" customWidth="1"/>
    <col min="5391" max="5391" width="14.7109375" style="342" customWidth="1"/>
    <col min="5392" max="5392" width="1.140625" style="342" customWidth="1"/>
    <col min="5393" max="5393" width="39" style="342" customWidth="1"/>
    <col min="5394" max="5394" width="1" style="342" customWidth="1"/>
    <col min="5395" max="5395" width="19" style="342" customWidth="1"/>
    <col min="5396" max="5396" width="1" style="342" customWidth="1"/>
    <col min="5397" max="5397" width="12.7109375" style="342" customWidth="1"/>
    <col min="5398" max="5398" width="0.7109375" style="342" customWidth="1"/>
    <col min="5399" max="5399" width="11.42578125" style="342" customWidth="1"/>
    <col min="5400" max="5400" width="1" style="342" customWidth="1"/>
    <col min="5401" max="5401" width="12" style="342" customWidth="1"/>
    <col min="5402" max="5402" width="0.85546875" style="342" customWidth="1"/>
    <col min="5403" max="5404" width="0" style="342" hidden="1" customWidth="1"/>
    <col min="5405" max="5405" width="14.28515625" style="342" customWidth="1"/>
    <col min="5406" max="5406" width="0.5703125" style="342" customWidth="1"/>
    <col min="5407" max="5407" width="11.140625" style="342" customWidth="1"/>
    <col min="5408" max="5408" width="1.28515625" style="342" customWidth="1"/>
    <col min="5409" max="5409" width="9.28515625" style="342" customWidth="1"/>
    <col min="5410" max="5410" width="1" style="342" customWidth="1"/>
    <col min="5411" max="5411" width="12.42578125" style="342" customWidth="1"/>
    <col min="5412" max="5412" width="1.140625" style="342" customWidth="1"/>
    <col min="5413" max="5413" width="11.7109375" style="342" customWidth="1"/>
    <col min="5414" max="5414" width="1.140625" style="342" customWidth="1"/>
    <col min="5415" max="5415" width="9.140625" style="342"/>
    <col min="5416" max="5416" width="1.42578125" style="342" customWidth="1"/>
    <col min="5417" max="5417" width="13.85546875" style="342" customWidth="1"/>
    <col min="5418" max="5418" width="55.28515625" style="342" customWidth="1"/>
    <col min="5419" max="5419" width="2" style="342" customWidth="1"/>
    <col min="5420" max="5420" width="67.42578125" style="342" customWidth="1"/>
    <col min="5421" max="5424" width="9.140625" style="342"/>
    <col min="5425" max="5427" width="9.140625" style="342" customWidth="1"/>
    <col min="5428" max="5428" width="16.85546875" style="342" customWidth="1"/>
    <col min="5429" max="5434" width="9.140625" style="342"/>
    <col min="5435" max="5435" width="9.5703125" style="342" customWidth="1"/>
    <col min="5436" max="5438" width="0" style="342" hidden="1" customWidth="1"/>
    <col min="5439" max="5643" width="9.140625" style="342"/>
    <col min="5644" max="5644" width="2.140625" style="342" customWidth="1"/>
    <col min="5645" max="5645" width="13" style="342" customWidth="1"/>
    <col min="5646" max="5646" width="0.7109375" style="342" customWidth="1"/>
    <col min="5647" max="5647" width="14.7109375" style="342" customWidth="1"/>
    <col min="5648" max="5648" width="1.140625" style="342" customWidth="1"/>
    <col min="5649" max="5649" width="39" style="342" customWidth="1"/>
    <col min="5650" max="5650" width="1" style="342" customWidth="1"/>
    <col min="5651" max="5651" width="19" style="342" customWidth="1"/>
    <col min="5652" max="5652" width="1" style="342" customWidth="1"/>
    <col min="5653" max="5653" width="12.7109375" style="342" customWidth="1"/>
    <col min="5654" max="5654" width="0.7109375" style="342" customWidth="1"/>
    <col min="5655" max="5655" width="11.42578125" style="342" customWidth="1"/>
    <col min="5656" max="5656" width="1" style="342" customWidth="1"/>
    <col min="5657" max="5657" width="12" style="342" customWidth="1"/>
    <col min="5658" max="5658" width="0.85546875" style="342" customWidth="1"/>
    <col min="5659" max="5660" width="0" style="342" hidden="1" customWidth="1"/>
    <col min="5661" max="5661" width="14.28515625" style="342" customWidth="1"/>
    <col min="5662" max="5662" width="0.5703125" style="342" customWidth="1"/>
    <col min="5663" max="5663" width="11.140625" style="342" customWidth="1"/>
    <col min="5664" max="5664" width="1.28515625" style="342" customWidth="1"/>
    <col min="5665" max="5665" width="9.28515625" style="342" customWidth="1"/>
    <col min="5666" max="5666" width="1" style="342" customWidth="1"/>
    <col min="5667" max="5667" width="12.42578125" style="342" customWidth="1"/>
    <col min="5668" max="5668" width="1.140625" style="342" customWidth="1"/>
    <col min="5669" max="5669" width="11.7109375" style="342" customWidth="1"/>
    <col min="5670" max="5670" width="1.140625" style="342" customWidth="1"/>
    <col min="5671" max="5671" width="9.140625" style="342"/>
    <col min="5672" max="5672" width="1.42578125" style="342" customWidth="1"/>
    <col min="5673" max="5673" width="13.85546875" style="342" customWidth="1"/>
    <col min="5674" max="5674" width="55.28515625" style="342" customWidth="1"/>
    <col min="5675" max="5675" width="2" style="342" customWidth="1"/>
    <col min="5676" max="5676" width="67.42578125" style="342" customWidth="1"/>
    <col min="5677" max="5680" width="9.140625" style="342"/>
    <col min="5681" max="5683" width="9.140625" style="342" customWidth="1"/>
    <col min="5684" max="5684" width="16.85546875" style="342" customWidth="1"/>
    <col min="5685" max="5690" width="9.140625" style="342"/>
    <col min="5691" max="5691" width="9.5703125" style="342" customWidth="1"/>
    <col min="5692" max="5694" width="0" style="342" hidden="1" customWidth="1"/>
    <col min="5695" max="5899" width="9.140625" style="342"/>
    <col min="5900" max="5900" width="2.140625" style="342" customWidth="1"/>
    <col min="5901" max="5901" width="13" style="342" customWidth="1"/>
    <col min="5902" max="5902" width="0.7109375" style="342" customWidth="1"/>
    <col min="5903" max="5903" width="14.7109375" style="342" customWidth="1"/>
    <col min="5904" max="5904" width="1.140625" style="342" customWidth="1"/>
    <col min="5905" max="5905" width="39" style="342" customWidth="1"/>
    <col min="5906" max="5906" width="1" style="342" customWidth="1"/>
    <col min="5907" max="5907" width="19" style="342" customWidth="1"/>
    <col min="5908" max="5908" width="1" style="342" customWidth="1"/>
    <col min="5909" max="5909" width="12.7109375" style="342" customWidth="1"/>
    <col min="5910" max="5910" width="0.7109375" style="342" customWidth="1"/>
    <col min="5911" max="5911" width="11.42578125" style="342" customWidth="1"/>
    <col min="5912" max="5912" width="1" style="342" customWidth="1"/>
    <col min="5913" max="5913" width="12" style="342" customWidth="1"/>
    <col min="5914" max="5914" width="0.85546875" style="342" customWidth="1"/>
    <col min="5915" max="5916" width="0" style="342" hidden="1" customWidth="1"/>
    <col min="5917" max="5917" width="14.28515625" style="342" customWidth="1"/>
    <col min="5918" max="5918" width="0.5703125" style="342" customWidth="1"/>
    <col min="5919" max="5919" width="11.140625" style="342" customWidth="1"/>
    <col min="5920" max="5920" width="1.28515625" style="342" customWidth="1"/>
    <col min="5921" max="5921" width="9.28515625" style="342" customWidth="1"/>
    <col min="5922" max="5922" width="1" style="342" customWidth="1"/>
    <col min="5923" max="5923" width="12.42578125" style="342" customWidth="1"/>
    <col min="5924" max="5924" width="1.140625" style="342" customWidth="1"/>
    <col min="5925" max="5925" width="11.7109375" style="342" customWidth="1"/>
    <col min="5926" max="5926" width="1.140625" style="342" customWidth="1"/>
    <col min="5927" max="5927" width="9.140625" style="342"/>
    <col min="5928" max="5928" width="1.42578125" style="342" customWidth="1"/>
    <col min="5929" max="5929" width="13.85546875" style="342" customWidth="1"/>
    <col min="5930" max="5930" width="55.28515625" style="342" customWidth="1"/>
    <col min="5931" max="5931" width="2" style="342" customWidth="1"/>
    <col min="5932" max="5932" width="67.42578125" style="342" customWidth="1"/>
    <col min="5933" max="5936" width="9.140625" style="342"/>
    <col min="5937" max="5939" width="9.140625" style="342" customWidth="1"/>
    <col min="5940" max="5940" width="16.85546875" style="342" customWidth="1"/>
    <col min="5941" max="5946" width="9.140625" style="342"/>
    <col min="5947" max="5947" width="9.5703125" style="342" customWidth="1"/>
    <col min="5948" max="5950" width="0" style="342" hidden="1" customWidth="1"/>
    <col min="5951" max="6155" width="9.140625" style="342"/>
    <col min="6156" max="6156" width="2.140625" style="342" customWidth="1"/>
    <col min="6157" max="6157" width="13" style="342" customWidth="1"/>
    <col min="6158" max="6158" width="0.7109375" style="342" customWidth="1"/>
    <col min="6159" max="6159" width="14.7109375" style="342" customWidth="1"/>
    <col min="6160" max="6160" width="1.140625" style="342" customWidth="1"/>
    <col min="6161" max="6161" width="39" style="342" customWidth="1"/>
    <col min="6162" max="6162" width="1" style="342" customWidth="1"/>
    <col min="6163" max="6163" width="19" style="342" customWidth="1"/>
    <col min="6164" max="6164" width="1" style="342" customWidth="1"/>
    <col min="6165" max="6165" width="12.7109375" style="342" customWidth="1"/>
    <col min="6166" max="6166" width="0.7109375" style="342" customWidth="1"/>
    <col min="6167" max="6167" width="11.42578125" style="342" customWidth="1"/>
    <col min="6168" max="6168" width="1" style="342" customWidth="1"/>
    <col min="6169" max="6169" width="12" style="342" customWidth="1"/>
    <col min="6170" max="6170" width="0.85546875" style="342" customWidth="1"/>
    <col min="6171" max="6172" width="0" style="342" hidden="1" customWidth="1"/>
    <col min="6173" max="6173" width="14.28515625" style="342" customWidth="1"/>
    <col min="6174" max="6174" width="0.5703125" style="342" customWidth="1"/>
    <col min="6175" max="6175" width="11.140625" style="342" customWidth="1"/>
    <col min="6176" max="6176" width="1.28515625" style="342" customWidth="1"/>
    <col min="6177" max="6177" width="9.28515625" style="342" customWidth="1"/>
    <col min="6178" max="6178" width="1" style="342" customWidth="1"/>
    <col min="6179" max="6179" width="12.42578125" style="342" customWidth="1"/>
    <col min="6180" max="6180" width="1.140625" style="342" customWidth="1"/>
    <col min="6181" max="6181" width="11.7109375" style="342" customWidth="1"/>
    <col min="6182" max="6182" width="1.140625" style="342" customWidth="1"/>
    <col min="6183" max="6183" width="9.140625" style="342"/>
    <col min="6184" max="6184" width="1.42578125" style="342" customWidth="1"/>
    <col min="6185" max="6185" width="13.85546875" style="342" customWidth="1"/>
    <col min="6186" max="6186" width="55.28515625" style="342" customWidth="1"/>
    <col min="6187" max="6187" width="2" style="342" customWidth="1"/>
    <col min="6188" max="6188" width="67.42578125" style="342" customWidth="1"/>
    <col min="6189" max="6192" width="9.140625" style="342"/>
    <col min="6193" max="6195" width="9.140625" style="342" customWidth="1"/>
    <col min="6196" max="6196" width="16.85546875" style="342" customWidth="1"/>
    <col min="6197" max="6202" width="9.140625" style="342"/>
    <col min="6203" max="6203" width="9.5703125" style="342" customWidth="1"/>
    <col min="6204" max="6206" width="0" style="342" hidden="1" customWidth="1"/>
    <col min="6207" max="6411" width="9.140625" style="342"/>
    <col min="6412" max="6412" width="2.140625" style="342" customWidth="1"/>
    <col min="6413" max="6413" width="13" style="342" customWidth="1"/>
    <col min="6414" max="6414" width="0.7109375" style="342" customWidth="1"/>
    <col min="6415" max="6415" width="14.7109375" style="342" customWidth="1"/>
    <col min="6416" max="6416" width="1.140625" style="342" customWidth="1"/>
    <col min="6417" max="6417" width="39" style="342" customWidth="1"/>
    <col min="6418" max="6418" width="1" style="342" customWidth="1"/>
    <col min="6419" max="6419" width="19" style="342" customWidth="1"/>
    <col min="6420" max="6420" width="1" style="342" customWidth="1"/>
    <col min="6421" max="6421" width="12.7109375" style="342" customWidth="1"/>
    <col min="6422" max="6422" width="0.7109375" style="342" customWidth="1"/>
    <col min="6423" max="6423" width="11.42578125" style="342" customWidth="1"/>
    <col min="6424" max="6424" width="1" style="342" customWidth="1"/>
    <col min="6425" max="6425" width="12" style="342" customWidth="1"/>
    <col min="6426" max="6426" width="0.85546875" style="342" customWidth="1"/>
    <col min="6427" max="6428" width="0" style="342" hidden="1" customWidth="1"/>
    <col min="6429" max="6429" width="14.28515625" style="342" customWidth="1"/>
    <col min="6430" max="6430" width="0.5703125" style="342" customWidth="1"/>
    <col min="6431" max="6431" width="11.140625" style="342" customWidth="1"/>
    <col min="6432" max="6432" width="1.28515625" style="342" customWidth="1"/>
    <col min="6433" max="6433" width="9.28515625" style="342" customWidth="1"/>
    <col min="6434" max="6434" width="1" style="342" customWidth="1"/>
    <col min="6435" max="6435" width="12.42578125" style="342" customWidth="1"/>
    <col min="6436" max="6436" width="1.140625" style="342" customWidth="1"/>
    <col min="6437" max="6437" width="11.7109375" style="342" customWidth="1"/>
    <col min="6438" max="6438" width="1.140625" style="342" customWidth="1"/>
    <col min="6439" max="6439" width="9.140625" style="342"/>
    <col min="6440" max="6440" width="1.42578125" style="342" customWidth="1"/>
    <col min="6441" max="6441" width="13.85546875" style="342" customWidth="1"/>
    <col min="6442" max="6442" width="55.28515625" style="342" customWidth="1"/>
    <col min="6443" max="6443" width="2" style="342" customWidth="1"/>
    <col min="6444" max="6444" width="67.42578125" style="342" customWidth="1"/>
    <col min="6445" max="6448" width="9.140625" style="342"/>
    <col min="6449" max="6451" width="9.140625" style="342" customWidth="1"/>
    <col min="6452" max="6452" width="16.85546875" style="342" customWidth="1"/>
    <col min="6453" max="6458" width="9.140625" style="342"/>
    <col min="6459" max="6459" width="9.5703125" style="342" customWidth="1"/>
    <col min="6460" max="6462" width="0" style="342" hidden="1" customWidth="1"/>
    <col min="6463" max="6667" width="9.140625" style="342"/>
    <col min="6668" max="6668" width="2.140625" style="342" customWidth="1"/>
    <col min="6669" max="6669" width="13" style="342" customWidth="1"/>
    <col min="6670" max="6670" width="0.7109375" style="342" customWidth="1"/>
    <col min="6671" max="6671" width="14.7109375" style="342" customWidth="1"/>
    <col min="6672" max="6672" width="1.140625" style="342" customWidth="1"/>
    <col min="6673" max="6673" width="39" style="342" customWidth="1"/>
    <col min="6674" max="6674" width="1" style="342" customWidth="1"/>
    <col min="6675" max="6675" width="19" style="342" customWidth="1"/>
    <col min="6676" max="6676" width="1" style="342" customWidth="1"/>
    <col min="6677" max="6677" width="12.7109375" style="342" customWidth="1"/>
    <col min="6678" max="6678" width="0.7109375" style="342" customWidth="1"/>
    <col min="6679" max="6679" width="11.42578125" style="342" customWidth="1"/>
    <col min="6680" max="6680" width="1" style="342" customWidth="1"/>
    <col min="6681" max="6681" width="12" style="342" customWidth="1"/>
    <col min="6682" max="6682" width="0.85546875" style="342" customWidth="1"/>
    <col min="6683" max="6684" width="0" style="342" hidden="1" customWidth="1"/>
    <col min="6685" max="6685" width="14.28515625" style="342" customWidth="1"/>
    <col min="6686" max="6686" width="0.5703125" style="342" customWidth="1"/>
    <col min="6687" max="6687" width="11.140625" style="342" customWidth="1"/>
    <col min="6688" max="6688" width="1.28515625" style="342" customWidth="1"/>
    <col min="6689" max="6689" width="9.28515625" style="342" customWidth="1"/>
    <col min="6690" max="6690" width="1" style="342" customWidth="1"/>
    <col min="6691" max="6691" width="12.42578125" style="342" customWidth="1"/>
    <col min="6692" max="6692" width="1.140625" style="342" customWidth="1"/>
    <col min="6693" max="6693" width="11.7109375" style="342" customWidth="1"/>
    <col min="6694" max="6694" width="1.140625" style="342" customWidth="1"/>
    <col min="6695" max="6695" width="9.140625" style="342"/>
    <col min="6696" max="6696" width="1.42578125" style="342" customWidth="1"/>
    <col min="6697" max="6697" width="13.85546875" style="342" customWidth="1"/>
    <col min="6698" max="6698" width="55.28515625" style="342" customWidth="1"/>
    <col min="6699" max="6699" width="2" style="342" customWidth="1"/>
    <col min="6700" max="6700" width="67.42578125" style="342" customWidth="1"/>
    <col min="6701" max="6704" width="9.140625" style="342"/>
    <col min="6705" max="6707" width="9.140625" style="342" customWidth="1"/>
    <col min="6708" max="6708" width="16.85546875" style="342" customWidth="1"/>
    <col min="6709" max="6714" width="9.140625" style="342"/>
    <col min="6715" max="6715" width="9.5703125" style="342" customWidth="1"/>
    <col min="6716" max="6718" width="0" style="342" hidden="1" customWidth="1"/>
    <col min="6719" max="6923" width="9.140625" style="342"/>
    <col min="6924" max="6924" width="2.140625" style="342" customWidth="1"/>
    <col min="6925" max="6925" width="13" style="342" customWidth="1"/>
    <col min="6926" max="6926" width="0.7109375" style="342" customWidth="1"/>
    <col min="6927" max="6927" width="14.7109375" style="342" customWidth="1"/>
    <col min="6928" max="6928" width="1.140625" style="342" customWidth="1"/>
    <col min="6929" max="6929" width="39" style="342" customWidth="1"/>
    <col min="6930" max="6930" width="1" style="342" customWidth="1"/>
    <col min="6931" max="6931" width="19" style="342" customWidth="1"/>
    <col min="6932" max="6932" width="1" style="342" customWidth="1"/>
    <col min="6933" max="6933" width="12.7109375" style="342" customWidth="1"/>
    <col min="6934" max="6934" width="0.7109375" style="342" customWidth="1"/>
    <col min="6935" max="6935" width="11.42578125" style="342" customWidth="1"/>
    <col min="6936" max="6936" width="1" style="342" customWidth="1"/>
    <col min="6937" max="6937" width="12" style="342" customWidth="1"/>
    <col min="6938" max="6938" width="0.85546875" style="342" customWidth="1"/>
    <col min="6939" max="6940" width="0" style="342" hidden="1" customWidth="1"/>
    <col min="6941" max="6941" width="14.28515625" style="342" customWidth="1"/>
    <col min="6942" max="6942" width="0.5703125" style="342" customWidth="1"/>
    <col min="6943" max="6943" width="11.140625" style="342" customWidth="1"/>
    <col min="6944" max="6944" width="1.28515625" style="342" customWidth="1"/>
    <col min="6945" max="6945" width="9.28515625" style="342" customWidth="1"/>
    <col min="6946" max="6946" width="1" style="342" customWidth="1"/>
    <col min="6947" max="6947" width="12.42578125" style="342" customWidth="1"/>
    <col min="6948" max="6948" width="1.140625" style="342" customWidth="1"/>
    <col min="6949" max="6949" width="11.7109375" style="342" customWidth="1"/>
    <col min="6950" max="6950" width="1.140625" style="342" customWidth="1"/>
    <col min="6951" max="6951" width="9.140625" style="342"/>
    <col min="6952" max="6952" width="1.42578125" style="342" customWidth="1"/>
    <col min="6953" max="6953" width="13.85546875" style="342" customWidth="1"/>
    <col min="6954" max="6954" width="55.28515625" style="342" customWidth="1"/>
    <col min="6955" max="6955" width="2" style="342" customWidth="1"/>
    <col min="6956" max="6956" width="67.42578125" style="342" customWidth="1"/>
    <col min="6957" max="6960" width="9.140625" style="342"/>
    <col min="6961" max="6963" width="9.140625" style="342" customWidth="1"/>
    <col min="6964" max="6964" width="16.85546875" style="342" customWidth="1"/>
    <col min="6965" max="6970" width="9.140625" style="342"/>
    <col min="6971" max="6971" width="9.5703125" style="342" customWidth="1"/>
    <col min="6972" max="6974" width="0" style="342" hidden="1" customWidth="1"/>
    <col min="6975" max="7179" width="9.140625" style="342"/>
    <col min="7180" max="7180" width="2.140625" style="342" customWidth="1"/>
    <col min="7181" max="7181" width="13" style="342" customWidth="1"/>
    <col min="7182" max="7182" width="0.7109375" style="342" customWidth="1"/>
    <col min="7183" max="7183" width="14.7109375" style="342" customWidth="1"/>
    <col min="7184" max="7184" width="1.140625" style="342" customWidth="1"/>
    <col min="7185" max="7185" width="39" style="342" customWidth="1"/>
    <col min="7186" max="7186" width="1" style="342" customWidth="1"/>
    <col min="7187" max="7187" width="19" style="342" customWidth="1"/>
    <col min="7188" max="7188" width="1" style="342" customWidth="1"/>
    <col min="7189" max="7189" width="12.7109375" style="342" customWidth="1"/>
    <col min="7190" max="7190" width="0.7109375" style="342" customWidth="1"/>
    <col min="7191" max="7191" width="11.42578125" style="342" customWidth="1"/>
    <col min="7192" max="7192" width="1" style="342" customWidth="1"/>
    <col min="7193" max="7193" width="12" style="342" customWidth="1"/>
    <col min="7194" max="7194" width="0.85546875" style="342" customWidth="1"/>
    <col min="7195" max="7196" width="0" style="342" hidden="1" customWidth="1"/>
    <col min="7197" max="7197" width="14.28515625" style="342" customWidth="1"/>
    <col min="7198" max="7198" width="0.5703125" style="342" customWidth="1"/>
    <col min="7199" max="7199" width="11.140625" style="342" customWidth="1"/>
    <col min="7200" max="7200" width="1.28515625" style="342" customWidth="1"/>
    <col min="7201" max="7201" width="9.28515625" style="342" customWidth="1"/>
    <col min="7202" max="7202" width="1" style="342" customWidth="1"/>
    <col min="7203" max="7203" width="12.42578125" style="342" customWidth="1"/>
    <col min="7204" max="7204" width="1.140625" style="342" customWidth="1"/>
    <col min="7205" max="7205" width="11.7109375" style="342" customWidth="1"/>
    <col min="7206" max="7206" width="1.140625" style="342" customWidth="1"/>
    <col min="7207" max="7207" width="9.140625" style="342"/>
    <col min="7208" max="7208" width="1.42578125" style="342" customWidth="1"/>
    <col min="7209" max="7209" width="13.85546875" style="342" customWidth="1"/>
    <col min="7210" max="7210" width="55.28515625" style="342" customWidth="1"/>
    <col min="7211" max="7211" width="2" style="342" customWidth="1"/>
    <col min="7212" max="7212" width="67.42578125" style="342" customWidth="1"/>
    <col min="7213" max="7216" width="9.140625" style="342"/>
    <col min="7217" max="7219" width="9.140625" style="342" customWidth="1"/>
    <col min="7220" max="7220" width="16.85546875" style="342" customWidth="1"/>
    <col min="7221" max="7226" width="9.140625" style="342"/>
    <col min="7227" max="7227" width="9.5703125" style="342" customWidth="1"/>
    <col min="7228" max="7230" width="0" style="342" hidden="1" customWidth="1"/>
    <col min="7231" max="7435" width="9.140625" style="342"/>
    <col min="7436" max="7436" width="2.140625" style="342" customWidth="1"/>
    <col min="7437" max="7437" width="13" style="342" customWidth="1"/>
    <col min="7438" max="7438" width="0.7109375" style="342" customWidth="1"/>
    <col min="7439" max="7439" width="14.7109375" style="342" customWidth="1"/>
    <col min="7440" max="7440" width="1.140625" style="342" customWidth="1"/>
    <col min="7441" max="7441" width="39" style="342" customWidth="1"/>
    <col min="7442" max="7442" width="1" style="342" customWidth="1"/>
    <col min="7443" max="7443" width="19" style="342" customWidth="1"/>
    <col min="7444" max="7444" width="1" style="342" customWidth="1"/>
    <col min="7445" max="7445" width="12.7109375" style="342" customWidth="1"/>
    <col min="7446" max="7446" width="0.7109375" style="342" customWidth="1"/>
    <col min="7447" max="7447" width="11.42578125" style="342" customWidth="1"/>
    <col min="7448" max="7448" width="1" style="342" customWidth="1"/>
    <col min="7449" max="7449" width="12" style="342" customWidth="1"/>
    <col min="7450" max="7450" width="0.85546875" style="342" customWidth="1"/>
    <col min="7451" max="7452" width="0" style="342" hidden="1" customWidth="1"/>
    <col min="7453" max="7453" width="14.28515625" style="342" customWidth="1"/>
    <col min="7454" max="7454" width="0.5703125" style="342" customWidth="1"/>
    <col min="7455" max="7455" width="11.140625" style="342" customWidth="1"/>
    <col min="7456" max="7456" width="1.28515625" style="342" customWidth="1"/>
    <col min="7457" max="7457" width="9.28515625" style="342" customWidth="1"/>
    <col min="7458" max="7458" width="1" style="342" customWidth="1"/>
    <col min="7459" max="7459" width="12.42578125" style="342" customWidth="1"/>
    <col min="7460" max="7460" width="1.140625" style="342" customWidth="1"/>
    <col min="7461" max="7461" width="11.7109375" style="342" customWidth="1"/>
    <col min="7462" max="7462" width="1.140625" style="342" customWidth="1"/>
    <col min="7463" max="7463" width="9.140625" style="342"/>
    <col min="7464" max="7464" width="1.42578125" style="342" customWidth="1"/>
    <col min="7465" max="7465" width="13.85546875" style="342" customWidth="1"/>
    <col min="7466" max="7466" width="55.28515625" style="342" customWidth="1"/>
    <col min="7467" max="7467" width="2" style="342" customWidth="1"/>
    <col min="7468" max="7468" width="67.42578125" style="342" customWidth="1"/>
    <col min="7469" max="7472" width="9.140625" style="342"/>
    <col min="7473" max="7475" width="9.140625" style="342" customWidth="1"/>
    <col min="7476" max="7476" width="16.85546875" style="342" customWidth="1"/>
    <col min="7477" max="7482" width="9.140625" style="342"/>
    <col min="7483" max="7483" width="9.5703125" style="342" customWidth="1"/>
    <col min="7484" max="7486" width="0" style="342" hidden="1" customWidth="1"/>
    <col min="7487" max="7691" width="9.140625" style="342"/>
    <col min="7692" max="7692" width="2.140625" style="342" customWidth="1"/>
    <col min="7693" max="7693" width="13" style="342" customWidth="1"/>
    <col min="7694" max="7694" width="0.7109375" style="342" customWidth="1"/>
    <col min="7695" max="7695" width="14.7109375" style="342" customWidth="1"/>
    <col min="7696" max="7696" width="1.140625" style="342" customWidth="1"/>
    <col min="7697" max="7697" width="39" style="342" customWidth="1"/>
    <col min="7698" max="7698" width="1" style="342" customWidth="1"/>
    <col min="7699" max="7699" width="19" style="342" customWidth="1"/>
    <col min="7700" max="7700" width="1" style="342" customWidth="1"/>
    <col min="7701" max="7701" width="12.7109375" style="342" customWidth="1"/>
    <col min="7702" max="7702" width="0.7109375" style="342" customWidth="1"/>
    <col min="7703" max="7703" width="11.42578125" style="342" customWidth="1"/>
    <col min="7704" max="7704" width="1" style="342" customWidth="1"/>
    <col min="7705" max="7705" width="12" style="342" customWidth="1"/>
    <col min="7706" max="7706" width="0.85546875" style="342" customWidth="1"/>
    <col min="7707" max="7708" width="0" style="342" hidden="1" customWidth="1"/>
    <col min="7709" max="7709" width="14.28515625" style="342" customWidth="1"/>
    <col min="7710" max="7710" width="0.5703125" style="342" customWidth="1"/>
    <col min="7711" max="7711" width="11.140625" style="342" customWidth="1"/>
    <col min="7712" max="7712" width="1.28515625" style="342" customWidth="1"/>
    <col min="7713" max="7713" width="9.28515625" style="342" customWidth="1"/>
    <col min="7714" max="7714" width="1" style="342" customWidth="1"/>
    <col min="7715" max="7715" width="12.42578125" style="342" customWidth="1"/>
    <col min="7716" max="7716" width="1.140625" style="342" customWidth="1"/>
    <col min="7717" max="7717" width="11.7109375" style="342" customWidth="1"/>
    <col min="7718" max="7718" width="1.140625" style="342" customWidth="1"/>
    <col min="7719" max="7719" width="9.140625" style="342"/>
    <col min="7720" max="7720" width="1.42578125" style="342" customWidth="1"/>
    <col min="7721" max="7721" width="13.85546875" style="342" customWidth="1"/>
    <col min="7722" max="7722" width="55.28515625" style="342" customWidth="1"/>
    <col min="7723" max="7723" width="2" style="342" customWidth="1"/>
    <col min="7724" max="7724" width="67.42578125" style="342" customWidth="1"/>
    <col min="7725" max="7728" width="9.140625" style="342"/>
    <col min="7729" max="7731" width="9.140625" style="342" customWidth="1"/>
    <col min="7732" max="7732" width="16.85546875" style="342" customWidth="1"/>
    <col min="7733" max="7738" width="9.140625" style="342"/>
    <col min="7739" max="7739" width="9.5703125" style="342" customWidth="1"/>
    <col min="7740" max="7742" width="0" style="342" hidden="1" customWidth="1"/>
    <col min="7743" max="7947" width="9.140625" style="342"/>
    <col min="7948" max="7948" width="2.140625" style="342" customWidth="1"/>
    <col min="7949" max="7949" width="13" style="342" customWidth="1"/>
    <col min="7950" max="7950" width="0.7109375" style="342" customWidth="1"/>
    <col min="7951" max="7951" width="14.7109375" style="342" customWidth="1"/>
    <col min="7952" max="7952" width="1.140625" style="342" customWidth="1"/>
    <col min="7953" max="7953" width="39" style="342" customWidth="1"/>
    <col min="7954" max="7954" width="1" style="342" customWidth="1"/>
    <col min="7955" max="7955" width="19" style="342" customWidth="1"/>
    <col min="7956" max="7956" width="1" style="342" customWidth="1"/>
    <col min="7957" max="7957" width="12.7109375" style="342" customWidth="1"/>
    <col min="7958" max="7958" width="0.7109375" style="342" customWidth="1"/>
    <col min="7959" max="7959" width="11.42578125" style="342" customWidth="1"/>
    <col min="7960" max="7960" width="1" style="342" customWidth="1"/>
    <col min="7961" max="7961" width="12" style="342" customWidth="1"/>
    <col min="7962" max="7962" width="0.85546875" style="342" customWidth="1"/>
    <col min="7963" max="7964" width="0" style="342" hidden="1" customWidth="1"/>
    <col min="7965" max="7965" width="14.28515625" style="342" customWidth="1"/>
    <col min="7966" max="7966" width="0.5703125" style="342" customWidth="1"/>
    <col min="7967" max="7967" width="11.140625" style="342" customWidth="1"/>
    <col min="7968" max="7968" width="1.28515625" style="342" customWidth="1"/>
    <col min="7969" max="7969" width="9.28515625" style="342" customWidth="1"/>
    <col min="7970" max="7970" width="1" style="342" customWidth="1"/>
    <col min="7971" max="7971" width="12.42578125" style="342" customWidth="1"/>
    <col min="7972" max="7972" width="1.140625" style="342" customWidth="1"/>
    <col min="7973" max="7973" width="11.7109375" style="342" customWidth="1"/>
    <col min="7974" max="7974" width="1.140625" style="342" customWidth="1"/>
    <col min="7975" max="7975" width="9.140625" style="342"/>
    <col min="7976" max="7976" width="1.42578125" style="342" customWidth="1"/>
    <col min="7977" max="7977" width="13.85546875" style="342" customWidth="1"/>
    <col min="7978" max="7978" width="55.28515625" style="342" customWidth="1"/>
    <col min="7979" max="7979" width="2" style="342" customWidth="1"/>
    <col min="7980" max="7980" width="67.42578125" style="342" customWidth="1"/>
    <col min="7981" max="7984" width="9.140625" style="342"/>
    <col min="7985" max="7987" width="9.140625" style="342" customWidth="1"/>
    <col min="7988" max="7988" width="16.85546875" style="342" customWidth="1"/>
    <col min="7989" max="7994" width="9.140625" style="342"/>
    <col min="7995" max="7995" width="9.5703125" style="342" customWidth="1"/>
    <col min="7996" max="7998" width="0" style="342" hidden="1" customWidth="1"/>
    <col min="7999" max="8203" width="9.140625" style="342"/>
    <col min="8204" max="8204" width="2.140625" style="342" customWidth="1"/>
    <col min="8205" max="8205" width="13" style="342" customWidth="1"/>
    <col min="8206" max="8206" width="0.7109375" style="342" customWidth="1"/>
    <col min="8207" max="8207" width="14.7109375" style="342" customWidth="1"/>
    <col min="8208" max="8208" width="1.140625" style="342" customWidth="1"/>
    <col min="8209" max="8209" width="39" style="342" customWidth="1"/>
    <col min="8210" max="8210" width="1" style="342" customWidth="1"/>
    <col min="8211" max="8211" width="19" style="342" customWidth="1"/>
    <col min="8212" max="8212" width="1" style="342" customWidth="1"/>
    <col min="8213" max="8213" width="12.7109375" style="342" customWidth="1"/>
    <col min="8214" max="8214" width="0.7109375" style="342" customWidth="1"/>
    <col min="8215" max="8215" width="11.42578125" style="342" customWidth="1"/>
    <col min="8216" max="8216" width="1" style="342" customWidth="1"/>
    <col min="8217" max="8217" width="12" style="342" customWidth="1"/>
    <col min="8218" max="8218" width="0.85546875" style="342" customWidth="1"/>
    <col min="8219" max="8220" width="0" style="342" hidden="1" customWidth="1"/>
    <col min="8221" max="8221" width="14.28515625" style="342" customWidth="1"/>
    <col min="8222" max="8222" width="0.5703125" style="342" customWidth="1"/>
    <col min="8223" max="8223" width="11.140625" style="342" customWidth="1"/>
    <col min="8224" max="8224" width="1.28515625" style="342" customWidth="1"/>
    <col min="8225" max="8225" width="9.28515625" style="342" customWidth="1"/>
    <col min="8226" max="8226" width="1" style="342" customWidth="1"/>
    <col min="8227" max="8227" width="12.42578125" style="342" customWidth="1"/>
    <col min="8228" max="8228" width="1.140625" style="342" customWidth="1"/>
    <col min="8229" max="8229" width="11.7109375" style="342" customWidth="1"/>
    <col min="8230" max="8230" width="1.140625" style="342" customWidth="1"/>
    <col min="8231" max="8231" width="9.140625" style="342"/>
    <col min="8232" max="8232" width="1.42578125" style="342" customWidth="1"/>
    <col min="8233" max="8233" width="13.85546875" style="342" customWidth="1"/>
    <col min="8234" max="8234" width="55.28515625" style="342" customWidth="1"/>
    <col min="8235" max="8235" width="2" style="342" customWidth="1"/>
    <col min="8236" max="8236" width="67.42578125" style="342" customWidth="1"/>
    <col min="8237" max="8240" width="9.140625" style="342"/>
    <col min="8241" max="8243" width="9.140625" style="342" customWidth="1"/>
    <col min="8244" max="8244" width="16.85546875" style="342" customWidth="1"/>
    <col min="8245" max="8250" width="9.140625" style="342"/>
    <col min="8251" max="8251" width="9.5703125" style="342" customWidth="1"/>
    <col min="8252" max="8254" width="0" style="342" hidden="1" customWidth="1"/>
    <col min="8255" max="8459" width="9.140625" style="342"/>
    <col min="8460" max="8460" width="2.140625" style="342" customWidth="1"/>
    <col min="8461" max="8461" width="13" style="342" customWidth="1"/>
    <col min="8462" max="8462" width="0.7109375" style="342" customWidth="1"/>
    <col min="8463" max="8463" width="14.7109375" style="342" customWidth="1"/>
    <col min="8464" max="8464" width="1.140625" style="342" customWidth="1"/>
    <col min="8465" max="8465" width="39" style="342" customWidth="1"/>
    <col min="8466" max="8466" width="1" style="342" customWidth="1"/>
    <col min="8467" max="8467" width="19" style="342" customWidth="1"/>
    <col min="8468" max="8468" width="1" style="342" customWidth="1"/>
    <col min="8469" max="8469" width="12.7109375" style="342" customWidth="1"/>
    <col min="8470" max="8470" width="0.7109375" style="342" customWidth="1"/>
    <col min="8471" max="8471" width="11.42578125" style="342" customWidth="1"/>
    <col min="8472" max="8472" width="1" style="342" customWidth="1"/>
    <col min="8473" max="8473" width="12" style="342" customWidth="1"/>
    <col min="8474" max="8474" width="0.85546875" style="342" customWidth="1"/>
    <col min="8475" max="8476" width="0" style="342" hidden="1" customWidth="1"/>
    <col min="8477" max="8477" width="14.28515625" style="342" customWidth="1"/>
    <col min="8478" max="8478" width="0.5703125" style="342" customWidth="1"/>
    <col min="8479" max="8479" width="11.140625" style="342" customWidth="1"/>
    <col min="8480" max="8480" width="1.28515625" style="342" customWidth="1"/>
    <col min="8481" max="8481" width="9.28515625" style="342" customWidth="1"/>
    <col min="8482" max="8482" width="1" style="342" customWidth="1"/>
    <col min="8483" max="8483" width="12.42578125" style="342" customWidth="1"/>
    <col min="8484" max="8484" width="1.140625" style="342" customWidth="1"/>
    <col min="8485" max="8485" width="11.7109375" style="342" customWidth="1"/>
    <col min="8486" max="8486" width="1.140625" style="342" customWidth="1"/>
    <col min="8487" max="8487" width="9.140625" style="342"/>
    <col min="8488" max="8488" width="1.42578125" style="342" customWidth="1"/>
    <col min="8489" max="8489" width="13.85546875" style="342" customWidth="1"/>
    <col min="8490" max="8490" width="55.28515625" style="342" customWidth="1"/>
    <col min="8491" max="8491" width="2" style="342" customWidth="1"/>
    <col min="8492" max="8492" width="67.42578125" style="342" customWidth="1"/>
    <col min="8493" max="8496" width="9.140625" style="342"/>
    <col min="8497" max="8499" width="9.140625" style="342" customWidth="1"/>
    <col min="8500" max="8500" width="16.85546875" style="342" customWidth="1"/>
    <col min="8501" max="8506" width="9.140625" style="342"/>
    <col min="8507" max="8507" width="9.5703125" style="342" customWidth="1"/>
    <col min="8508" max="8510" width="0" style="342" hidden="1" customWidth="1"/>
    <col min="8511" max="8715" width="9.140625" style="342"/>
    <col min="8716" max="8716" width="2.140625" style="342" customWidth="1"/>
    <col min="8717" max="8717" width="13" style="342" customWidth="1"/>
    <col min="8718" max="8718" width="0.7109375" style="342" customWidth="1"/>
    <col min="8719" max="8719" width="14.7109375" style="342" customWidth="1"/>
    <col min="8720" max="8720" width="1.140625" style="342" customWidth="1"/>
    <col min="8721" max="8721" width="39" style="342" customWidth="1"/>
    <col min="8722" max="8722" width="1" style="342" customWidth="1"/>
    <col min="8723" max="8723" width="19" style="342" customWidth="1"/>
    <col min="8724" max="8724" width="1" style="342" customWidth="1"/>
    <col min="8725" max="8725" width="12.7109375" style="342" customWidth="1"/>
    <col min="8726" max="8726" width="0.7109375" style="342" customWidth="1"/>
    <col min="8727" max="8727" width="11.42578125" style="342" customWidth="1"/>
    <col min="8728" max="8728" width="1" style="342" customWidth="1"/>
    <col min="8729" max="8729" width="12" style="342" customWidth="1"/>
    <col min="8730" max="8730" width="0.85546875" style="342" customWidth="1"/>
    <col min="8731" max="8732" width="0" style="342" hidden="1" customWidth="1"/>
    <col min="8733" max="8733" width="14.28515625" style="342" customWidth="1"/>
    <col min="8734" max="8734" width="0.5703125" style="342" customWidth="1"/>
    <col min="8735" max="8735" width="11.140625" style="342" customWidth="1"/>
    <col min="8736" max="8736" width="1.28515625" style="342" customWidth="1"/>
    <col min="8737" max="8737" width="9.28515625" style="342" customWidth="1"/>
    <col min="8738" max="8738" width="1" style="342" customWidth="1"/>
    <col min="8739" max="8739" width="12.42578125" style="342" customWidth="1"/>
    <col min="8740" max="8740" width="1.140625" style="342" customWidth="1"/>
    <col min="8741" max="8741" width="11.7109375" style="342" customWidth="1"/>
    <col min="8742" max="8742" width="1.140625" style="342" customWidth="1"/>
    <col min="8743" max="8743" width="9.140625" style="342"/>
    <col min="8744" max="8744" width="1.42578125" style="342" customWidth="1"/>
    <col min="8745" max="8745" width="13.85546875" style="342" customWidth="1"/>
    <col min="8746" max="8746" width="55.28515625" style="342" customWidth="1"/>
    <col min="8747" max="8747" width="2" style="342" customWidth="1"/>
    <col min="8748" max="8748" width="67.42578125" style="342" customWidth="1"/>
    <col min="8749" max="8752" width="9.140625" style="342"/>
    <col min="8753" max="8755" width="9.140625" style="342" customWidth="1"/>
    <col min="8756" max="8756" width="16.85546875" style="342" customWidth="1"/>
    <col min="8757" max="8762" width="9.140625" style="342"/>
    <col min="8763" max="8763" width="9.5703125" style="342" customWidth="1"/>
    <col min="8764" max="8766" width="0" style="342" hidden="1" customWidth="1"/>
    <col min="8767" max="8971" width="9.140625" style="342"/>
    <col min="8972" max="8972" width="2.140625" style="342" customWidth="1"/>
    <col min="8973" max="8973" width="13" style="342" customWidth="1"/>
    <col min="8974" max="8974" width="0.7109375" style="342" customWidth="1"/>
    <col min="8975" max="8975" width="14.7109375" style="342" customWidth="1"/>
    <col min="8976" max="8976" width="1.140625" style="342" customWidth="1"/>
    <col min="8977" max="8977" width="39" style="342" customWidth="1"/>
    <col min="8978" max="8978" width="1" style="342" customWidth="1"/>
    <col min="8979" max="8979" width="19" style="342" customWidth="1"/>
    <col min="8980" max="8980" width="1" style="342" customWidth="1"/>
    <col min="8981" max="8981" width="12.7109375" style="342" customWidth="1"/>
    <col min="8982" max="8982" width="0.7109375" style="342" customWidth="1"/>
    <col min="8983" max="8983" width="11.42578125" style="342" customWidth="1"/>
    <col min="8984" max="8984" width="1" style="342" customWidth="1"/>
    <col min="8985" max="8985" width="12" style="342" customWidth="1"/>
    <col min="8986" max="8986" width="0.85546875" style="342" customWidth="1"/>
    <col min="8987" max="8988" width="0" style="342" hidden="1" customWidth="1"/>
    <col min="8989" max="8989" width="14.28515625" style="342" customWidth="1"/>
    <col min="8990" max="8990" width="0.5703125" style="342" customWidth="1"/>
    <col min="8991" max="8991" width="11.140625" style="342" customWidth="1"/>
    <col min="8992" max="8992" width="1.28515625" style="342" customWidth="1"/>
    <col min="8993" max="8993" width="9.28515625" style="342" customWidth="1"/>
    <col min="8994" max="8994" width="1" style="342" customWidth="1"/>
    <col min="8995" max="8995" width="12.42578125" style="342" customWidth="1"/>
    <col min="8996" max="8996" width="1.140625" style="342" customWidth="1"/>
    <col min="8997" max="8997" width="11.7109375" style="342" customWidth="1"/>
    <col min="8998" max="8998" width="1.140625" style="342" customWidth="1"/>
    <col min="8999" max="8999" width="9.140625" style="342"/>
    <col min="9000" max="9000" width="1.42578125" style="342" customWidth="1"/>
    <col min="9001" max="9001" width="13.85546875" style="342" customWidth="1"/>
    <col min="9002" max="9002" width="55.28515625" style="342" customWidth="1"/>
    <col min="9003" max="9003" width="2" style="342" customWidth="1"/>
    <col min="9004" max="9004" width="67.42578125" style="342" customWidth="1"/>
    <col min="9005" max="9008" width="9.140625" style="342"/>
    <col min="9009" max="9011" width="9.140625" style="342" customWidth="1"/>
    <col min="9012" max="9012" width="16.85546875" style="342" customWidth="1"/>
    <col min="9013" max="9018" width="9.140625" style="342"/>
    <col min="9019" max="9019" width="9.5703125" style="342" customWidth="1"/>
    <col min="9020" max="9022" width="0" style="342" hidden="1" customWidth="1"/>
    <col min="9023" max="9227" width="9.140625" style="342"/>
    <col min="9228" max="9228" width="2.140625" style="342" customWidth="1"/>
    <col min="9229" max="9229" width="13" style="342" customWidth="1"/>
    <col min="9230" max="9230" width="0.7109375" style="342" customWidth="1"/>
    <col min="9231" max="9231" width="14.7109375" style="342" customWidth="1"/>
    <col min="9232" max="9232" width="1.140625" style="342" customWidth="1"/>
    <col min="9233" max="9233" width="39" style="342" customWidth="1"/>
    <col min="9234" max="9234" width="1" style="342" customWidth="1"/>
    <col min="9235" max="9235" width="19" style="342" customWidth="1"/>
    <col min="9236" max="9236" width="1" style="342" customWidth="1"/>
    <col min="9237" max="9237" width="12.7109375" style="342" customWidth="1"/>
    <col min="9238" max="9238" width="0.7109375" style="342" customWidth="1"/>
    <col min="9239" max="9239" width="11.42578125" style="342" customWidth="1"/>
    <col min="9240" max="9240" width="1" style="342" customWidth="1"/>
    <col min="9241" max="9241" width="12" style="342" customWidth="1"/>
    <col min="9242" max="9242" width="0.85546875" style="342" customWidth="1"/>
    <col min="9243" max="9244" width="0" style="342" hidden="1" customWidth="1"/>
    <col min="9245" max="9245" width="14.28515625" style="342" customWidth="1"/>
    <col min="9246" max="9246" width="0.5703125" style="342" customWidth="1"/>
    <col min="9247" max="9247" width="11.140625" style="342" customWidth="1"/>
    <col min="9248" max="9248" width="1.28515625" style="342" customWidth="1"/>
    <col min="9249" max="9249" width="9.28515625" style="342" customWidth="1"/>
    <col min="9250" max="9250" width="1" style="342" customWidth="1"/>
    <col min="9251" max="9251" width="12.42578125" style="342" customWidth="1"/>
    <col min="9252" max="9252" width="1.140625" style="342" customWidth="1"/>
    <col min="9253" max="9253" width="11.7109375" style="342" customWidth="1"/>
    <col min="9254" max="9254" width="1.140625" style="342" customWidth="1"/>
    <col min="9255" max="9255" width="9.140625" style="342"/>
    <col min="9256" max="9256" width="1.42578125" style="342" customWidth="1"/>
    <col min="9257" max="9257" width="13.85546875" style="342" customWidth="1"/>
    <col min="9258" max="9258" width="55.28515625" style="342" customWidth="1"/>
    <col min="9259" max="9259" width="2" style="342" customWidth="1"/>
    <col min="9260" max="9260" width="67.42578125" style="342" customWidth="1"/>
    <col min="9261" max="9264" width="9.140625" style="342"/>
    <col min="9265" max="9267" width="9.140625" style="342" customWidth="1"/>
    <col min="9268" max="9268" width="16.85546875" style="342" customWidth="1"/>
    <col min="9269" max="9274" width="9.140625" style="342"/>
    <col min="9275" max="9275" width="9.5703125" style="342" customWidth="1"/>
    <col min="9276" max="9278" width="0" style="342" hidden="1" customWidth="1"/>
    <col min="9279" max="9483" width="9.140625" style="342"/>
    <col min="9484" max="9484" width="2.140625" style="342" customWidth="1"/>
    <col min="9485" max="9485" width="13" style="342" customWidth="1"/>
    <col min="9486" max="9486" width="0.7109375" style="342" customWidth="1"/>
    <col min="9487" max="9487" width="14.7109375" style="342" customWidth="1"/>
    <col min="9488" max="9488" width="1.140625" style="342" customWidth="1"/>
    <col min="9489" max="9489" width="39" style="342" customWidth="1"/>
    <col min="9490" max="9490" width="1" style="342" customWidth="1"/>
    <col min="9491" max="9491" width="19" style="342" customWidth="1"/>
    <col min="9492" max="9492" width="1" style="342" customWidth="1"/>
    <col min="9493" max="9493" width="12.7109375" style="342" customWidth="1"/>
    <col min="9494" max="9494" width="0.7109375" style="342" customWidth="1"/>
    <col min="9495" max="9495" width="11.42578125" style="342" customWidth="1"/>
    <col min="9496" max="9496" width="1" style="342" customWidth="1"/>
    <col min="9497" max="9497" width="12" style="342" customWidth="1"/>
    <col min="9498" max="9498" width="0.85546875" style="342" customWidth="1"/>
    <col min="9499" max="9500" width="0" style="342" hidden="1" customWidth="1"/>
    <col min="9501" max="9501" width="14.28515625" style="342" customWidth="1"/>
    <col min="9502" max="9502" width="0.5703125" style="342" customWidth="1"/>
    <col min="9503" max="9503" width="11.140625" style="342" customWidth="1"/>
    <col min="9504" max="9504" width="1.28515625" style="342" customWidth="1"/>
    <col min="9505" max="9505" width="9.28515625" style="342" customWidth="1"/>
    <col min="9506" max="9506" width="1" style="342" customWidth="1"/>
    <col min="9507" max="9507" width="12.42578125" style="342" customWidth="1"/>
    <col min="9508" max="9508" width="1.140625" style="342" customWidth="1"/>
    <col min="9509" max="9509" width="11.7109375" style="342" customWidth="1"/>
    <col min="9510" max="9510" width="1.140625" style="342" customWidth="1"/>
    <col min="9511" max="9511" width="9.140625" style="342"/>
    <col min="9512" max="9512" width="1.42578125" style="342" customWidth="1"/>
    <col min="9513" max="9513" width="13.85546875" style="342" customWidth="1"/>
    <col min="9514" max="9514" width="55.28515625" style="342" customWidth="1"/>
    <col min="9515" max="9515" width="2" style="342" customWidth="1"/>
    <col min="9516" max="9516" width="67.42578125" style="342" customWidth="1"/>
    <col min="9517" max="9520" width="9.140625" style="342"/>
    <col min="9521" max="9523" width="9.140625" style="342" customWidth="1"/>
    <col min="9524" max="9524" width="16.85546875" style="342" customWidth="1"/>
    <col min="9525" max="9530" width="9.140625" style="342"/>
    <col min="9531" max="9531" width="9.5703125" style="342" customWidth="1"/>
    <col min="9532" max="9534" width="0" style="342" hidden="1" customWidth="1"/>
    <col min="9535" max="9739" width="9.140625" style="342"/>
    <col min="9740" max="9740" width="2.140625" style="342" customWidth="1"/>
    <col min="9741" max="9741" width="13" style="342" customWidth="1"/>
    <col min="9742" max="9742" width="0.7109375" style="342" customWidth="1"/>
    <col min="9743" max="9743" width="14.7109375" style="342" customWidth="1"/>
    <col min="9744" max="9744" width="1.140625" style="342" customWidth="1"/>
    <col min="9745" max="9745" width="39" style="342" customWidth="1"/>
    <col min="9746" max="9746" width="1" style="342" customWidth="1"/>
    <col min="9747" max="9747" width="19" style="342" customWidth="1"/>
    <col min="9748" max="9748" width="1" style="342" customWidth="1"/>
    <col min="9749" max="9749" width="12.7109375" style="342" customWidth="1"/>
    <col min="9750" max="9750" width="0.7109375" style="342" customWidth="1"/>
    <col min="9751" max="9751" width="11.42578125" style="342" customWidth="1"/>
    <col min="9752" max="9752" width="1" style="342" customWidth="1"/>
    <col min="9753" max="9753" width="12" style="342" customWidth="1"/>
    <col min="9754" max="9754" width="0.85546875" style="342" customWidth="1"/>
    <col min="9755" max="9756" width="0" style="342" hidden="1" customWidth="1"/>
    <col min="9757" max="9757" width="14.28515625" style="342" customWidth="1"/>
    <col min="9758" max="9758" width="0.5703125" style="342" customWidth="1"/>
    <col min="9759" max="9759" width="11.140625" style="342" customWidth="1"/>
    <col min="9760" max="9760" width="1.28515625" style="342" customWidth="1"/>
    <col min="9761" max="9761" width="9.28515625" style="342" customWidth="1"/>
    <col min="9762" max="9762" width="1" style="342" customWidth="1"/>
    <col min="9763" max="9763" width="12.42578125" style="342" customWidth="1"/>
    <col min="9764" max="9764" width="1.140625" style="342" customWidth="1"/>
    <col min="9765" max="9765" width="11.7109375" style="342" customWidth="1"/>
    <col min="9766" max="9766" width="1.140625" style="342" customWidth="1"/>
    <col min="9767" max="9767" width="9.140625" style="342"/>
    <col min="9768" max="9768" width="1.42578125" style="342" customWidth="1"/>
    <col min="9769" max="9769" width="13.85546875" style="342" customWidth="1"/>
    <col min="9770" max="9770" width="55.28515625" style="342" customWidth="1"/>
    <col min="9771" max="9771" width="2" style="342" customWidth="1"/>
    <col min="9772" max="9772" width="67.42578125" style="342" customWidth="1"/>
    <col min="9773" max="9776" width="9.140625" style="342"/>
    <col min="9777" max="9779" width="9.140625" style="342" customWidth="1"/>
    <col min="9780" max="9780" width="16.85546875" style="342" customWidth="1"/>
    <col min="9781" max="9786" width="9.140625" style="342"/>
    <col min="9787" max="9787" width="9.5703125" style="342" customWidth="1"/>
    <col min="9788" max="9790" width="0" style="342" hidden="1" customWidth="1"/>
    <col min="9791" max="9995" width="9.140625" style="342"/>
    <col min="9996" max="9996" width="2.140625" style="342" customWidth="1"/>
    <col min="9997" max="9997" width="13" style="342" customWidth="1"/>
    <col min="9998" max="9998" width="0.7109375" style="342" customWidth="1"/>
    <col min="9999" max="9999" width="14.7109375" style="342" customWidth="1"/>
    <col min="10000" max="10000" width="1.140625" style="342" customWidth="1"/>
    <col min="10001" max="10001" width="39" style="342" customWidth="1"/>
    <col min="10002" max="10002" width="1" style="342" customWidth="1"/>
    <col min="10003" max="10003" width="19" style="342" customWidth="1"/>
    <col min="10004" max="10004" width="1" style="342" customWidth="1"/>
    <col min="10005" max="10005" width="12.7109375" style="342" customWidth="1"/>
    <col min="10006" max="10006" width="0.7109375" style="342" customWidth="1"/>
    <col min="10007" max="10007" width="11.42578125" style="342" customWidth="1"/>
    <col min="10008" max="10008" width="1" style="342" customWidth="1"/>
    <col min="10009" max="10009" width="12" style="342" customWidth="1"/>
    <col min="10010" max="10010" width="0.85546875" style="342" customWidth="1"/>
    <col min="10011" max="10012" width="0" style="342" hidden="1" customWidth="1"/>
    <col min="10013" max="10013" width="14.28515625" style="342" customWidth="1"/>
    <col min="10014" max="10014" width="0.5703125" style="342" customWidth="1"/>
    <col min="10015" max="10015" width="11.140625" style="342" customWidth="1"/>
    <col min="10016" max="10016" width="1.28515625" style="342" customWidth="1"/>
    <col min="10017" max="10017" width="9.28515625" style="342" customWidth="1"/>
    <col min="10018" max="10018" width="1" style="342" customWidth="1"/>
    <col min="10019" max="10019" width="12.42578125" style="342" customWidth="1"/>
    <col min="10020" max="10020" width="1.140625" style="342" customWidth="1"/>
    <col min="10021" max="10021" width="11.7109375" style="342" customWidth="1"/>
    <col min="10022" max="10022" width="1.140625" style="342" customWidth="1"/>
    <col min="10023" max="10023" width="9.140625" style="342"/>
    <col min="10024" max="10024" width="1.42578125" style="342" customWidth="1"/>
    <col min="10025" max="10025" width="13.85546875" style="342" customWidth="1"/>
    <col min="10026" max="10026" width="55.28515625" style="342" customWidth="1"/>
    <col min="10027" max="10027" width="2" style="342" customWidth="1"/>
    <col min="10028" max="10028" width="67.42578125" style="342" customWidth="1"/>
    <col min="10029" max="10032" width="9.140625" style="342"/>
    <col min="10033" max="10035" width="9.140625" style="342" customWidth="1"/>
    <col min="10036" max="10036" width="16.85546875" style="342" customWidth="1"/>
    <col min="10037" max="10042" width="9.140625" style="342"/>
    <col min="10043" max="10043" width="9.5703125" style="342" customWidth="1"/>
    <col min="10044" max="10046" width="0" style="342" hidden="1" customWidth="1"/>
    <col min="10047" max="10251" width="9.140625" style="342"/>
    <col min="10252" max="10252" width="2.140625" style="342" customWidth="1"/>
    <col min="10253" max="10253" width="13" style="342" customWidth="1"/>
    <col min="10254" max="10254" width="0.7109375" style="342" customWidth="1"/>
    <col min="10255" max="10255" width="14.7109375" style="342" customWidth="1"/>
    <col min="10256" max="10256" width="1.140625" style="342" customWidth="1"/>
    <col min="10257" max="10257" width="39" style="342" customWidth="1"/>
    <col min="10258" max="10258" width="1" style="342" customWidth="1"/>
    <col min="10259" max="10259" width="19" style="342" customWidth="1"/>
    <col min="10260" max="10260" width="1" style="342" customWidth="1"/>
    <col min="10261" max="10261" width="12.7109375" style="342" customWidth="1"/>
    <col min="10262" max="10262" width="0.7109375" style="342" customWidth="1"/>
    <col min="10263" max="10263" width="11.42578125" style="342" customWidth="1"/>
    <col min="10264" max="10264" width="1" style="342" customWidth="1"/>
    <col min="10265" max="10265" width="12" style="342" customWidth="1"/>
    <col min="10266" max="10266" width="0.85546875" style="342" customWidth="1"/>
    <col min="10267" max="10268" width="0" style="342" hidden="1" customWidth="1"/>
    <col min="10269" max="10269" width="14.28515625" style="342" customWidth="1"/>
    <col min="10270" max="10270" width="0.5703125" style="342" customWidth="1"/>
    <col min="10271" max="10271" width="11.140625" style="342" customWidth="1"/>
    <col min="10272" max="10272" width="1.28515625" style="342" customWidth="1"/>
    <col min="10273" max="10273" width="9.28515625" style="342" customWidth="1"/>
    <col min="10274" max="10274" width="1" style="342" customWidth="1"/>
    <col min="10275" max="10275" width="12.42578125" style="342" customWidth="1"/>
    <col min="10276" max="10276" width="1.140625" style="342" customWidth="1"/>
    <col min="10277" max="10277" width="11.7109375" style="342" customWidth="1"/>
    <col min="10278" max="10278" width="1.140625" style="342" customWidth="1"/>
    <col min="10279" max="10279" width="9.140625" style="342"/>
    <col min="10280" max="10280" width="1.42578125" style="342" customWidth="1"/>
    <col min="10281" max="10281" width="13.85546875" style="342" customWidth="1"/>
    <col min="10282" max="10282" width="55.28515625" style="342" customWidth="1"/>
    <col min="10283" max="10283" width="2" style="342" customWidth="1"/>
    <col min="10284" max="10284" width="67.42578125" style="342" customWidth="1"/>
    <col min="10285" max="10288" width="9.140625" style="342"/>
    <col min="10289" max="10291" width="9.140625" style="342" customWidth="1"/>
    <col min="10292" max="10292" width="16.85546875" style="342" customWidth="1"/>
    <col min="10293" max="10298" width="9.140625" style="342"/>
    <col min="10299" max="10299" width="9.5703125" style="342" customWidth="1"/>
    <col min="10300" max="10302" width="0" style="342" hidden="1" customWidth="1"/>
    <col min="10303" max="10507" width="9.140625" style="342"/>
    <col min="10508" max="10508" width="2.140625" style="342" customWidth="1"/>
    <col min="10509" max="10509" width="13" style="342" customWidth="1"/>
    <col min="10510" max="10510" width="0.7109375" style="342" customWidth="1"/>
    <col min="10511" max="10511" width="14.7109375" style="342" customWidth="1"/>
    <col min="10512" max="10512" width="1.140625" style="342" customWidth="1"/>
    <col min="10513" max="10513" width="39" style="342" customWidth="1"/>
    <col min="10514" max="10514" width="1" style="342" customWidth="1"/>
    <col min="10515" max="10515" width="19" style="342" customWidth="1"/>
    <col min="10516" max="10516" width="1" style="342" customWidth="1"/>
    <col min="10517" max="10517" width="12.7109375" style="342" customWidth="1"/>
    <col min="10518" max="10518" width="0.7109375" style="342" customWidth="1"/>
    <col min="10519" max="10519" width="11.42578125" style="342" customWidth="1"/>
    <col min="10520" max="10520" width="1" style="342" customWidth="1"/>
    <col min="10521" max="10521" width="12" style="342" customWidth="1"/>
    <col min="10522" max="10522" width="0.85546875" style="342" customWidth="1"/>
    <col min="10523" max="10524" width="0" style="342" hidden="1" customWidth="1"/>
    <col min="10525" max="10525" width="14.28515625" style="342" customWidth="1"/>
    <col min="10526" max="10526" width="0.5703125" style="342" customWidth="1"/>
    <col min="10527" max="10527" width="11.140625" style="342" customWidth="1"/>
    <col min="10528" max="10528" width="1.28515625" style="342" customWidth="1"/>
    <col min="10529" max="10529" width="9.28515625" style="342" customWidth="1"/>
    <col min="10530" max="10530" width="1" style="342" customWidth="1"/>
    <col min="10531" max="10531" width="12.42578125" style="342" customWidth="1"/>
    <col min="10532" max="10532" width="1.140625" style="342" customWidth="1"/>
    <col min="10533" max="10533" width="11.7109375" style="342" customWidth="1"/>
    <col min="10534" max="10534" width="1.140625" style="342" customWidth="1"/>
    <col min="10535" max="10535" width="9.140625" style="342"/>
    <col min="10536" max="10536" width="1.42578125" style="342" customWidth="1"/>
    <col min="10537" max="10537" width="13.85546875" style="342" customWidth="1"/>
    <col min="10538" max="10538" width="55.28515625" style="342" customWidth="1"/>
    <col min="10539" max="10539" width="2" style="342" customWidth="1"/>
    <col min="10540" max="10540" width="67.42578125" style="342" customWidth="1"/>
    <col min="10541" max="10544" width="9.140625" style="342"/>
    <col min="10545" max="10547" width="9.140625" style="342" customWidth="1"/>
    <col min="10548" max="10548" width="16.85546875" style="342" customWidth="1"/>
    <col min="10549" max="10554" width="9.140625" style="342"/>
    <col min="10555" max="10555" width="9.5703125" style="342" customWidth="1"/>
    <col min="10556" max="10558" width="0" style="342" hidden="1" customWidth="1"/>
    <col min="10559" max="10763" width="9.140625" style="342"/>
    <col min="10764" max="10764" width="2.140625" style="342" customWidth="1"/>
    <col min="10765" max="10765" width="13" style="342" customWidth="1"/>
    <col min="10766" max="10766" width="0.7109375" style="342" customWidth="1"/>
    <col min="10767" max="10767" width="14.7109375" style="342" customWidth="1"/>
    <col min="10768" max="10768" width="1.140625" style="342" customWidth="1"/>
    <col min="10769" max="10769" width="39" style="342" customWidth="1"/>
    <col min="10770" max="10770" width="1" style="342" customWidth="1"/>
    <col min="10771" max="10771" width="19" style="342" customWidth="1"/>
    <col min="10772" max="10772" width="1" style="342" customWidth="1"/>
    <col min="10773" max="10773" width="12.7109375" style="342" customWidth="1"/>
    <col min="10774" max="10774" width="0.7109375" style="342" customWidth="1"/>
    <col min="10775" max="10775" width="11.42578125" style="342" customWidth="1"/>
    <col min="10776" max="10776" width="1" style="342" customWidth="1"/>
    <col min="10777" max="10777" width="12" style="342" customWidth="1"/>
    <col min="10778" max="10778" width="0.85546875" style="342" customWidth="1"/>
    <col min="10779" max="10780" width="0" style="342" hidden="1" customWidth="1"/>
    <col min="10781" max="10781" width="14.28515625" style="342" customWidth="1"/>
    <col min="10782" max="10782" width="0.5703125" style="342" customWidth="1"/>
    <col min="10783" max="10783" width="11.140625" style="342" customWidth="1"/>
    <col min="10784" max="10784" width="1.28515625" style="342" customWidth="1"/>
    <col min="10785" max="10785" width="9.28515625" style="342" customWidth="1"/>
    <col min="10786" max="10786" width="1" style="342" customWidth="1"/>
    <col min="10787" max="10787" width="12.42578125" style="342" customWidth="1"/>
    <col min="10788" max="10788" width="1.140625" style="342" customWidth="1"/>
    <col min="10789" max="10789" width="11.7109375" style="342" customWidth="1"/>
    <col min="10790" max="10790" width="1.140625" style="342" customWidth="1"/>
    <col min="10791" max="10791" width="9.140625" style="342"/>
    <col min="10792" max="10792" width="1.42578125" style="342" customWidth="1"/>
    <col min="10793" max="10793" width="13.85546875" style="342" customWidth="1"/>
    <col min="10794" max="10794" width="55.28515625" style="342" customWidth="1"/>
    <col min="10795" max="10795" width="2" style="342" customWidth="1"/>
    <col min="10796" max="10796" width="67.42578125" style="342" customWidth="1"/>
    <col min="10797" max="10800" width="9.140625" style="342"/>
    <col min="10801" max="10803" width="9.140625" style="342" customWidth="1"/>
    <col min="10804" max="10804" width="16.85546875" style="342" customWidth="1"/>
    <col min="10805" max="10810" width="9.140625" style="342"/>
    <col min="10811" max="10811" width="9.5703125" style="342" customWidth="1"/>
    <col min="10812" max="10814" width="0" style="342" hidden="1" customWidth="1"/>
    <col min="10815" max="11019" width="9.140625" style="342"/>
    <col min="11020" max="11020" width="2.140625" style="342" customWidth="1"/>
    <col min="11021" max="11021" width="13" style="342" customWidth="1"/>
    <col min="11022" max="11022" width="0.7109375" style="342" customWidth="1"/>
    <col min="11023" max="11023" width="14.7109375" style="342" customWidth="1"/>
    <col min="11024" max="11024" width="1.140625" style="342" customWidth="1"/>
    <col min="11025" max="11025" width="39" style="342" customWidth="1"/>
    <col min="11026" max="11026" width="1" style="342" customWidth="1"/>
    <col min="11027" max="11027" width="19" style="342" customWidth="1"/>
    <col min="11028" max="11028" width="1" style="342" customWidth="1"/>
    <col min="11029" max="11029" width="12.7109375" style="342" customWidth="1"/>
    <col min="11030" max="11030" width="0.7109375" style="342" customWidth="1"/>
    <col min="11031" max="11031" width="11.42578125" style="342" customWidth="1"/>
    <col min="11032" max="11032" width="1" style="342" customWidth="1"/>
    <col min="11033" max="11033" width="12" style="342" customWidth="1"/>
    <col min="11034" max="11034" width="0.85546875" style="342" customWidth="1"/>
    <col min="11035" max="11036" width="0" style="342" hidden="1" customWidth="1"/>
    <col min="11037" max="11037" width="14.28515625" style="342" customWidth="1"/>
    <col min="11038" max="11038" width="0.5703125" style="342" customWidth="1"/>
    <col min="11039" max="11039" width="11.140625" style="342" customWidth="1"/>
    <col min="11040" max="11040" width="1.28515625" style="342" customWidth="1"/>
    <col min="11041" max="11041" width="9.28515625" style="342" customWidth="1"/>
    <col min="11042" max="11042" width="1" style="342" customWidth="1"/>
    <col min="11043" max="11043" width="12.42578125" style="342" customWidth="1"/>
    <col min="11044" max="11044" width="1.140625" style="342" customWidth="1"/>
    <col min="11045" max="11045" width="11.7109375" style="342" customWidth="1"/>
    <col min="11046" max="11046" width="1.140625" style="342" customWidth="1"/>
    <col min="11047" max="11047" width="9.140625" style="342"/>
    <col min="11048" max="11048" width="1.42578125" style="342" customWidth="1"/>
    <col min="11049" max="11049" width="13.85546875" style="342" customWidth="1"/>
    <col min="11050" max="11050" width="55.28515625" style="342" customWidth="1"/>
    <col min="11051" max="11051" width="2" style="342" customWidth="1"/>
    <col min="11052" max="11052" width="67.42578125" style="342" customWidth="1"/>
    <col min="11053" max="11056" width="9.140625" style="342"/>
    <col min="11057" max="11059" width="9.140625" style="342" customWidth="1"/>
    <col min="11060" max="11060" width="16.85546875" style="342" customWidth="1"/>
    <col min="11061" max="11066" width="9.140625" style="342"/>
    <col min="11067" max="11067" width="9.5703125" style="342" customWidth="1"/>
    <col min="11068" max="11070" width="0" style="342" hidden="1" customWidth="1"/>
    <col min="11071" max="11275" width="9.140625" style="342"/>
    <col min="11276" max="11276" width="2.140625" style="342" customWidth="1"/>
    <col min="11277" max="11277" width="13" style="342" customWidth="1"/>
    <col min="11278" max="11278" width="0.7109375" style="342" customWidth="1"/>
    <col min="11279" max="11279" width="14.7109375" style="342" customWidth="1"/>
    <col min="11280" max="11280" width="1.140625" style="342" customWidth="1"/>
    <col min="11281" max="11281" width="39" style="342" customWidth="1"/>
    <col min="11282" max="11282" width="1" style="342" customWidth="1"/>
    <col min="11283" max="11283" width="19" style="342" customWidth="1"/>
    <col min="11284" max="11284" width="1" style="342" customWidth="1"/>
    <col min="11285" max="11285" width="12.7109375" style="342" customWidth="1"/>
    <col min="11286" max="11286" width="0.7109375" style="342" customWidth="1"/>
    <col min="11287" max="11287" width="11.42578125" style="342" customWidth="1"/>
    <col min="11288" max="11288" width="1" style="342" customWidth="1"/>
    <col min="11289" max="11289" width="12" style="342" customWidth="1"/>
    <col min="11290" max="11290" width="0.85546875" style="342" customWidth="1"/>
    <col min="11291" max="11292" width="0" style="342" hidden="1" customWidth="1"/>
    <col min="11293" max="11293" width="14.28515625" style="342" customWidth="1"/>
    <col min="11294" max="11294" width="0.5703125" style="342" customWidth="1"/>
    <col min="11295" max="11295" width="11.140625" style="342" customWidth="1"/>
    <col min="11296" max="11296" width="1.28515625" style="342" customWidth="1"/>
    <col min="11297" max="11297" width="9.28515625" style="342" customWidth="1"/>
    <col min="11298" max="11298" width="1" style="342" customWidth="1"/>
    <col min="11299" max="11299" width="12.42578125" style="342" customWidth="1"/>
    <col min="11300" max="11300" width="1.140625" style="342" customWidth="1"/>
    <col min="11301" max="11301" width="11.7109375" style="342" customWidth="1"/>
    <col min="11302" max="11302" width="1.140625" style="342" customWidth="1"/>
    <col min="11303" max="11303" width="9.140625" style="342"/>
    <col min="11304" max="11304" width="1.42578125" style="342" customWidth="1"/>
    <col min="11305" max="11305" width="13.85546875" style="342" customWidth="1"/>
    <col min="11306" max="11306" width="55.28515625" style="342" customWidth="1"/>
    <col min="11307" max="11307" width="2" style="342" customWidth="1"/>
    <col min="11308" max="11308" width="67.42578125" style="342" customWidth="1"/>
    <col min="11309" max="11312" width="9.140625" style="342"/>
    <col min="11313" max="11315" width="9.140625" style="342" customWidth="1"/>
    <col min="11316" max="11316" width="16.85546875" style="342" customWidth="1"/>
    <col min="11317" max="11322" width="9.140625" style="342"/>
    <col min="11323" max="11323" width="9.5703125" style="342" customWidth="1"/>
    <col min="11324" max="11326" width="0" style="342" hidden="1" customWidth="1"/>
    <col min="11327" max="11531" width="9.140625" style="342"/>
    <col min="11532" max="11532" width="2.140625" style="342" customWidth="1"/>
    <col min="11533" max="11533" width="13" style="342" customWidth="1"/>
    <col min="11534" max="11534" width="0.7109375" style="342" customWidth="1"/>
    <col min="11535" max="11535" width="14.7109375" style="342" customWidth="1"/>
    <col min="11536" max="11536" width="1.140625" style="342" customWidth="1"/>
    <col min="11537" max="11537" width="39" style="342" customWidth="1"/>
    <col min="11538" max="11538" width="1" style="342" customWidth="1"/>
    <col min="11539" max="11539" width="19" style="342" customWidth="1"/>
    <col min="11540" max="11540" width="1" style="342" customWidth="1"/>
    <col min="11541" max="11541" width="12.7109375" style="342" customWidth="1"/>
    <col min="11542" max="11542" width="0.7109375" style="342" customWidth="1"/>
    <col min="11543" max="11543" width="11.42578125" style="342" customWidth="1"/>
    <col min="11544" max="11544" width="1" style="342" customWidth="1"/>
    <col min="11545" max="11545" width="12" style="342" customWidth="1"/>
    <col min="11546" max="11546" width="0.85546875" style="342" customWidth="1"/>
    <col min="11547" max="11548" width="0" style="342" hidden="1" customWidth="1"/>
    <col min="11549" max="11549" width="14.28515625" style="342" customWidth="1"/>
    <col min="11550" max="11550" width="0.5703125" style="342" customWidth="1"/>
    <col min="11551" max="11551" width="11.140625" style="342" customWidth="1"/>
    <col min="11552" max="11552" width="1.28515625" style="342" customWidth="1"/>
    <col min="11553" max="11553" width="9.28515625" style="342" customWidth="1"/>
    <col min="11554" max="11554" width="1" style="342" customWidth="1"/>
    <col min="11555" max="11555" width="12.42578125" style="342" customWidth="1"/>
    <col min="11556" max="11556" width="1.140625" style="342" customWidth="1"/>
    <col min="11557" max="11557" width="11.7109375" style="342" customWidth="1"/>
    <col min="11558" max="11558" width="1.140625" style="342" customWidth="1"/>
    <col min="11559" max="11559" width="9.140625" style="342"/>
    <col min="11560" max="11560" width="1.42578125" style="342" customWidth="1"/>
    <col min="11561" max="11561" width="13.85546875" style="342" customWidth="1"/>
    <col min="11562" max="11562" width="55.28515625" style="342" customWidth="1"/>
    <col min="11563" max="11563" width="2" style="342" customWidth="1"/>
    <col min="11564" max="11564" width="67.42578125" style="342" customWidth="1"/>
    <col min="11565" max="11568" width="9.140625" style="342"/>
    <col min="11569" max="11571" width="9.140625" style="342" customWidth="1"/>
    <col min="11572" max="11572" width="16.85546875" style="342" customWidth="1"/>
    <col min="11573" max="11578" width="9.140625" style="342"/>
    <col min="11579" max="11579" width="9.5703125" style="342" customWidth="1"/>
    <col min="11580" max="11582" width="0" style="342" hidden="1" customWidth="1"/>
    <col min="11583" max="11787" width="9.140625" style="342"/>
    <col min="11788" max="11788" width="2.140625" style="342" customWidth="1"/>
    <col min="11789" max="11789" width="13" style="342" customWidth="1"/>
    <col min="11790" max="11790" width="0.7109375" style="342" customWidth="1"/>
    <col min="11791" max="11791" width="14.7109375" style="342" customWidth="1"/>
    <col min="11792" max="11792" width="1.140625" style="342" customWidth="1"/>
    <col min="11793" max="11793" width="39" style="342" customWidth="1"/>
    <col min="11794" max="11794" width="1" style="342" customWidth="1"/>
    <col min="11795" max="11795" width="19" style="342" customWidth="1"/>
    <col min="11796" max="11796" width="1" style="342" customWidth="1"/>
    <col min="11797" max="11797" width="12.7109375" style="342" customWidth="1"/>
    <col min="11798" max="11798" width="0.7109375" style="342" customWidth="1"/>
    <col min="11799" max="11799" width="11.42578125" style="342" customWidth="1"/>
    <col min="11800" max="11800" width="1" style="342" customWidth="1"/>
    <col min="11801" max="11801" width="12" style="342" customWidth="1"/>
    <col min="11802" max="11802" width="0.85546875" style="342" customWidth="1"/>
    <col min="11803" max="11804" width="0" style="342" hidden="1" customWidth="1"/>
    <col min="11805" max="11805" width="14.28515625" style="342" customWidth="1"/>
    <col min="11806" max="11806" width="0.5703125" style="342" customWidth="1"/>
    <col min="11807" max="11807" width="11.140625" style="342" customWidth="1"/>
    <col min="11808" max="11808" width="1.28515625" style="342" customWidth="1"/>
    <col min="11809" max="11809" width="9.28515625" style="342" customWidth="1"/>
    <col min="11810" max="11810" width="1" style="342" customWidth="1"/>
    <col min="11811" max="11811" width="12.42578125" style="342" customWidth="1"/>
    <col min="11812" max="11812" width="1.140625" style="342" customWidth="1"/>
    <col min="11813" max="11813" width="11.7109375" style="342" customWidth="1"/>
    <col min="11814" max="11814" width="1.140625" style="342" customWidth="1"/>
    <col min="11815" max="11815" width="9.140625" style="342"/>
    <col min="11816" max="11816" width="1.42578125" style="342" customWidth="1"/>
    <col min="11817" max="11817" width="13.85546875" style="342" customWidth="1"/>
    <col min="11818" max="11818" width="55.28515625" style="342" customWidth="1"/>
    <col min="11819" max="11819" width="2" style="342" customWidth="1"/>
    <col min="11820" max="11820" width="67.42578125" style="342" customWidth="1"/>
    <col min="11821" max="11824" width="9.140625" style="342"/>
    <col min="11825" max="11827" width="9.140625" style="342" customWidth="1"/>
    <col min="11828" max="11828" width="16.85546875" style="342" customWidth="1"/>
    <col min="11829" max="11834" width="9.140625" style="342"/>
    <col min="11835" max="11835" width="9.5703125" style="342" customWidth="1"/>
    <col min="11836" max="11838" width="0" style="342" hidden="1" customWidth="1"/>
    <col min="11839" max="12043" width="9.140625" style="342"/>
    <col min="12044" max="12044" width="2.140625" style="342" customWidth="1"/>
    <col min="12045" max="12045" width="13" style="342" customWidth="1"/>
    <col min="12046" max="12046" width="0.7109375" style="342" customWidth="1"/>
    <col min="12047" max="12047" width="14.7109375" style="342" customWidth="1"/>
    <col min="12048" max="12048" width="1.140625" style="342" customWidth="1"/>
    <col min="12049" max="12049" width="39" style="342" customWidth="1"/>
    <col min="12050" max="12050" width="1" style="342" customWidth="1"/>
    <col min="12051" max="12051" width="19" style="342" customWidth="1"/>
    <col min="12052" max="12052" width="1" style="342" customWidth="1"/>
    <col min="12053" max="12053" width="12.7109375" style="342" customWidth="1"/>
    <col min="12054" max="12054" width="0.7109375" style="342" customWidth="1"/>
    <col min="12055" max="12055" width="11.42578125" style="342" customWidth="1"/>
    <col min="12056" max="12056" width="1" style="342" customWidth="1"/>
    <col min="12057" max="12057" width="12" style="342" customWidth="1"/>
    <col min="12058" max="12058" width="0.85546875" style="342" customWidth="1"/>
    <col min="12059" max="12060" width="0" style="342" hidden="1" customWidth="1"/>
    <col min="12061" max="12061" width="14.28515625" style="342" customWidth="1"/>
    <col min="12062" max="12062" width="0.5703125" style="342" customWidth="1"/>
    <col min="12063" max="12063" width="11.140625" style="342" customWidth="1"/>
    <col min="12064" max="12064" width="1.28515625" style="342" customWidth="1"/>
    <col min="12065" max="12065" width="9.28515625" style="342" customWidth="1"/>
    <col min="12066" max="12066" width="1" style="342" customWidth="1"/>
    <col min="12067" max="12067" width="12.42578125" style="342" customWidth="1"/>
    <col min="12068" max="12068" width="1.140625" style="342" customWidth="1"/>
    <col min="12069" max="12069" width="11.7109375" style="342" customWidth="1"/>
    <col min="12070" max="12070" width="1.140625" style="342" customWidth="1"/>
    <col min="12071" max="12071" width="9.140625" style="342"/>
    <col min="12072" max="12072" width="1.42578125" style="342" customWidth="1"/>
    <col min="12073" max="12073" width="13.85546875" style="342" customWidth="1"/>
    <col min="12074" max="12074" width="55.28515625" style="342" customWidth="1"/>
    <col min="12075" max="12075" width="2" style="342" customWidth="1"/>
    <col min="12076" max="12076" width="67.42578125" style="342" customWidth="1"/>
    <col min="12077" max="12080" width="9.140625" style="342"/>
    <col min="12081" max="12083" width="9.140625" style="342" customWidth="1"/>
    <col min="12084" max="12084" width="16.85546875" style="342" customWidth="1"/>
    <col min="12085" max="12090" width="9.140625" style="342"/>
    <col min="12091" max="12091" width="9.5703125" style="342" customWidth="1"/>
    <col min="12092" max="12094" width="0" style="342" hidden="1" customWidth="1"/>
    <col min="12095" max="12299" width="9.140625" style="342"/>
    <col min="12300" max="12300" width="2.140625" style="342" customWidth="1"/>
    <col min="12301" max="12301" width="13" style="342" customWidth="1"/>
    <col min="12302" max="12302" width="0.7109375" style="342" customWidth="1"/>
    <col min="12303" max="12303" width="14.7109375" style="342" customWidth="1"/>
    <col min="12304" max="12304" width="1.140625" style="342" customWidth="1"/>
    <col min="12305" max="12305" width="39" style="342" customWidth="1"/>
    <col min="12306" max="12306" width="1" style="342" customWidth="1"/>
    <col min="12307" max="12307" width="19" style="342" customWidth="1"/>
    <col min="12308" max="12308" width="1" style="342" customWidth="1"/>
    <col min="12309" max="12309" width="12.7109375" style="342" customWidth="1"/>
    <col min="12310" max="12310" width="0.7109375" style="342" customWidth="1"/>
    <col min="12311" max="12311" width="11.42578125" style="342" customWidth="1"/>
    <col min="12312" max="12312" width="1" style="342" customWidth="1"/>
    <col min="12313" max="12313" width="12" style="342" customWidth="1"/>
    <col min="12314" max="12314" width="0.85546875" style="342" customWidth="1"/>
    <col min="12315" max="12316" width="0" style="342" hidden="1" customWidth="1"/>
    <col min="12317" max="12317" width="14.28515625" style="342" customWidth="1"/>
    <col min="12318" max="12318" width="0.5703125" style="342" customWidth="1"/>
    <col min="12319" max="12319" width="11.140625" style="342" customWidth="1"/>
    <col min="12320" max="12320" width="1.28515625" style="342" customWidth="1"/>
    <col min="12321" max="12321" width="9.28515625" style="342" customWidth="1"/>
    <col min="12322" max="12322" width="1" style="342" customWidth="1"/>
    <col min="12323" max="12323" width="12.42578125" style="342" customWidth="1"/>
    <col min="12324" max="12324" width="1.140625" style="342" customWidth="1"/>
    <col min="12325" max="12325" width="11.7109375" style="342" customWidth="1"/>
    <col min="12326" max="12326" width="1.140625" style="342" customWidth="1"/>
    <col min="12327" max="12327" width="9.140625" style="342"/>
    <col min="12328" max="12328" width="1.42578125" style="342" customWidth="1"/>
    <col min="12329" max="12329" width="13.85546875" style="342" customWidth="1"/>
    <col min="12330" max="12330" width="55.28515625" style="342" customWidth="1"/>
    <col min="12331" max="12331" width="2" style="342" customWidth="1"/>
    <col min="12332" max="12332" width="67.42578125" style="342" customWidth="1"/>
    <col min="12333" max="12336" width="9.140625" style="342"/>
    <col min="12337" max="12339" width="9.140625" style="342" customWidth="1"/>
    <col min="12340" max="12340" width="16.85546875" style="342" customWidth="1"/>
    <col min="12341" max="12346" width="9.140625" style="342"/>
    <col min="12347" max="12347" width="9.5703125" style="342" customWidth="1"/>
    <col min="12348" max="12350" width="0" style="342" hidden="1" customWidth="1"/>
    <col min="12351" max="12555" width="9.140625" style="342"/>
    <col min="12556" max="12556" width="2.140625" style="342" customWidth="1"/>
    <col min="12557" max="12557" width="13" style="342" customWidth="1"/>
    <col min="12558" max="12558" width="0.7109375" style="342" customWidth="1"/>
    <col min="12559" max="12559" width="14.7109375" style="342" customWidth="1"/>
    <col min="12560" max="12560" width="1.140625" style="342" customWidth="1"/>
    <col min="12561" max="12561" width="39" style="342" customWidth="1"/>
    <col min="12562" max="12562" width="1" style="342" customWidth="1"/>
    <col min="12563" max="12563" width="19" style="342" customWidth="1"/>
    <col min="12564" max="12564" width="1" style="342" customWidth="1"/>
    <col min="12565" max="12565" width="12.7109375" style="342" customWidth="1"/>
    <col min="12566" max="12566" width="0.7109375" style="342" customWidth="1"/>
    <col min="12567" max="12567" width="11.42578125" style="342" customWidth="1"/>
    <col min="12568" max="12568" width="1" style="342" customWidth="1"/>
    <col min="12569" max="12569" width="12" style="342" customWidth="1"/>
    <col min="12570" max="12570" width="0.85546875" style="342" customWidth="1"/>
    <col min="12571" max="12572" width="0" style="342" hidden="1" customWidth="1"/>
    <col min="12573" max="12573" width="14.28515625" style="342" customWidth="1"/>
    <col min="12574" max="12574" width="0.5703125" style="342" customWidth="1"/>
    <col min="12575" max="12575" width="11.140625" style="342" customWidth="1"/>
    <col min="12576" max="12576" width="1.28515625" style="342" customWidth="1"/>
    <col min="12577" max="12577" width="9.28515625" style="342" customWidth="1"/>
    <col min="12578" max="12578" width="1" style="342" customWidth="1"/>
    <col min="12579" max="12579" width="12.42578125" style="342" customWidth="1"/>
    <col min="12580" max="12580" width="1.140625" style="342" customWidth="1"/>
    <col min="12581" max="12581" width="11.7109375" style="342" customWidth="1"/>
    <col min="12582" max="12582" width="1.140625" style="342" customWidth="1"/>
    <col min="12583" max="12583" width="9.140625" style="342"/>
    <col min="12584" max="12584" width="1.42578125" style="342" customWidth="1"/>
    <col min="12585" max="12585" width="13.85546875" style="342" customWidth="1"/>
    <col min="12586" max="12586" width="55.28515625" style="342" customWidth="1"/>
    <col min="12587" max="12587" width="2" style="342" customWidth="1"/>
    <col min="12588" max="12588" width="67.42578125" style="342" customWidth="1"/>
    <col min="12589" max="12592" width="9.140625" style="342"/>
    <col min="12593" max="12595" width="9.140625" style="342" customWidth="1"/>
    <col min="12596" max="12596" width="16.85546875" style="342" customWidth="1"/>
    <col min="12597" max="12602" width="9.140625" style="342"/>
    <col min="12603" max="12603" width="9.5703125" style="342" customWidth="1"/>
    <col min="12604" max="12606" width="0" style="342" hidden="1" customWidth="1"/>
    <col min="12607" max="12811" width="9.140625" style="342"/>
    <col min="12812" max="12812" width="2.140625" style="342" customWidth="1"/>
    <col min="12813" max="12813" width="13" style="342" customWidth="1"/>
    <col min="12814" max="12814" width="0.7109375" style="342" customWidth="1"/>
    <col min="12815" max="12815" width="14.7109375" style="342" customWidth="1"/>
    <col min="12816" max="12816" width="1.140625" style="342" customWidth="1"/>
    <col min="12817" max="12817" width="39" style="342" customWidth="1"/>
    <col min="12818" max="12818" width="1" style="342" customWidth="1"/>
    <col min="12819" max="12819" width="19" style="342" customWidth="1"/>
    <col min="12820" max="12820" width="1" style="342" customWidth="1"/>
    <col min="12821" max="12821" width="12.7109375" style="342" customWidth="1"/>
    <col min="12822" max="12822" width="0.7109375" style="342" customWidth="1"/>
    <col min="12823" max="12823" width="11.42578125" style="342" customWidth="1"/>
    <col min="12824" max="12824" width="1" style="342" customWidth="1"/>
    <col min="12825" max="12825" width="12" style="342" customWidth="1"/>
    <col min="12826" max="12826" width="0.85546875" style="342" customWidth="1"/>
    <col min="12827" max="12828" width="0" style="342" hidden="1" customWidth="1"/>
    <col min="12829" max="12829" width="14.28515625" style="342" customWidth="1"/>
    <col min="12830" max="12830" width="0.5703125" style="342" customWidth="1"/>
    <col min="12831" max="12831" width="11.140625" style="342" customWidth="1"/>
    <col min="12832" max="12832" width="1.28515625" style="342" customWidth="1"/>
    <col min="12833" max="12833" width="9.28515625" style="342" customWidth="1"/>
    <col min="12834" max="12834" width="1" style="342" customWidth="1"/>
    <col min="12835" max="12835" width="12.42578125" style="342" customWidth="1"/>
    <col min="12836" max="12836" width="1.140625" style="342" customWidth="1"/>
    <col min="12837" max="12837" width="11.7109375" style="342" customWidth="1"/>
    <col min="12838" max="12838" width="1.140625" style="342" customWidth="1"/>
    <col min="12839" max="12839" width="9.140625" style="342"/>
    <col min="12840" max="12840" width="1.42578125" style="342" customWidth="1"/>
    <col min="12841" max="12841" width="13.85546875" style="342" customWidth="1"/>
    <col min="12842" max="12842" width="55.28515625" style="342" customWidth="1"/>
    <col min="12843" max="12843" width="2" style="342" customWidth="1"/>
    <col min="12844" max="12844" width="67.42578125" style="342" customWidth="1"/>
    <col min="12845" max="12848" width="9.140625" style="342"/>
    <col min="12849" max="12851" width="9.140625" style="342" customWidth="1"/>
    <col min="12852" max="12852" width="16.85546875" style="342" customWidth="1"/>
    <col min="12853" max="12858" width="9.140625" style="342"/>
    <col min="12859" max="12859" width="9.5703125" style="342" customWidth="1"/>
    <col min="12860" max="12862" width="0" style="342" hidden="1" customWidth="1"/>
    <col min="12863" max="13067" width="9.140625" style="342"/>
    <col min="13068" max="13068" width="2.140625" style="342" customWidth="1"/>
    <col min="13069" max="13069" width="13" style="342" customWidth="1"/>
    <col min="13070" max="13070" width="0.7109375" style="342" customWidth="1"/>
    <col min="13071" max="13071" width="14.7109375" style="342" customWidth="1"/>
    <col min="13072" max="13072" width="1.140625" style="342" customWidth="1"/>
    <col min="13073" max="13073" width="39" style="342" customWidth="1"/>
    <col min="13074" max="13074" width="1" style="342" customWidth="1"/>
    <col min="13075" max="13075" width="19" style="342" customWidth="1"/>
    <col min="13076" max="13076" width="1" style="342" customWidth="1"/>
    <col min="13077" max="13077" width="12.7109375" style="342" customWidth="1"/>
    <col min="13078" max="13078" width="0.7109375" style="342" customWidth="1"/>
    <col min="13079" max="13079" width="11.42578125" style="342" customWidth="1"/>
    <col min="13080" max="13080" width="1" style="342" customWidth="1"/>
    <col min="13081" max="13081" width="12" style="342" customWidth="1"/>
    <col min="13082" max="13082" width="0.85546875" style="342" customWidth="1"/>
    <col min="13083" max="13084" width="0" style="342" hidden="1" customWidth="1"/>
    <col min="13085" max="13085" width="14.28515625" style="342" customWidth="1"/>
    <col min="13086" max="13086" width="0.5703125" style="342" customWidth="1"/>
    <col min="13087" max="13087" width="11.140625" style="342" customWidth="1"/>
    <col min="13088" max="13088" width="1.28515625" style="342" customWidth="1"/>
    <col min="13089" max="13089" width="9.28515625" style="342" customWidth="1"/>
    <col min="13090" max="13090" width="1" style="342" customWidth="1"/>
    <col min="13091" max="13091" width="12.42578125" style="342" customWidth="1"/>
    <col min="13092" max="13092" width="1.140625" style="342" customWidth="1"/>
    <col min="13093" max="13093" width="11.7109375" style="342" customWidth="1"/>
    <col min="13094" max="13094" width="1.140625" style="342" customWidth="1"/>
    <col min="13095" max="13095" width="9.140625" style="342"/>
    <col min="13096" max="13096" width="1.42578125" style="342" customWidth="1"/>
    <col min="13097" max="13097" width="13.85546875" style="342" customWidth="1"/>
    <col min="13098" max="13098" width="55.28515625" style="342" customWidth="1"/>
    <col min="13099" max="13099" width="2" style="342" customWidth="1"/>
    <col min="13100" max="13100" width="67.42578125" style="342" customWidth="1"/>
    <col min="13101" max="13104" width="9.140625" style="342"/>
    <col min="13105" max="13107" width="9.140625" style="342" customWidth="1"/>
    <col min="13108" max="13108" width="16.85546875" style="342" customWidth="1"/>
    <col min="13109" max="13114" width="9.140625" style="342"/>
    <col min="13115" max="13115" width="9.5703125" style="342" customWidth="1"/>
    <col min="13116" max="13118" width="0" style="342" hidden="1" customWidth="1"/>
    <col min="13119" max="13323" width="9.140625" style="342"/>
    <col min="13324" max="13324" width="2.140625" style="342" customWidth="1"/>
    <col min="13325" max="13325" width="13" style="342" customWidth="1"/>
    <col min="13326" max="13326" width="0.7109375" style="342" customWidth="1"/>
    <col min="13327" max="13327" width="14.7109375" style="342" customWidth="1"/>
    <col min="13328" max="13328" width="1.140625" style="342" customWidth="1"/>
    <col min="13329" max="13329" width="39" style="342" customWidth="1"/>
    <col min="13330" max="13330" width="1" style="342" customWidth="1"/>
    <col min="13331" max="13331" width="19" style="342" customWidth="1"/>
    <col min="13332" max="13332" width="1" style="342" customWidth="1"/>
    <col min="13333" max="13333" width="12.7109375" style="342" customWidth="1"/>
    <col min="13334" max="13334" width="0.7109375" style="342" customWidth="1"/>
    <col min="13335" max="13335" width="11.42578125" style="342" customWidth="1"/>
    <col min="13336" max="13336" width="1" style="342" customWidth="1"/>
    <col min="13337" max="13337" width="12" style="342" customWidth="1"/>
    <col min="13338" max="13338" width="0.85546875" style="342" customWidth="1"/>
    <col min="13339" max="13340" width="0" style="342" hidden="1" customWidth="1"/>
    <col min="13341" max="13341" width="14.28515625" style="342" customWidth="1"/>
    <col min="13342" max="13342" width="0.5703125" style="342" customWidth="1"/>
    <col min="13343" max="13343" width="11.140625" style="342" customWidth="1"/>
    <col min="13344" max="13344" width="1.28515625" style="342" customWidth="1"/>
    <col min="13345" max="13345" width="9.28515625" style="342" customWidth="1"/>
    <col min="13346" max="13346" width="1" style="342" customWidth="1"/>
    <col min="13347" max="13347" width="12.42578125" style="342" customWidth="1"/>
    <col min="13348" max="13348" width="1.140625" style="342" customWidth="1"/>
    <col min="13349" max="13349" width="11.7109375" style="342" customWidth="1"/>
    <col min="13350" max="13350" width="1.140625" style="342" customWidth="1"/>
    <col min="13351" max="13351" width="9.140625" style="342"/>
    <col min="13352" max="13352" width="1.42578125" style="342" customWidth="1"/>
    <col min="13353" max="13353" width="13.85546875" style="342" customWidth="1"/>
    <col min="13354" max="13354" width="55.28515625" style="342" customWidth="1"/>
    <col min="13355" max="13355" width="2" style="342" customWidth="1"/>
    <col min="13356" max="13356" width="67.42578125" style="342" customWidth="1"/>
    <col min="13357" max="13360" width="9.140625" style="342"/>
    <col min="13361" max="13363" width="9.140625" style="342" customWidth="1"/>
    <col min="13364" max="13364" width="16.85546875" style="342" customWidth="1"/>
    <col min="13365" max="13370" width="9.140625" style="342"/>
    <col min="13371" max="13371" width="9.5703125" style="342" customWidth="1"/>
    <col min="13372" max="13374" width="0" style="342" hidden="1" customWidth="1"/>
    <col min="13375" max="13579" width="9.140625" style="342"/>
    <col min="13580" max="13580" width="2.140625" style="342" customWidth="1"/>
    <col min="13581" max="13581" width="13" style="342" customWidth="1"/>
    <col min="13582" max="13582" width="0.7109375" style="342" customWidth="1"/>
    <col min="13583" max="13583" width="14.7109375" style="342" customWidth="1"/>
    <col min="13584" max="13584" width="1.140625" style="342" customWidth="1"/>
    <col min="13585" max="13585" width="39" style="342" customWidth="1"/>
    <col min="13586" max="13586" width="1" style="342" customWidth="1"/>
    <col min="13587" max="13587" width="19" style="342" customWidth="1"/>
    <col min="13588" max="13588" width="1" style="342" customWidth="1"/>
    <col min="13589" max="13589" width="12.7109375" style="342" customWidth="1"/>
    <col min="13590" max="13590" width="0.7109375" style="342" customWidth="1"/>
    <col min="13591" max="13591" width="11.42578125" style="342" customWidth="1"/>
    <col min="13592" max="13592" width="1" style="342" customWidth="1"/>
    <col min="13593" max="13593" width="12" style="342" customWidth="1"/>
    <col min="13594" max="13594" width="0.85546875" style="342" customWidth="1"/>
    <col min="13595" max="13596" width="0" style="342" hidden="1" customWidth="1"/>
    <col min="13597" max="13597" width="14.28515625" style="342" customWidth="1"/>
    <col min="13598" max="13598" width="0.5703125" style="342" customWidth="1"/>
    <col min="13599" max="13599" width="11.140625" style="342" customWidth="1"/>
    <col min="13600" max="13600" width="1.28515625" style="342" customWidth="1"/>
    <col min="13601" max="13601" width="9.28515625" style="342" customWidth="1"/>
    <col min="13602" max="13602" width="1" style="342" customWidth="1"/>
    <col min="13603" max="13603" width="12.42578125" style="342" customWidth="1"/>
    <col min="13604" max="13604" width="1.140625" style="342" customWidth="1"/>
    <col min="13605" max="13605" width="11.7109375" style="342" customWidth="1"/>
    <col min="13606" max="13606" width="1.140625" style="342" customWidth="1"/>
    <col min="13607" max="13607" width="9.140625" style="342"/>
    <col min="13608" max="13608" width="1.42578125" style="342" customWidth="1"/>
    <col min="13609" max="13609" width="13.85546875" style="342" customWidth="1"/>
    <col min="13610" max="13610" width="55.28515625" style="342" customWidth="1"/>
    <col min="13611" max="13611" width="2" style="342" customWidth="1"/>
    <col min="13612" max="13612" width="67.42578125" style="342" customWidth="1"/>
    <col min="13613" max="13616" width="9.140625" style="342"/>
    <col min="13617" max="13619" width="9.140625" style="342" customWidth="1"/>
    <col min="13620" max="13620" width="16.85546875" style="342" customWidth="1"/>
    <col min="13621" max="13626" width="9.140625" style="342"/>
    <col min="13627" max="13627" width="9.5703125" style="342" customWidth="1"/>
    <col min="13628" max="13630" width="0" style="342" hidden="1" customWidth="1"/>
    <col min="13631" max="13835" width="9.140625" style="342"/>
    <col min="13836" max="13836" width="2.140625" style="342" customWidth="1"/>
    <col min="13837" max="13837" width="13" style="342" customWidth="1"/>
    <col min="13838" max="13838" width="0.7109375" style="342" customWidth="1"/>
    <col min="13839" max="13839" width="14.7109375" style="342" customWidth="1"/>
    <col min="13840" max="13840" width="1.140625" style="342" customWidth="1"/>
    <col min="13841" max="13841" width="39" style="342" customWidth="1"/>
    <col min="13842" max="13842" width="1" style="342" customWidth="1"/>
    <col min="13843" max="13843" width="19" style="342" customWidth="1"/>
    <col min="13844" max="13844" width="1" style="342" customWidth="1"/>
    <col min="13845" max="13845" width="12.7109375" style="342" customWidth="1"/>
    <col min="13846" max="13846" width="0.7109375" style="342" customWidth="1"/>
    <col min="13847" max="13847" width="11.42578125" style="342" customWidth="1"/>
    <col min="13848" max="13848" width="1" style="342" customWidth="1"/>
    <col min="13849" max="13849" width="12" style="342" customWidth="1"/>
    <col min="13850" max="13850" width="0.85546875" style="342" customWidth="1"/>
    <col min="13851" max="13852" width="0" style="342" hidden="1" customWidth="1"/>
    <col min="13853" max="13853" width="14.28515625" style="342" customWidth="1"/>
    <col min="13854" max="13854" width="0.5703125" style="342" customWidth="1"/>
    <col min="13855" max="13855" width="11.140625" style="342" customWidth="1"/>
    <col min="13856" max="13856" width="1.28515625" style="342" customWidth="1"/>
    <col min="13857" max="13857" width="9.28515625" style="342" customWidth="1"/>
    <col min="13858" max="13858" width="1" style="342" customWidth="1"/>
    <col min="13859" max="13859" width="12.42578125" style="342" customWidth="1"/>
    <col min="13860" max="13860" width="1.140625" style="342" customWidth="1"/>
    <col min="13861" max="13861" width="11.7109375" style="342" customWidth="1"/>
    <col min="13862" max="13862" width="1.140625" style="342" customWidth="1"/>
    <col min="13863" max="13863" width="9.140625" style="342"/>
    <col min="13864" max="13864" width="1.42578125" style="342" customWidth="1"/>
    <col min="13865" max="13865" width="13.85546875" style="342" customWidth="1"/>
    <col min="13866" max="13866" width="55.28515625" style="342" customWidth="1"/>
    <col min="13867" max="13867" width="2" style="342" customWidth="1"/>
    <col min="13868" max="13868" width="67.42578125" style="342" customWidth="1"/>
    <col min="13869" max="13872" width="9.140625" style="342"/>
    <col min="13873" max="13875" width="9.140625" style="342" customWidth="1"/>
    <col min="13876" max="13876" width="16.85546875" style="342" customWidth="1"/>
    <col min="13877" max="13882" width="9.140625" style="342"/>
    <col min="13883" max="13883" width="9.5703125" style="342" customWidth="1"/>
    <col min="13884" max="13886" width="0" style="342" hidden="1" customWidth="1"/>
    <col min="13887" max="14091" width="9.140625" style="342"/>
    <col min="14092" max="14092" width="2.140625" style="342" customWidth="1"/>
    <col min="14093" max="14093" width="13" style="342" customWidth="1"/>
    <col min="14094" max="14094" width="0.7109375" style="342" customWidth="1"/>
    <col min="14095" max="14095" width="14.7109375" style="342" customWidth="1"/>
    <col min="14096" max="14096" width="1.140625" style="342" customWidth="1"/>
    <col min="14097" max="14097" width="39" style="342" customWidth="1"/>
    <col min="14098" max="14098" width="1" style="342" customWidth="1"/>
    <col min="14099" max="14099" width="19" style="342" customWidth="1"/>
    <col min="14100" max="14100" width="1" style="342" customWidth="1"/>
    <col min="14101" max="14101" width="12.7109375" style="342" customWidth="1"/>
    <col min="14102" max="14102" width="0.7109375" style="342" customWidth="1"/>
    <col min="14103" max="14103" width="11.42578125" style="342" customWidth="1"/>
    <col min="14104" max="14104" width="1" style="342" customWidth="1"/>
    <col min="14105" max="14105" width="12" style="342" customWidth="1"/>
    <col min="14106" max="14106" width="0.85546875" style="342" customWidth="1"/>
    <col min="14107" max="14108" width="0" style="342" hidden="1" customWidth="1"/>
    <col min="14109" max="14109" width="14.28515625" style="342" customWidth="1"/>
    <col min="14110" max="14110" width="0.5703125" style="342" customWidth="1"/>
    <col min="14111" max="14111" width="11.140625" style="342" customWidth="1"/>
    <col min="14112" max="14112" width="1.28515625" style="342" customWidth="1"/>
    <col min="14113" max="14113" width="9.28515625" style="342" customWidth="1"/>
    <col min="14114" max="14114" width="1" style="342" customWidth="1"/>
    <col min="14115" max="14115" width="12.42578125" style="342" customWidth="1"/>
    <col min="14116" max="14116" width="1.140625" style="342" customWidth="1"/>
    <col min="14117" max="14117" width="11.7109375" style="342" customWidth="1"/>
    <col min="14118" max="14118" width="1.140625" style="342" customWidth="1"/>
    <col min="14119" max="14119" width="9.140625" style="342"/>
    <col min="14120" max="14120" width="1.42578125" style="342" customWidth="1"/>
    <col min="14121" max="14121" width="13.85546875" style="342" customWidth="1"/>
    <col min="14122" max="14122" width="55.28515625" style="342" customWidth="1"/>
    <col min="14123" max="14123" width="2" style="342" customWidth="1"/>
    <col min="14124" max="14124" width="67.42578125" style="342" customWidth="1"/>
    <col min="14125" max="14128" width="9.140625" style="342"/>
    <col min="14129" max="14131" width="9.140625" style="342" customWidth="1"/>
    <col min="14132" max="14132" width="16.85546875" style="342" customWidth="1"/>
    <col min="14133" max="14138" width="9.140625" style="342"/>
    <col min="14139" max="14139" width="9.5703125" style="342" customWidth="1"/>
    <col min="14140" max="14142" width="0" style="342" hidden="1" customWidth="1"/>
    <col min="14143" max="14347" width="9.140625" style="342"/>
    <col min="14348" max="14348" width="2.140625" style="342" customWidth="1"/>
    <col min="14349" max="14349" width="13" style="342" customWidth="1"/>
    <col min="14350" max="14350" width="0.7109375" style="342" customWidth="1"/>
    <col min="14351" max="14351" width="14.7109375" style="342" customWidth="1"/>
    <col min="14352" max="14352" width="1.140625" style="342" customWidth="1"/>
    <col min="14353" max="14353" width="39" style="342" customWidth="1"/>
    <col min="14354" max="14354" width="1" style="342" customWidth="1"/>
    <col min="14355" max="14355" width="19" style="342" customWidth="1"/>
    <col min="14356" max="14356" width="1" style="342" customWidth="1"/>
    <col min="14357" max="14357" width="12.7109375" style="342" customWidth="1"/>
    <col min="14358" max="14358" width="0.7109375" style="342" customWidth="1"/>
    <col min="14359" max="14359" width="11.42578125" style="342" customWidth="1"/>
    <col min="14360" max="14360" width="1" style="342" customWidth="1"/>
    <col min="14361" max="14361" width="12" style="342" customWidth="1"/>
    <col min="14362" max="14362" width="0.85546875" style="342" customWidth="1"/>
    <col min="14363" max="14364" width="0" style="342" hidden="1" customWidth="1"/>
    <col min="14365" max="14365" width="14.28515625" style="342" customWidth="1"/>
    <col min="14366" max="14366" width="0.5703125" style="342" customWidth="1"/>
    <col min="14367" max="14367" width="11.140625" style="342" customWidth="1"/>
    <col min="14368" max="14368" width="1.28515625" style="342" customWidth="1"/>
    <col min="14369" max="14369" width="9.28515625" style="342" customWidth="1"/>
    <col min="14370" max="14370" width="1" style="342" customWidth="1"/>
    <col min="14371" max="14371" width="12.42578125" style="342" customWidth="1"/>
    <col min="14372" max="14372" width="1.140625" style="342" customWidth="1"/>
    <col min="14373" max="14373" width="11.7109375" style="342" customWidth="1"/>
    <col min="14374" max="14374" width="1.140625" style="342" customWidth="1"/>
    <col min="14375" max="14375" width="9.140625" style="342"/>
    <col min="14376" max="14376" width="1.42578125" style="342" customWidth="1"/>
    <col min="14377" max="14377" width="13.85546875" style="342" customWidth="1"/>
    <col min="14378" max="14378" width="55.28515625" style="342" customWidth="1"/>
    <col min="14379" max="14379" width="2" style="342" customWidth="1"/>
    <col min="14380" max="14380" width="67.42578125" style="342" customWidth="1"/>
    <col min="14381" max="14384" width="9.140625" style="342"/>
    <col min="14385" max="14387" width="9.140625" style="342" customWidth="1"/>
    <col min="14388" max="14388" width="16.85546875" style="342" customWidth="1"/>
    <col min="14389" max="14394" width="9.140625" style="342"/>
    <col min="14395" max="14395" width="9.5703125" style="342" customWidth="1"/>
    <col min="14396" max="14398" width="0" style="342" hidden="1" customWidth="1"/>
    <col min="14399" max="14603" width="9.140625" style="342"/>
    <col min="14604" max="14604" width="2.140625" style="342" customWidth="1"/>
    <col min="14605" max="14605" width="13" style="342" customWidth="1"/>
    <col min="14606" max="14606" width="0.7109375" style="342" customWidth="1"/>
    <col min="14607" max="14607" width="14.7109375" style="342" customWidth="1"/>
    <col min="14608" max="14608" width="1.140625" style="342" customWidth="1"/>
    <col min="14609" max="14609" width="39" style="342" customWidth="1"/>
    <col min="14610" max="14610" width="1" style="342" customWidth="1"/>
    <col min="14611" max="14611" width="19" style="342" customWidth="1"/>
    <col min="14612" max="14612" width="1" style="342" customWidth="1"/>
    <col min="14613" max="14613" width="12.7109375" style="342" customWidth="1"/>
    <col min="14614" max="14614" width="0.7109375" style="342" customWidth="1"/>
    <col min="14615" max="14615" width="11.42578125" style="342" customWidth="1"/>
    <col min="14616" max="14616" width="1" style="342" customWidth="1"/>
    <col min="14617" max="14617" width="12" style="342" customWidth="1"/>
    <col min="14618" max="14618" width="0.85546875" style="342" customWidth="1"/>
    <col min="14619" max="14620" width="0" style="342" hidden="1" customWidth="1"/>
    <col min="14621" max="14621" width="14.28515625" style="342" customWidth="1"/>
    <col min="14622" max="14622" width="0.5703125" style="342" customWidth="1"/>
    <col min="14623" max="14623" width="11.140625" style="342" customWidth="1"/>
    <col min="14624" max="14624" width="1.28515625" style="342" customWidth="1"/>
    <col min="14625" max="14625" width="9.28515625" style="342" customWidth="1"/>
    <col min="14626" max="14626" width="1" style="342" customWidth="1"/>
    <col min="14627" max="14627" width="12.42578125" style="342" customWidth="1"/>
    <col min="14628" max="14628" width="1.140625" style="342" customWidth="1"/>
    <col min="14629" max="14629" width="11.7109375" style="342" customWidth="1"/>
    <col min="14630" max="14630" width="1.140625" style="342" customWidth="1"/>
    <col min="14631" max="14631" width="9.140625" style="342"/>
    <col min="14632" max="14632" width="1.42578125" style="342" customWidth="1"/>
    <col min="14633" max="14633" width="13.85546875" style="342" customWidth="1"/>
    <col min="14634" max="14634" width="55.28515625" style="342" customWidth="1"/>
    <col min="14635" max="14635" width="2" style="342" customWidth="1"/>
    <col min="14636" max="14636" width="67.42578125" style="342" customWidth="1"/>
    <col min="14637" max="14640" width="9.140625" style="342"/>
    <col min="14641" max="14643" width="9.140625" style="342" customWidth="1"/>
    <col min="14644" max="14644" width="16.85546875" style="342" customWidth="1"/>
    <col min="14645" max="14650" width="9.140625" style="342"/>
    <col min="14651" max="14651" width="9.5703125" style="342" customWidth="1"/>
    <col min="14652" max="14654" width="0" style="342" hidden="1" customWidth="1"/>
    <col min="14655" max="14859" width="9.140625" style="342"/>
    <col min="14860" max="14860" width="2.140625" style="342" customWidth="1"/>
    <col min="14861" max="14861" width="13" style="342" customWidth="1"/>
    <col min="14862" max="14862" width="0.7109375" style="342" customWidth="1"/>
    <col min="14863" max="14863" width="14.7109375" style="342" customWidth="1"/>
    <col min="14864" max="14864" width="1.140625" style="342" customWidth="1"/>
    <col min="14865" max="14865" width="39" style="342" customWidth="1"/>
    <col min="14866" max="14866" width="1" style="342" customWidth="1"/>
    <col min="14867" max="14867" width="19" style="342" customWidth="1"/>
    <col min="14868" max="14868" width="1" style="342" customWidth="1"/>
    <col min="14869" max="14869" width="12.7109375" style="342" customWidth="1"/>
    <col min="14870" max="14870" width="0.7109375" style="342" customWidth="1"/>
    <col min="14871" max="14871" width="11.42578125" style="342" customWidth="1"/>
    <col min="14872" max="14872" width="1" style="342" customWidth="1"/>
    <col min="14873" max="14873" width="12" style="342" customWidth="1"/>
    <col min="14874" max="14874" width="0.85546875" style="342" customWidth="1"/>
    <col min="14875" max="14876" width="0" style="342" hidden="1" customWidth="1"/>
    <col min="14877" max="14877" width="14.28515625" style="342" customWidth="1"/>
    <col min="14878" max="14878" width="0.5703125" style="342" customWidth="1"/>
    <col min="14879" max="14879" width="11.140625" style="342" customWidth="1"/>
    <col min="14880" max="14880" width="1.28515625" style="342" customWidth="1"/>
    <col min="14881" max="14881" width="9.28515625" style="342" customWidth="1"/>
    <col min="14882" max="14882" width="1" style="342" customWidth="1"/>
    <col min="14883" max="14883" width="12.42578125" style="342" customWidth="1"/>
    <col min="14884" max="14884" width="1.140625" style="342" customWidth="1"/>
    <col min="14885" max="14885" width="11.7109375" style="342" customWidth="1"/>
    <col min="14886" max="14886" width="1.140625" style="342" customWidth="1"/>
    <col min="14887" max="14887" width="9.140625" style="342"/>
    <col min="14888" max="14888" width="1.42578125" style="342" customWidth="1"/>
    <col min="14889" max="14889" width="13.85546875" style="342" customWidth="1"/>
    <col min="14890" max="14890" width="55.28515625" style="342" customWidth="1"/>
    <col min="14891" max="14891" width="2" style="342" customWidth="1"/>
    <col min="14892" max="14892" width="67.42578125" style="342" customWidth="1"/>
    <col min="14893" max="14896" width="9.140625" style="342"/>
    <col min="14897" max="14899" width="9.140625" style="342" customWidth="1"/>
    <col min="14900" max="14900" width="16.85546875" style="342" customWidth="1"/>
    <col min="14901" max="14906" width="9.140625" style="342"/>
    <col min="14907" max="14907" width="9.5703125" style="342" customWidth="1"/>
    <col min="14908" max="14910" width="0" style="342" hidden="1" customWidth="1"/>
    <col min="14911" max="15115" width="9.140625" style="342"/>
    <col min="15116" max="15116" width="2.140625" style="342" customWidth="1"/>
    <col min="15117" max="15117" width="13" style="342" customWidth="1"/>
    <col min="15118" max="15118" width="0.7109375" style="342" customWidth="1"/>
    <col min="15119" max="15119" width="14.7109375" style="342" customWidth="1"/>
    <col min="15120" max="15120" width="1.140625" style="342" customWidth="1"/>
    <col min="15121" max="15121" width="39" style="342" customWidth="1"/>
    <col min="15122" max="15122" width="1" style="342" customWidth="1"/>
    <col min="15123" max="15123" width="19" style="342" customWidth="1"/>
    <col min="15124" max="15124" width="1" style="342" customWidth="1"/>
    <col min="15125" max="15125" width="12.7109375" style="342" customWidth="1"/>
    <col min="15126" max="15126" width="0.7109375" style="342" customWidth="1"/>
    <col min="15127" max="15127" width="11.42578125" style="342" customWidth="1"/>
    <col min="15128" max="15128" width="1" style="342" customWidth="1"/>
    <col min="15129" max="15129" width="12" style="342" customWidth="1"/>
    <col min="15130" max="15130" width="0.85546875" style="342" customWidth="1"/>
    <col min="15131" max="15132" width="0" style="342" hidden="1" customWidth="1"/>
    <col min="15133" max="15133" width="14.28515625" style="342" customWidth="1"/>
    <col min="15134" max="15134" width="0.5703125" style="342" customWidth="1"/>
    <col min="15135" max="15135" width="11.140625" style="342" customWidth="1"/>
    <col min="15136" max="15136" width="1.28515625" style="342" customWidth="1"/>
    <col min="15137" max="15137" width="9.28515625" style="342" customWidth="1"/>
    <col min="15138" max="15138" width="1" style="342" customWidth="1"/>
    <col min="15139" max="15139" width="12.42578125" style="342" customWidth="1"/>
    <col min="15140" max="15140" width="1.140625" style="342" customWidth="1"/>
    <col min="15141" max="15141" width="11.7109375" style="342" customWidth="1"/>
    <col min="15142" max="15142" width="1.140625" style="342" customWidth="1"/>
    <col min="15143" max="15143" width="9.140625" style="342"/>
    <col min="15144" max="15144" width="1.42578125" style="342" customWidth="1"/>
    <col min="15145" max="15145" width="13.85546875" style="342" customWidth="1"/>
    <col min="15146" max="15146" width="55.28515625" style="342" customWidth="1"/>
    <col min="15147" max="15147" width="2" style="342" customWidth="1"/>
    <col min="15148" max="15148" width="67.42578125" style="342" customWidth="1"/>
    <col min="15149" max="15152" width="9.140625" style="342"/>
    <col min="15153" max="15155" width="9.140625" style="342" customWidth="1"/>
    <col min="15156" max="15156" width="16.85546875" style="342" customWidth="1"/>
    <col min="15157" max="15162" width="9.140625" style="342"/>
    <col min="15163" max="15163" width="9.5703125" style="342" customWidth="1"/>
    <col min="15164" max="15166" width="0" style="342" hidden="1" customWidth="1"/>
    <col min="15167" max="15371" width="9.140625" style="342"/>
    <col min="15372" max="15372" width="2.140625" style="342" customWidth="1"/>
    <col min="15373" max="15373" width="13" style="342" customWidth="1"/>
    <col min="15374" max="15374" width="0.7109375" style="342" customWidth="1"/>
    <col min="15375" max="15375" width="14.7109375" style="342" customWidth="1"/>
    <col min="15376" max="15376" width="1.140625" style="342" customWidth="1"/>
    <col min="15377" max="15377" width="39" style="342" customWidth="1"/>
    <col min="15378" max="15378" width="1" style="342" customWidth="1"/>
    <col min="15379" max="15379" width="19" style="342" customWidth="1"/>
    <col min="15380" max="15380" width="1" style="342" customWidth="1"/>
    <col min="15381" max="15381" width="12.7109375" style="342" customWidth="1"/>
    <col min="15382" max="15382" width="0.7109375" style="342" customWidth="1"/>
    <col min="15383" max="15383" width="11.42578125" style="342" customWidth="1"/>
    <col min="15384" max="15384" width="1" style="342" customWidth="1"/>
    <col min="15385" max="15385" width="12" style="342" customWidth="1"/>
    <col min="15386" max="15386" width="0.85546875" style="342" customWidth="1"/>
    <col min="15387" max="15388" width="0" style="342" hidden="1" customWidth="1"/>
    <col min="15389" max="15389" width="14.28515625" style="342" customWidth="1"/>
    <col min="15390" max="15390" width="0.5703125" style="342" customWidth="1"/>
    <col min="15391" max="15391" width="11.140625" style="342" customWidth="1"/>
    <col min="15392" max="15392" width="1.28515625" style="342" customWidth="1"/>
    <col min="15393" max="15393" width="9.28515625" style="342" customWidth="1"/>
    <col min="15394" max="15394" width="1" style="342" customWidth="1"/>
    <col min="15395" max="15395" width="12.42578125" style="342" customWidth="1"/>
    <col min="15396" max="15396" width="1.140625" style="342" customWidth="1"/>
    <col min="15397" max="15397" width="11.7109375" style="342" customWidth="1"/>
    <col min="15398" max="15398" width="1.140625" style="342" customWidth="1"/>
    <col min="15399" max="15399" width="9.140625" style="342"/>
    <col min="15400" max="15400" width="1.42578125" style="342" customWidth="1"/>
    <col min="15401" max="15401" width="13.85546875" style="342" customWidth="1"/>
    <col min="15402" max="15402" width="55.28515625" style="342" customWidth="1"/>
    <col min="15403" max="15403" width="2" style="342" customWidth="1"/>
    <col min="15404" max="15404" width="67.42578125" style="342" customWidth="1"/>
    <col min="15405" max="15408" width="9.140625" style="342"/>
    <col min="15409" max="15411" width="9.140625" style="342" customWidth="1"/>
    <col min="15412" max="15412" width="16.85546875" style="342" customWidth="1"/>
    <col min="15413" max="15418" width="9.140625" style="342"/>
    <col min="15419" max="15419" width="9.5703125" style="342" customWidth="1"/>
    <col min="15420" max="15422" width="0" style="342" hidden="1" customWidth="1"/>
    <col min="15423" max="15627" width="9.140625" style="342"/>
    <col min="15628" max="15628" width="2.140625" style="342" customWidth="1"/>
    <col min="15629" max="15629" width="13" style="342" customWidth="1"/>
    <col min="15630" max="15630" width="0.7109375" style="342" customWidth="1"/>
    <col min="15631" max="15631" width="14.7109375" style="342" customWidth="1"/>
    <col min="15632" max="15632" width="1.140625" style="342" customWidth="1"/>
    <col min="15633" max="15633" width="39" style="342" customWidth="1"/>
    <col min="15634" max="15634" width="1" style="342" customWidth="1"/>
    <col min="15635" max="15635" width="19" style="342" customWidth="1"/>
    <col min="15636" max="15636" width="1" style="342" customWidth="1"/>
    <col min="15637" max="15637" width="12.7109375" style="342" customWidth="1"/>
    <col min="15638" max="15638" width="0.7109375" style="342" customWidth="1"/>
    <col min="15639" max="15639" width="11.42578125" style="342" customWidth="1"/>
    <col min="15640" max="15640" width="1" style="342" customWidth="1"/>
    <col min="15641" max="15641" width="12" style="342" customWidth="1"/>
    <col min="15642" max="15642" width="0.85546875" style="342" customWidth="1"/>
    <col min="15643" max="15644" width="0" style="342" hidden="1" customWidth="1"/>
    <col min="15645" max="15645" width="14.28515625" style="342" customWidth="1"/>
    <col min="15646" max="15646" width="0.5703125" style="342" customWidth="1"/>
    <col min="15647" max="15647" width="11.140625" style="342" customWidth="1"/>
    <col min="15648" max="15648" width="1.28515625" style="342" customWidth="1"/>
    <col min="15649" max="15649" width="9.28515625" style="342" customWidth="1"/>
    <col min="15650" max="15650" width="1" style="342" customWidth="1"/>
    <col min="15651" max="15651" width="12.42578125" style="342" customWidth="1"/>
    <col min="15652" max="15652" width="1.140625" style="342" customWidth="1"/>
    <col min="15653" max="15653" width="11.7109375" style="342" customWidth="1"/>
    <col min="15654" max="15654" width="1.140625" style="342" customWidth="1"/>
    <col min="15655" max="15655" width="9.140625" style="342"/>
    <col min="15656" max="15656" width="1.42578125" style="342" customWidth="1"/>
    <col min="15657" max="15657" width="13.85546875" style="342" customWidth="1"/>
    <col min="15658" max="15658" width="55.28515625" style="342" customWidth="1"/>
    <col min="15659" max="15659" width="2" style="342" customWidth="1"/>
    <col min="15660" max="15660" width="67.42578125" style="342" customWidth="1"/>
    <col min="15661" max="15664" width="9.140625" style="342"/>
    <col min="15665" max="15667" width="9.140625" style="342" customWidth="1"/>
    <col min="15668" max="15668" width="16.85546875" style="342" customWidth="1"/>
    <col min="15669" max="15674" width="9.140625" style="342"/>
    <col min="15675" max="15675" width="9.5703125" style="342" customWidth="1"/>
    <col min="15676" max="15678" width="0" style="342" hidden="1" customWidth="1"/>
    <col min="15679" max="15883" width="9.140625" style="342"/>
    <col min="15884" max="15884" width="2.140625" style="342" customWidth="1"/>
    <col min="15885" max="15885" width="13" style="342" customWidth="1"/>
    <col min="15886" max="15886" width="0.7109375" style="342" customWidth="1"/>
    <col min="15887" max="15887" width="14.7109375" style="342" customWidth="1"/>
    <col min="15888" max="15888" width="1.140625" style="342" customWidth="1"/>
    <col min="15889" max="15889" width="39" style="342" customWidth="1"/>
    <col min="15890" max="15890" width="1" style="342" customWidth="1"/>
    <col min="15891" max="15891" width="19" style="342" customWidth="1"/>
    <col min="15892" max="15892" width="1" style="342" customWidth="1"/>
    <col min="15893" max="15893" width="12.7109375" style="342" customWidth="1"/>
    <col min="15894" max="15894" width="0.7109375" style="342" customWidth="1"/>
    <col min="15895" max="15895" width="11.42578125" style="342" customWidth="1"/>
    <col min="15896" max="15896" width="1" style="342" customWidth="1"/>
    <col min="15897" max="15897" width="12" style="342" customWidth="1"/>
    <col min="15898" max="15898" width="0.85546875" style="342" customWidth="1"/>
    <col min="15899" max="15900" width="0" style="342" hidden="1" customWidth="1"/>
    <col min="15901" max="15901" width="14.28515625" style="342" customWidth="1"/>
    <col min="15902" max="15902" width="0.5703125" style="342" customWidth="1"/>
    <col min="15903" max="15903" width="11.140625" style="342" customWidth="1"/>
    <col min="15904" max="15904" width="1.28515625" style="342" customWidth="1"/>
    <col min="15905" max="15905" width="9.28515625" style="342" customWidth="1"/>
    <col min="15906" max="15906" width="1" style="342" customWidth="1"/>
    <col min="15907" max="15907" width="12.42578125" style="342" customWidth="1"/>
    <col min="15908" max="15908" width="1.140625" style="342" customWidth="1"/>
    <col min="15909" max="15909" width="11.7109375" style="342" customWidth="1"/>
    <col min="15910" max="15910" width="1.140625" style="342" customWidth="1"/>
    <col min="15911" max="15911" width="9.140625" style="342"/>
    <col min="15912" max="15912" width="1.42578125" style="342" customWidth="1"/>
    <col min="15913" max="15913" width="13.85546875" style="342" customWidth="1"/>
    <col min="15914" max="15914" width="55.28515625" style="342" customWidth="1"/>
    <col min="15915" max="15915" width="2" style="342" customWidth="1"/>
    <col min="15916" max="15916" width="67.42578125" style="342" customWidth="1"/>
    <col min="15917" max="15920" width="9.140625" style="342"/>
    <col min="15921" max="15923" width="9.140625" style="342" customWidth="1"/>
    <col min="15924" max="15924" width="16.85546875" style="342" customWidth="1"/>
    <col min="15925" max="15930" width="9.140625" style="342"/>
    <col min="15931" max="15931" width="9.5703125" style="342" customWidth="1"/>
    <col min="15932" max="15934" width="0" style="342" hidden="1" customWidth="1"/>
    <col min="15935" max="16139" width="9.140625" style="342"/>
    <col min="16140" max="16140" width="2.140625" style="342" customWidth="1"/>
    <col min="16141" max="16141" width="13" style="342" customWidth="1"/>
    <col min="16142" max="16142" width="0.7109375" style="342" customWidth="1"/>
    <col min="16143" max="16143" width="14.7109375" style="342" customWidth="1"/>
    <col min="16144" max="16144" width="1.140625" style="342" customWidth="1"/>
    <col min="16145" max="16145" width="39" style="342" customWidth="1"/>
    <col min="16146" max="16146" width="1" style="342" customWidth="1"/>
    <col min="16147" max="16147" width="19" style="342" customWidth="1"/>
    <col min="16148" max="16148" width="1" style="342" customWidth="1"/>
    <col min="16149" max="16149" width="12.7109375" style="342" customWidth="1"/>
    <col min="16150" max="16150" width="0.7109375" style="342" customWidth="1"/>
    <col min="16151" max="16151" width="11.42578125" style="342" customWidth="1"/>
    <col min="16152" max="16152" width="1" style="342" customWidth="1"/>
    <col min="16153" max="16153" width="12" style="342" customWidth="1"/>
    <col min="16154" max="16154" width="0.85546875" style="342" customWidth="1"/>
    <col min="16155" max="16156" width="0" style="342" hidden="1" customWidth="1"/>
    <col min="16157" max="16157" width="14.28515625" style="342" customWidth="1"/>
    <col min="16158" max="16158" width="0.5703125" style="342" customWidth="1"/>
    <col min="16159" max="16159" width="11.140625" style="342" customWidth="1"/>
    <col min="16160" max="16160" width="1.28515625" style="342" customWidth="1"/>
    <col min="16161" max="16161" width="9.28515625" style="342" customWidth="1"/>
    <col min="16162" max="16162" width="1" style="342" customWidth="1"/>
    <col min="16163" max="16163" width="12.42578125" style="342" customWidth="1"/>
    <col min="16164" max="16164" width="1.140625" style="342" customWidth="1"/>
    <col min="16165" max="16165" width="11.7109375" style="342" customWidth="1"/>
    <col min="16166" max="16166" width="1.140625" style="342" customWidth="1"/>
    <col min="16167" max="16167" width="9.140625" style="342"/>
    <col min="16168" max="16168" width="1.42578125" style="342" customWidth="1"/>
    <col min="16169" max="16169" width="13.85546875" style="342" customWidth="1"/>
    <col min="16170" max="16170" width="55.28515625" style="342" customWidth="1"/>
    <col min="16171" max="16171" width="2" style="342" customWidth="1"/>
    <col min="16172" max="16172" width="67.42578125" style="342" customWidth="1"/>
    <col min="16173" max="16176" width="9.140625" style="342"/>
    <col min="16177" max="16179" width="9.140625" style="342" customWidth="1"/>
    <col min="16180" max="16180" width="16.85546875" style="342" customWidth="1"/>
    <col min="16181" max="16186" width="9.140625" style="342"/>
    <col min="16187" max="16187" width="9.5703125" style="342" customWidth="1"/>
    <col min="16188" max="16190" width="0" style="342" hidden="1" customWidth="1"/>
    <col min="16191" max="16384" width="9.140625" style="342"/>
  </cols>
  <sheetData>
    <row r="1" spans="1:56" ht="52.15" customHeight="1" x14ac:dyDescent="0.2">
      <c r="A1" s="194"/>
      <c r="B1" s="362" t="s">
        <v>9</v>
      </c>
      <c r="C1" s="194"/>
      <c r="D1" s="362" t="s">
        <v>39</v>
      </c>
      <c r="E1" s="194"/>
      <c r="F1" s="362" t="s">
        <v>0</v>
      </c>
      <c r="G1" s="362"/>
      <c r="H1" s="362" t="s">
        <v>1</v>
      </c>
      <c r="I1" s="362"/>
      <c r="J1" s="363" t="s">
        <v>4</v>
      </c>
      <c r="K1" s="194"/>
      <c r="L1" s="362" t="s">
        <v>2</v>
      </c>
      <c r="M1" s="194"/>
      <c r="N1" s="364" t="s">
        <v>7</v>
      </c>
      <c r="O1" s="194"/>
      <c r="P1" s="362" t="s">
        <v>8</v>
      </c>
      <c r="Q1" s="365" t="s">
        <v>23</v>
      </c>
      <c r="R1" s="64" t="s">
        <v>5</v>
      </c>
      <c r="S1" s="338" t="s">
        <v>48</v>
      </c>
      <c r="T1" s="338" t="s">
        <v>49</v>
      </c>
      <c r="U1" s="194"/>
      <c r="V1" s="337" t="s">
        <v>500</v>
      </c>
      <c r="W1" s="338" t="s">
        <v>502</v>
      </c>
      <c r="X1" s="338" t="s">
        <v>568</v>
      </c>
      <c r="Y1" s="194"/>
      <c r="Z1" s="338" t="s">
        <v>619</v>
      </c>
      <c r="AA1" s="337" t="s">
        <v>613</v>
      </c>
      <c r="AB1" s="194"/>
      <c r="AC1" s="338" t="s">
        <v>620</v>
      </c>
      <c r="AD1" s="338" t="s">
        <v>621</v>
      </c>
      <c r="AE1" s="337" t="s">
        <v>615</v>
      </c>
      <c r="AF1" s="65"/>
      <c r="AG1" s="338" t="s">
        <v>622</v>
      </c>
      <c r="AH1" s="338" t="s">
        <v>623</v>
      </c>
      <c r="AI1" s="337" t="s">
        <v>617</v>
      </c>
      <c r="AJ1" s="351" t="s">
        <v>24</v>
      </c>
      <c r="AL1" s="351" t="s">
        <v>3</v>
      </c>
      <c r="AN1" s="338" t="s">
        <v>702</v>
      </c>
      <c r="AO1" s="338" t="s">
        <v>703</v>
      </c>
      <c r="AP1" s="337" t="s">
        <v>698</v>
      </c>
      <c r="AQ1" s="65"/>
      <c r="AR1" s="338" t="s">
        <v>704</v>
      </c>
      <c r="AS1" s="338" t="s">
        <v>705</v>
      </c>
      <c r="AT1" s="339" t="s">
        <v>700</v>
      </c>
      <c r="AU1" s="280"/>
      <c r="AV1" s="340" t="s">
        <v>776</v>
      </c>
      <c r="AW1" s="340" t="s">
        <v>777</v>
      </c>
      <c r="AX1" s="339" t="s">
        <v>772</v>
      </c>
      <c r="AY1" s="280"/>
      <c r="AZ1" s="340" t="s">
        <v>778</v>
      </c>
      <c r="BA1" s="340" t="s">
        <v>779</v>
      </c>
      <c r="BB1" s="339" t="s">
        <v>774</v>
      </c>
      <c r="BC1" s="339"/>
      <c r="BD1" s="366" t="s">
        <v>823</v>
      </c>
    </row>
    <row r="2" spans="1:56" ht="24" customHeight="1" x14ac:dyDescent="0.2">
      <c r="A2" s="341"/>
      <c r="B2" s="412" t="s">
        <v>51</v>
      </c>
      <c r="C2" s="341"/>
      <c r="D2" s="367">
        <v>221</v>
      </c>
      <c r="E2" s="367"/>
      <c r="F2" s="368" t="s">
        <v>52</v>
      </c>
      <c r="G2" s="367"/>
      <c r="H2" s="368" t="s">
        <v>53</v>
      </c>
      <c r="I2" s="367"/>
      <c r="J2" s="369">
        <v>300</v>
      </c>
      <c r="K2" s="367"/>
      <c r="L2" s="368" t="s">
        <v>54</v>
      </c>
      <c r="M2" s="367"/>
      <c r="N2" s="367" t="s">
        <v>55</v>
      </c>
      <c r="O2" s="367"/>
      <c r="P2" s="370">
        <v>38899</v>
      </c>
      <c r="Q2" s="351" t="s">
        <v>56</v>
      </c>
      <c r="R2" s="367" t="s">
        <v>458</v>
      </c>
      <c r="S2" s="371">
        <v>0</v>
      </c>
      <c r="T2" s="371">
        <v>596369</v>
      </c>
      <c r="U2" s="367"/>
      <c r="V2" s="372" t="s">
        <v>569</v>
      </c>
      <c r="W2" s="371">
        <v>0</v>
      </c>
      <c r="X2" s="371">
        <v>557312</v>
      </c>
      <c r="Y2" s="367"/>
      <c r="Z2" s="371">
        <v>557175</v>
      </c>
      <c r="AA2" s="372">
        <v>3057</v>
      </c>
      <c r="AB2" s="367"/>
      <c r="AC2" s="371">
        <v>0</v>
      </c>
      <c r="AD2" s="371">
        <v>525803</v>
      </c>
      <c r="AE2" s="372">
        <v>3809</v>
      </c>
      <c r="AF2" s="373"/>
      <c r="AG2" s="371">
        <v>0</v>
      </c>
      <c r="AH2" s="371">
        <v>544210</v>
      </c>
      <c r="AI2" s="372">
        <v>3577</v>
      </c>
      <c r="AJ2" s="351" t="s">
        <v>57</v>
      </c>
      <c r="AK2" s="351"/>
      <c r="AL2" s="351" t="s">
        <v>58</v>
      </c>
      <c r="AN2" s="371">
        <v>0</v>
      </c>
      <c r="AO2" s="371">
        <v>516068</v>
      </c>
      <c r="AP2" s="372">
        <v>2919</v>
      </c>
      <c r="AQ2" s="373"/>
      <c r="AR2" s="371">
        <v>0</v>
      </c>
      <c r="AS2" s="371">
        <v>595589</v>
      </c>
      <c r="AT2" s="374">
        <v>3038</v>
      </c>
      <c r="AU2" s="375"/>
      <c r="AV2" s="371">
        <v>0</v>
      </c>
      <c r="AW2" s="371">
        <v>576536</v>
      </c>
      <c r="AX2" s="372">
        <v>2801</v>
      </c>
      <c r="AY2" s="375"/>
      <c r="AZ2" s="371">
        <v>0</v>
      </c>
      <c r="BA2" s="371">
        <v>552894</v>
      </c>
      <c r="BB2" s="372">
        <v>2621</v>
      </c>
      <c r="BC2" s="372"/>
      <c r="BD2" s="376" t="s">
        <v>707</v>
      </c>
    </row>
    <row r="3" spans="1:56" ht="36" customHeight="1" x14ac:dyDescent="0.2">
      <c r="A3" s="341"/>
      <c r="B3" s="412"/>
      <c r="C3" s="341"/>
      <c r="D3" s="367">
        <v>221</v>
      </c>
      <c r="E3" s="367"/>
      <c r="F3" s="368" t="s">
        <v>59</v>
      </c>
      <c r="G3" s="367"/>
      <c r="H3" s="368" t="s">
        <v>60</v>
      </c>
      <c r="I3" s="367"/>
      <c r="J3" s="369" t="s">
        <v>824</v>
      </c>
      <c r="K3" s="367"/>
      <c r="L3" s="368" t="s">
        <v>54</v>
      </c>
      <c r="M3" s="367"/>
      <c r="N3" s="367" t="s">
        <v>55</v>
      </c>
      <c r="O3" s="367"/>
      <c r="P3" s="370">
        <v>38899</v>
      </c>
      <c r="Q3" s="351">
        <v>905.14</v>
      </c>
      <c r="R3" s="367" t="s">
        <v>61</v>
      </c>
      <c r="S3" s="371">
        <v>0</v>
      </c>
      <c r="T3" s="371">
        <v>18906.759999999998</v>
      </c>
      <c r="U3" s="367"/>
      <c r="V3" s="372" t="s">
        <v>570</v>
      </c>
      <c r="W3" s="371">
        <v>0</v>
      </c>
      <c r="X3" s="371">
        <v>18907</v>
      </c>
      <c r="Y3" s="367"/>
      <c r="Z3" s="371">
        <v>20449</v>
      </c>
      <c r="AA3" s="372">
        <v>77</v>
      </c>
      <c r="AB3" s="367"/>
      <c r="AC3" s="371">
        <v>0</v>
      </c>
      <c r="AD3" s="371">
        <v>50025</v>
      </c>
      <c r="AE3" s="372">
        <v>173</v>
      </c>
      <c r="AF3" s="373"/>
      <c r="AG3" s="371">
        <v>0</v>
      </c>
      <c r="AH3" s="371">
        <v>34071</v>
      </c>
      <c r="AI3" s="372">
        <v>90</v>
      </c>
      <c r="AJ3" s="351" t="s">
        <v>62</v>
      </c>
      <c r="AK3" s="351"/>
      <c r="AN3" s="371">
        <v>0</v>
      </c>
      <c r="AO3" s="371">
        <v>44726</v>
      </c>
      <c r="AP3" s="372">
        <v>74</v>
      </c>
      <c r="AQ3" s="373"/>
      <c r="AR3" s="371">
        <v>0</v>
      </c>
      <c r="AS3" s="371">
        <v>49157</v>
      </c>
      <c r="AT3" s="372">
        <v>90</v>
      </c>
      <c r="AU3" s="367"/>
      <c r="AV3" s="371">
        <v>0</v>
      </c>
      <c r="AW3" s="371">
        <v>27921</v>
      </c>
      <c r="AX3" s="372">
        <v>91</v>
      </c>
      <c r="AY3" s="367"/>
      <c r="AZ3" s="371">
        <v>0</v>
      </c>
      <c r="BA3" s="371">
        <v>30303</v>
      </c>
      <c r="BB3" s="372">
        <v>105</v>
      </c>
      <c r="BC3" s="372"/>
      <c r="BD3" s="376" t="s">
        <v>713</v>
      </c>
    </row>
    <row r="4" spans="1:56" ht="36" customHeight="1" x14ac:dyDescent="0.2">
      <c r="A4" s="341"/>
      <c r="B4" s="412"/>
      <c r="C4" s="341"/>
      <c r="D4" s="367">
        <v>221</v>
      </c>
      <c r="E4" s="367"/>
      <c r="F4" s="368" t="s">
        <v>63</v>
      </c>
      <c r="G4" s="367"/>
      <c r="H4" s="368" t="s">
        <v>53</v>
      </c>
      <c r="I4" s="367"/>
      <c r="J4" s="369" t="s">
        <v>825</v>
      </c>
      <c r="K4" s="367"/>
      <c r="L4" s="368" t="s">
        <v>64</v>
      </c>
      <c r="M4" s="367"/>
      <c r="N4" s="367" t="s">
        <v>55</v>
      </c>
      <c r="O4" s="367"/>
      <c r="P4" s="370">
        <v>40179</v>
      </c>
      <c r="Q4" s="351">
        <v>905</v>
      </c>
      <c r="R4" s="367" t="s">
        <v>65</v>
      </c>
      <c r="S4" s="371">
        <v>0</v>
      </c>
      <c r="T4" s="371">
        <v>1090405</v>
      </c>
      <c r="U4" s="367"/>
      <c r="V4" s="372">
        <v>870</v>
      </c>
      <c r="W4" s="371">
        <v>0</v>
      </c>
      <c r="X4" s="371">
        <v>1251453</v>
      </c>
      <c r="Y4" s="367"/>
      <c r="Z4" s="371">
        <v>1271740</v>
      </c>
      <c r="AA4" s="372">
        <v>825</v>
      </c>
      <c r="AB4" s="367"/>
      <c r="AC4" s="371">
        <v>0</v>
      </c>
      <c r="AD4" s="371">
        <v>1471848</v>
      </c>
      <c r="AE4" s="372">
        <v>815</v>
      </c>
      <c r="AF4" s="373"/>
      <c r="AG4" s="371">
        <v>0</v>
      </c>
      <c r="AH4" s="371">
        <v>1559682</v>
      </c>
      <c r="AI4" s="372">
        <v>960</v>
      </c>
      <c r="AJ4" s="351" t="s">
        <v>66</v>
      </c>
      <c r="AK4" s="351"/>
      <c r="AN4" s="371">
        <v>0</v>
      </c>
      <c r="AO4" s="371">
        <v>1662324</v>
      </c>
      <c r="AP4" s="372">
        <v>1004</v>
      </c>
      <c r="AQ4" s="373"/>
      <c r="AR4" s="371">
        <v>0</v>
      </c>
      <c r="AS4" s="371">
        <v>1824152</v>
      </c>
      <c r="AT4" s="372">
        <v>1085</v>
      </c>
      <c r="AU4" s="375"/>
      <c r="AV4" s="371">
        <v>0</v>
      </c>
      <c r="AW4" s="371">
        <v>1822079</v>
      </c>
      <c r="AX4" s="372">
        <v>1307</v>
      </c>
      <c r="AY4" s="375"/>
      <c r="AZ4" s="371">
        <v>0</v>
      </c>
      <c r="BA4" s="371">
        <v>1873044</v>
      </c>
      <c r="BB4" s="372">
        <v>1397</v>
      </c>
      <c r="BC4" s="372"/>
      <c r="BD4" s="376" t="s">
        <v>713</v>
      </c>
    </row>
    <row r="5" spans="1:56" ht="24" customHeight="1" x14ac:dyDescent="0.2">
      <c r="A5" s="341"/>
      <c r="B5" s="412"/>
      <c r="C5" s="341"/>
      <c r="D5" s="367">
        <v>221</v>
      </c>
      <c r="E5" s="367"/>
      <c r="F5" s="368" t="s">
        <v>67</v>
      </c>
      <c r="G5" s="367"/>
      <c r="H5" s="368" t="s">
        <v>53</v>
      </c>
      <c r="I5" s="367"/>
      <c r="J5" s="369" t="s">
        <v>826</v>
      </c>
      <c r="K5" s="367"/>
      <c r="L5" s="368" t="s">
        <v>64</v>
      </c>
      <c r="M5" s="367"/>
      <c r="N5" s="367" t="s">
        <v>55</v>
      </c>
      <c r="O5" s="367"/>
      <c r="P5" s="370">
        <v>40179</v>
      </c>
      <c r="Q5" s="351">
        <v>905</v>
      </c>
      <c r="R5" s="367" t="s">
        <v>68</v>
      </c>
      <c r="S5" s="371">
        <v>0</v>
      </c>
      <c r="T5" s="371">
        <v>141451</v>
      </c>
      <c r="U5" s="367"/>
      <c r="V5" s="372">
        <v>91</v>
      </c>
      <c r="W5" s="371">
        <v>0</v>
      </c>
      <c r="X5" s="371">
        <v>170653</v>
      </c>
      <c r="Y5" s="367"/>
      <c r="Z5" s="371">
        <v>179800</v>
      </c>
      <c r="AA5" s="372">
        <v>126</v>
      </c>
      <c r="AB5" s="367"/>
      <c r="AC5" s="371">
        <v>0</v>
      </c>
      <c r="AD5" s="371">
        <v>198162</v>
      </c>
      <c r="AE5" s="372">
        <v>128</v>
      </c>
      <c r="AF5" s="373"/>
      <c r="AG5" s="371">
        <v>0</v>
      </c>
      <c r="AH5" s="371">
        <v>171883</v>
      </c>
      <c r="AI5" s="372">
        <v>111</v>
      </c>
      <c r="AJ5" s="351" t="s">
        <v>66</v>
      </c>
      <c r="AK5" s="351"/>
      <c r="AN5" s="371">
        <v>0</v>
      </c>
      <c r="AO5" s="371">
        <v>181885</v>
      </c>
      <c r="AP5" s="372">
        <v>102</v>
      </c>
      <c r="AQ5" s="373"/>
      <c r="AR5" s="371">
        <v>0</v>
      </c>
      <c r="AS5" s="371">
        <v>125020</v>
      </c>
      <c r="AT5" s="374">
        <v>83</v>
      </c>
      <c r="AU5" s="367"/>
      <c r="AV5" s="371">
        <v>0</v>
      </c>
      <c r="AW5" s="371">
        <v>110121</v>
      </c>
      <c r="AX5" s="372">
        <v>67</v>
      </c>
      <c r="AY5" s="367"/>
      <c r="AZ5" s="371">
        <v>0</v>
      </c>
      <c r="BA5" s="371">
        <v>77457</v>
      </c>
      <c r="BB5" s="372">
        <v>42</v>
      </c>
      <c r="BC5" s="372"/>
      <c r="BD5" s="376" t="s">
        <v>713</v>
      </c>
    </row>
    <row r="6" spans="1:56" ht="24" customHeight="1" x14ac:dyDescent="0.2">
      <c r="A6" s="341"/>
      <c r="B6" s="412"/>
      <c r="C6" s="341"/>
      <c r="D6" s="367">
        <v>221</v>
      </c>
      <c r="E6" s="367"/>
      <c r="F6" s="368" t="s">
        <v>69</v>
      </c>
      <c r="G6" s="367"/>
      <c r="H6" s="368" t="s">
        <v>53</v>
      </c>
      <c r="I6" s="367"/>
      <c r="J6" s="369" t="s">
        <v>827</v>
      </c>
      <c r="K6" s="367"/>
      <c r="L6" s="368" t="s">
        <v>64</v>
      </c>
      <c r="M6" s="367"/>
      <c r="N6" s="367" t="s">
        <v>55</v>
      </c>
      <c r="O6" s="367"/>
      <c r="P6" s="370">
        <v>40179</v>
      </c>
      <c r="Q6" s="351">
        <v>905</v>
      </c>
      <c r="R6" s="367" t="s">
        <v>457</v>
      </c>
      <c r="S6" s="371">
        <v>0</v>
      </c>
      <c r="T6" s="371">
        <v>76670.63</v>
      </c>
      <c r="U6" s="367"/>
      <c r="V6" s="372">
        <v>347</v>
      </c>
      <c r="W6" s="371">
        <v>0</v>
      </c>
      <c r="X6" s="371">
        <v>97044</v>
      </c>
      <c r="Y6" s="367"/>
      <c r="Z6" s="371">
        <v>92489</v>
      </c>
      <c r="AA6" s="372">
        <v>375</v>
      </c>
      <c r="AB6" s="367"/>
      <c r="AC6" s="371">
        <v>0</v>
      </c>
      <c r="AD6" s="371">
        <v>92549</v>
      </c>
      <c r="AE6" s="372">
        <v>299</v>
      </c>
      <c r="AF6" s="373"/>
      <c r="AG6" s="371">
        <v>0</v>
      </c>
      <c r="AH6" s="371">
        <v>109760</v>
      </c>
      <c r="AI6" s="372">
        <v>321</v>
      </c>
      <c r="AJ6" s="351" t="s">
        <v>66</v>
      </c>
      <c r="AK6" s="351"/>
      <c r="AN6" s="371">
        <v>0</v>
      </c>
      <c r="AO6" s="371">
        <v>139570</v>
      </c>
      <c r="AP6" s="372">
        <v>342</v>
      </c>
      <c r="AQ6" s="373"/>
      <c r="AR6" s="371">
        <v>0</v>
      </c>
      <c r="AS6" s="371">
        <v>170421</v>
      </c>
      <c r="AT6" s="372">
        <v>369</v>
      </c>
      <c r="AU6" s="367"/>
      <c r="AV6" s="371">
        <v>0</v>
      </c>
      <c r="AW6" s="371">
        <v>156353</v>
      </c>
      <c r="AX6" s="372">
        <v>369</v>
      </c>
      <c r="AY6" s="367"/>
      <c r="AZ6" s="371">
        <v>0</v>
      </c>
      <c r="BA6" s="371">
        <v>176352</v>
      </c>
      <c r="BB6" s="372">
        <v>393</v>
      </c>
      <c r="BC6" s="372"/>
      <c r="BD6" s="376" t="s">
        <v>713</v>
      </c>
    </row>
    <row r="7" spans="1:56" ht="60" customHeight="1" x14ac:dyDescent="0.2">
      <c r="A7" s="341"/>
      <c r="B7" s="412"/>
      <c r="C7" s="341"/>
      <c r="D7" s="367">
        <v>221</v>
      </c>
      <c r="E7" s="367"/>
      <c r="F7" s="368" t="s">
        <v>828</v>
      </c>
      <c r="G7" s="367"/>
      <c r="H7" s="368" t="s">
        <v>53</v>
      </c>
      <c r="I7" s="367"/>
      <c r="J7" s="369" t="s">
        <v>829</v>
      </c>
      <c r="K7" s="367"/>
      <c r="L7" s="368" t="s">
        <v>70</v>
      </c>
      <c r="M7" s="367"/>
      <c r="N7" s="367" t="s">
        <v>55</v>
      </c>
      <c r="O7" s="367"/>
      <c r="P7" s="370">
        <v>40179</v>
      </c>
      <c r="Q7" s="351">
        <v>905</v>
      </c>
      <c r="R7" s="367" t="s">
        <v>71</v>
      </c>
      <c r="S7" s="371">
        <v>0</v>
      </c>
      <c r="T7" s="371">
        <v>627</v>
      </c>
      <c r="U7" s="367"/>
      <c r="V7" s="372" t="s">
        <v>571</v>
      </c>
      <c r="W7" s="371">
        <v>0</v>
      </c>
      <c r="X7" s="371">
        <v>500</v>
      </c>
      <c r="Y7" s="367"/>
      <c r="Z7" s="371">
        <v>482</v>
      </c>
      <c r="AA7" s="372">
        <v>40</v>
      </c>
      <c r="AB7" s="367"/>
      <c r="AC7" s="371">
        <v>0</v>
      </c>
      <c r="AD7" s="371">
        <v>873</v>
      </c>
      <c r="AE7" s="372">
        <v>70</v>
      </c>
      <c r="AF7" s="373"/>
      <c r="AG7" s="371">
        <v>0</v>
      </c>
      <c r="AH7" s="371">
        <v>780</v>
      </c>
      <c r="AI7" s="372">
        <v>61</v>
      </c>
      <c r="AJ7" s="351" t="s">
        <v>66</v>
      </c>
      <c r="AK7" s="351"/>
      <c r="AN7" s="371">
        <v>0</v>
      </c>
      <c r="AO7" s="371">
        <v>841</v>
      </c>
      <c r="AP7" s="372">
        <v>56</v>
      </c>
      <c r="AQ7" s="373"/>
      <c r="AR7" s="371">
        <v>0</v>
      </c>
      <c r="AS7" s="371">
        <v>1611</v>
      </c>
      <c r="AT7" s="372">
        <v>117</v>
      </c>
      <c r="AU7" s="367"/>
      <c r="AV7" s="371">
        <v>0</v>
      </c>
      <c r="AW7" s="371">
        <v>1897</v>
      </c>
      <c r="AX7" s="372">
        <v>109</v>
      </c>
      <c r="AY7" s="367"/>
      <c r="AZ7" s="371">
        <v>0</v>
      </c>
      <c r="BA7" s="371">
        <v>2249.15</v>
      </c>
      <c r="BB7" s="372">
        <v>121</v>
      </c>
      <c r="BC7" s="372"/>
      <c r="BD7" s="376" t="s">
        <v>713</v>
      </c>
    </row>
    <row r="8" spans="1:56" ht="36" customHeight="1" x14ac:dyDescent="0.2">
      <c r="A8" s="341"/>
      <c r="B8" s="412"/>
      <c r="C8" s="341"/>
      <c r="D8" s="367">
        <v>221</v>
      </c>
      <c r="E8" s="367"/>
      <c r="F8" s="368" t="s">
        <v>72</v>
      </c>
      <c r="G8" s="367"/>
      <c r="H8" s="368" t="s">
        <v>53</v>
      </c>
      <c r="I8" s="367"/>
      <c r="J8" s="369" t="s">
        <v>830</v>
      </c>
      <c r="K8" s="367"/>
      <c r="L8" s="368" t="s">
        <v>73</v>
      </c>
      <c r="M8" s="367"/>
      <c r="N8" s="367" t="s">
        <v>55</v>
      </c>
      <c r="O8" s="367"/>
      <c r="P8" s="341" t="s">
        <v>75</v>
      </c>
      <c r="Q8" s="351" t="s">
        <v>76</v>
      </c>
      <c r="R8" s="367" t="s">
        <v>74</v>
      </c>
      <c r="S8" s="371">
        <v>0</v>
      </c>
      <c r="T8" s="371">
        <v>126381</v>
      </c>
      <c r="U8" s="367"/>
      <c r="V8" s="372">
        <v>749</v>
      </c>
      <c r="W8" s="371">
        <v>0</v>
      </c>
      <c r="X8" s="371">
        <v>168764</v>
      </c>
      <c r="Y8" s="367"/>
      <c r="Z8" s="371">
        <v>174451</v>
      </c>
      <c r="AA8" s="372">
        <v>782</v>
      </c>
      <c r="AB8" s="367"/>
      <c r="AC8" s="371">
        <v>0</v>
      </c>
      <c r="AD8" s="371">
        <v>176752</v>
      </c>
      <c r="AE8" s="372" t="s">
        <v>681</v>
      </c>
      <c r="AF8" s="373"/>
      <c r="AG8" s="371">
        <v>0</v>
      </c>
      <c r="AH8" s="371">
        <v>227049</v>
      </c>
      <c r="AI8" s="372">
        <v>581</v>
      </c>
      <c r="AJ8" s="351" t="s">
        <v>77</v>
      </c>
      <c r="AK8" s="351"/>
      <c r="AN8" s="371">
        <v>0</v>
      </c>
      <c r="AO8" s="371">
        <v>206521</v>
      </c>
      <c r="AP8" s="372">
        <v>576</v>
      </c>
      <c r="AQ8" s="373"/>
      <c r="AR8" s="371">
        <v>0</v>
      </c>
      <c r="AS8" s="371">
        <v>195199</v>
      </c>
      <c r="AT8" s="372">
        <v>690</v>
      </c>
      <c r="AU8" s="367"/>
      <c r="AV8" s="371">
        <v>0</v>
      </c>
      <c r="AW8" s="371">
        <v>191459</v>
      </c>
      <c r="AX8" s="372">
        <v>546</v>
      </c>
      <c r="AY8" s="367"/>
      <c r="AZ8" s="371">
        <v>0</v>
      </c>
      <c r="BA8" s="371">
        <v>190563.01</v>
      </c>
      <c r="BB8" s="372">
        <v>535</v>
      </c>
      <c r="BC8" s="372"/>
      <c r="BD8" s="376" t="s">
        <v>713</v>
      </c>
    </row>
    <row r="9" spans="1:56" ht="36" customHeight="1" x14ac:dyDescent="0.2">
      <c r="A9" s="341"/>
      <c r="B9" s="412"/>
      <c r="C9" s="341"/>
      <c r="D9" s="367">
        <v>221</v>
      </c>
      <c r="E9" s="367"/>
      <c r="F9" s="368" t="s">
        <v>831</v>
      </c>
      <c r="G9" s="367"/>
      <c r="H9" s="368" t="s">
        <v>53</v>
      </c>
      <c r="I9" s="367"/>
      <c r="J9" s="369">
        <v>3</v>
      </c>
      <c r="K9" s="367"/>
      <c r="L9" s="368" t="s">
        <v>78</v>
      </c>
      <c r="M9" s="367"/>
      <c r="N9" s="367" t="s">
        <v>55</v>
      </c>
      <c r="O9" s="367"/>
      <c r="P9" s="341" t="s">
        <v>80</v>
      </c>
      <c r="Q9" s="351">
        <v>905</v>
      </c>
      <c r="R9" s="367" t="s">
        <v>79</v>
      </c>
      <c r="S9" s="371">
        <v>0</v>
      </c>
      <c r="T9" s="371">
        <v>13682.59</v>
      </c>
      <c r="U9" s="367"/>
      <c r="V9" s="372"/>
      <c r="W9" s="371">
        <v>0</v>
      </c>
      <c r="X9" s="371">
        <v>0</v>
      </c>
      <c r="Y9" s="367"/>
      <c r="Z9" s="371">
        <v>16357</v>
      </c>
      <c r="AA9" s="372">
        <v>410</v>
      </c>
      <c r="AB9" s="367"/>
      <c r="AC9" s="371">
        <v>0</v>
      </c>
      <c r="AD9" s="371">
        <v>18476</v>
      </c>
      <c r="AE9" s="372">
        <v>373</v>
      </c>
      <c r="AF9" s="373"/>
      <c r="AG9" s="371">
        <v>0</v>
      </c>
      <c r="AH9" s="371">
        <v>19804</v>
      </c>
      <c r="AI9" s="372">
        <v>373</v>
      </c>
      <c r="AJ9" s="351" t="s">
        <v>82</v>
      </c>
      <c r="AK9" s="351"/>
      <c r="AN9" s="371">
        <v>0</v>
      </c>
      <c r="AO9" s="371">
        <v>15968</v>
      </c>
      <c r="AP9" s="372">
        <v>357</v>
      </c>
      <c r="AQ9" s="373"/>
      <c r="AR9" s="371">
        <v>0</v>
      </c>
      <c r="AS9" s="371">
        <v>14668</v>
      </c>
      <c r="AT9" s="372">
        <v>350</v>
      </c>
      <c r="AU9" s="367"/>
      <c r="AV9" s="371">
        <v>0</v>
      </c>
      <c r="AW9" s="371">
        <v>16128</v>
      </c>
      <c r="AX9" s="372">
        <v>488</v>
      </c>
      <c r="AY9" s="367"/>
      <c r="AZ9" s="371">
        <v>0</v>
      </c>
      <c r="BA9" s="371">
        <v>16764.419999999998</v>
      </c>
      <c r="BB9" s="372">
        <v>501</v>
      </c>
      <c r="BC9" s="372"/>
      <c r="BD9" s="376" t="s">
        <v>713</v>
      </c>
    </row>
    <row r="10" spans="1:56" ht="15" customHeight="1" x14ac:dyDescent="0.2">
      <c r="A10" s="341"/>
      <c r="B10" s="412" t="s">
        <v>83</v>
      </c>
      <c r="C10" s="341"/>
      <c r="D10" s="367">
        <v>222</v>
      </c>
      <c r="E10" s="367"/>
      <c r="F10" s="368" t="s">
        <v>84</v>
      </c>
      <c r="G10" s="367"/>
      <c r="H10" s="368" t="s">
        <v>832</v>
      </c>
      <c r="I10" s="367"/>
      <c r="J10" s="369">
        <v>300</v>
      </c>
      <c r="K10" s="367"/>
      <c r="L10" s="368" t="s">
        <v>85</v>
      </c>
      <c r="M10" s="367"/>
      <c r="N10" s="367" t="s">
        <v>55</v>
      </c>
      <c r="O10" s="367"/>
      <c r="P10" s="341"/>
      <c r="Q10" s="351">
        <v>905</v>
      </c>
      <c r="R10" s="367"/>
      <c r="S10" s="371">
        <v>0</v>
      </c>
      <c r="T10" s="371">
        <v>390000</v>
      </c>
      <c r="U10" s="367"/>
      <c r="V10" s="372">
        <v>1927</v>
      </c>
      <c r="W10" s="371">
        <v>0</v>
      </c>
      <c r="X10" s="371">
        <v>394663.95</v>
      </c>
      <c r="Y10" s="367"/>
      <c r="Z10" s="371">
        <v>396413</v>
      </c>
      <c r="AA10" s="372">
        <v>1916</v>
      </c>
      <c r="AB10" s="367"/>
      <c r="AC10" s="371">
        <v>0</v>
      </c>
      <c r="AD10" s="371">
        <v>428377</v>
      </c>
      <c r="AE10" s="372">
        <v>2020</v>
      </c>
      <c r="AF10" s="373"/>
      <c r="AG10" s="371">
        <v>0</v>
      </c>
      <c r="AH10" s="371">
        <v>432116</v>
      </c>
      <c r="AI10" s="372">
        <v>2102</v>
      </c>
      <c r="AJ10" s="351" t="s">
        <v>86</v>
      </c>
      <c r="AK10" s="351"/>
      <c r="AL10" s="351" t="s">
        <v>58</v>
      </c>
      <c r="AN10" s="371">
        <v>0</v>
      </c>
      <c r="AO10" s="371">
        <v>392093</v>
      </c>
      <c r="AP10" s="372">
        <v>1963</v>
      </c>
      <c r="AQ10" s="373"/>
      <c r="AR10" s="371">
        <v>0</v>
      </c>
      <c r="AS10" s="371">
        <v>379701</v>
      </c>
      <c r="AT10" s="372">
        <v>1824</v>
      </c>
      <c r="AU10" s="375"/>
      <c r="AV10" s="371">
        <v>0</v>
      </c>
      <c r="AW10" s="371">
        <v>413929</v>
      </c>
      <c r="AX10" s="372">
        <v>2013</v>
      </c>
      <c r="AY10" s="375"/>
      <c r="AZ10" s="371">
        <v>0</v>
      </c>
      <c r="BA10" s="371">
        <v>460265</v>
      </c>
      <c r="BB10" s="372">
        <v>2168</v>
      </c>
      <c r="BC10" s="372"/>
      <c r="BD10" s="376" t="s">
        <v>707</v>
      </c>
    </row>
    <row r="11" spans="1:56" ht="15" customHeight="1" x14ac:dyDescent="0.2">
      <c r="A11" s="341"/>
      <c r="B11" s="412"/>
      <c r="C11" s="341"/>
      <c r="D11" s="367">
        <v>222</v>
      </c>
      <c r="E11" s="367"/>
      <c r="F11" s="368" t="s">
        <v>87</v>
      </c>
      <c r="G11" s="367"/>
      <c r="H11" s="368" t="s">
        <v>88</v>
      </c>
      <c r="I11" s="367"/>
      <c r="J11" s="369" t="s">
        <v>833</v>
      </c>
      <c r="K11" s="367"/>
      <c r="L11" s="368" t="s">
        <v>89</v>
      </c>
      <c r="M11" s="367"/>
      <c r="N11" s="367" t="s">
        <v>55</v>
      </c>
      <c r="O11" s="367"/>
      <c r="P11" s="341">
        <v>2009</v>
      </c>
      <c r="Q11" s="351">
        <v>905</v>
      </c>
      <c r="R11" s="367"/>
      <c r="S11" s="371">
        <v>0</v>
      </c>
      <c r="T11" s="371">
        <v>973000</v>
      </c>
      <c r="U11" s="367"/>
      <c r="V11" s="372">
        <v>816</v>
      </c>
      <c r="W11" s="371">
        <v>0</v>
      </c>
      <c r="X11" s="371">
        <v>909678.54999999993</v>
      </c>
      <c r="Y11" s="367"/>
      <c r="Z11" s="371">
        <v>974607</v>
      </c>
      <c r="AA11" s="372">
        <v>628</v>
      </c>
      <c r="AB11" s="367"/>
      <c r="AC11" s="371">
        <v>0</v>
      </c>
      <c r="AD11" s="371">
        <v>1001464</v>
      </c>
      <c r="AE11" s="372">
        <v>752</v>
      </c>
      <c r="AF11" s="373"/>
      <c r="AG11" s="371">
        <v>0</v>
      </c>
      <c r="AH11" s="371">
        <v>1070675</v>
      </c>
      <c r="AI11" s="372">
        <v>822</v>
      </c>
      <c r="AJ11" s="351" t="s">
        <v>90</v>
      </c>
      <c r="AK11" s="351"/>
      <c r="AL11" s="351" t="s">
        <v>91</v>
      </c>
      <c r="AN11" s="371">
        <v>0</v>
      </c>
      <c r="AO11" s="371">
        <v>1144088</v>
      </c>
      <c r="AP11" s="372">
        <v>882</v>
      </c>
      <c r="AQ11" s="373"/>
      <c r="AR11" s="371">
        <v>0</v>
      </c>
      <c r="AS11" s="371">
        <v>1262389</v>
      </c>
      <c r="AT11" s="372">
        <v>914</v>
      </c>
      <c r="AU11" s="367"/>
      <c r="AV11" s="371">
        <v>0</v>
      </c>
      <c r="AW11" s="371">
        <v>1164427</v>
      </c>
      <c r="AX11" s="372">
        <v>869</v>
      </c>
      <c r="AY11" s="367"/>
      <c r="AZ11" s="371">
        <v>0</v>
      </c>
      <c r="BA11" s="371">
        <v>1149908</v>
      </c>
      <c r="BB11" s="372">
        <v>983</v>
      </c>
      <c r="BC11" s="372"/>
      <c r="BD11" s="376" t="s">
        <v>713</v>
      </c>
    </row>
    <row r="12" spans="1:56" ht="24" customHeight="1" x14ac:dyDescent="0.2">
      <c r="A12" s="341"/>
      <c r="B12" s="412"/>
      <c r="C12" s="341"/>
      <c r="D12" s="367">
        <v>222</v>
      </c>
      <c r="E12" s="367"/>
      <c r="F12" s="368" t="s">
        <v>92</v>
      </c>
      <c r="G12" s="367"/>
      <c r="H12" s="368" t="s">
        <v>93</v>
      </c>
      <c r="I12" s="367"/>
      <c r="J12" s="369" t="s">
        <v>834</v>
      </c>
      <c r="K12" s="367"/>
      <c r="L12" s="368" t="s">
        <v>94</v>
      </c>
      <c r="M12" s="367"/>
      <c r="N12" s="367" t="s">
        <v>55</v>
      </c>
      <c r="O12" s="367"/>
      <c r="P12" s="341"/>
      <c r="Q12" s="351">
        <v>905</v>
      </c>
      <c r="R12" s="367"/>
      <c r="S12" s="371">
        <v>0</v>
      </c>
      <c r="T12" s="371">
        <v>5089</v>
      </c>
      <c r="U12" s="367"/>
      <c r="V12" s="372">
        <v>24</v>
      </c>
      <c r="W12" s="371">
        <v>0</v>
      </c>
      <c r="X12" s="371">
        <v>5451.48</v>
      </c>
      <c r="Y12" s="367"/>
      <c r="Z12" s="371">
        <v>4470</v>
      </c>
      <c r="AA12" s="372">
        <v>24</v>
      </c>
      <c r="AB12" s="367"/>
      <c r="AC12" s="371">
        <v>0</v>
      </c>
      <c r="AD12" s="371">
        <v>3736</v>
      </c>
      <c r="AE12" s="372">
        <v>21</v>
      </c>
      <c r="AF12" s="373"/>
      <c r="AG12" s="371">
        <v>0</v>
      </c>
      <c r="AH12" s="371">
        <v>6421</v>
      </c>
      <c r="AI12" s="372">
        <v>37</v>
      </c>
      <c r="AJ12" s="351" t="s">
        <v>95</v>
      </c>
      <c r="AK12" s="351"/>
      <c r="AN12" s="371">
        <v>0</v>
      </c>
      <c r="AO12" s="371">
        <v>9620</v>
      </c>
      <c r="AP12" s="372">
        <v>44</v>
      </c>
      <c r="AQ12" s="373"/>
      <c r="AR12" s="371">
        <v>0</v>
      </c>
      <c r="AS12" s="371">
        <v>10709</v>
      </c>
      <c r="AT12" s="372">
        <v>48</v>
      </c>
      <c r="AU12" s="367"/>
      <c r="AV12" s="371">
        <v>0</v>
      </c>
      <c r="AW12" s="371">
        <v>8557</v>
      </c>
      <c r="AX12" s="372">
        <v>65</v>
      </c>
      <c r="AY12" s="367"/>
      <c r="AZ12" s="371">
        <v>0</v>
      </c>
      <c r="BA12" s="371">
        <v>8394</v>
      </c>
      <c r="BB12" s="372">
        <v>39</v>
      </c>
      <c r="BC12" s="372"/>
      <c r="BD12" s="376" t="s">
        <v>713</v>
      </c>
    </row>
    <row r="13" spans="1:56" ht="24" customHeight="1" x14ac:dyDescent="0.2">
      <c r="A13" s="341"/>
      <c r="B13" s="412"/>
      <c r="C13" s="341"/>
      <c r="D13" s="367">
        <v>222</v>
      </c>
      <c r="E13" s="367"/>
      <c r="F13" s="368" t="s">
        <v>835</v>
      </c>
      <c r="G13" s="367"/>
      <c r="H13" s="368" t="s">
        <v>93</v>
      </c>
      <c r="I13" s="367"/>
      <c r="J13" s="369" t="s">
        <v>836</v>
      </c>
      <c r="K13" s="367"/>
      <c r="L13" s="368" t="s">
        <v>94</v>
      </c>
      <c r="M13" s="367"/>
      <c r="N13" s="367" t="s">
        <v>55</v>
      </c>
      <c r="O13" s="367"/>
      <c r="P13" s="341"/>
      <c r="Q13" s="351">
        <v>905</v>
      </c>
      <c r="R13" s="367"/>
      <c r="S13" s="371">
        <v>0</v>
      </c>
      <c r="T13" s="371">
        <v>7709</v>
      </c>
      <c r="U13" s="367"/>
      <c r="V13" s="372">
        <v>39</v>
      </c>
      <c r="W13" s="371">
        <v>0</v>
      </c>
      <c r="X13" s="371">
        <v>8710.65</v>
      </c>
      <c r="Y13" s="367"/>
      <c r="Z13" s="371">
        <v>7128</v>
      </c>
      <c r="AA13" s="372">
        <v>31</v>
      </c>
      <c r="AB13" s="367"/>
      <c r="AC13" s="371">
        <v>0</v>
      </c>
      <c r="AD13" s="371">
        <v>7917</v>
      </c>
      <c r="AE13" s="372">
        <v>37</v>
      </c>
      <c r="AF13" s="373"/>
      <c r="AG13" s="371">
        <v>0</v>
      </c>
      <c r="AH13" s="371">
        <v>11215</v>
      </c>
      <c r="AI13" s="372">
        <v>53</v>
      </c>
      <c r="AJ13" s="351" t="s">
        <v>96</v>
      </c>
      <c r="AK13" s="351"/>
      <c r="AN13" s="371">
        <v>0</v>
      </c>
      <c r="AO13" s="371">
        <v>12083</v>
      </c>
      <c r="AP13" s="372">
        <v>52</v>
      </c>
      <c r="AQ13" s="373"/>
      <c r="AR13" s="371">
        <v>0</v>
      </c>
      <c r="AS13" s="371">
        <v>9788</v>
      </c>
      <c r="AT13" s="372">
        <v>50</v>
      </c>
      <c r="AU13" s="367"/>
      <c r="AV13" s="371">
        <v>0</v>
      </c>
      <c r="AW13" s="371">
        <v>8202</v>
      </c>
      <c r="AX13" s="372">
        <v>62</v>
      </c>
      <c r="AY13" s="367"/>
      <c r="AZ13" s="371">
        <v>0</v>
      </c>
      <c r="BA13" s="371">
        <v>4144</v>
      </c>
      <c r="BB13" s="372">
        <v>29</v>
      </c>
      <c r="BC13" s="372"/>
      <c r="BD13" s="376" t="s">
        <v>713</v>
      </c>
    </row>
    <row r="14" spans="1:56" ht="24" customHeight="1" x14ac:dyDescent="0.2">
      <c r="A14" s="341"/>
      <c r="B14" s="412"/>
      <c r="C14" s="341"/>
      <c r="D14" s="367">
        <v>222</v>
      </c>
      <c r="E14" s="367"/>
      <c r="F14" s="368" t="s">
        <v>572</v>
      </c>
      <c r="G14" s="367"/>
      <c r="H14" s="368" t="s">
        <v>573</v>
      </c>
      <c r="I14" s="367"/>
      <c r="J14" s="369">
        <v>550</v>
      </c>
      <c r="K14" s="367"/>
      <c r="L14" s="341" t="s">
        <v>574</v>
      </c>
      <c r="M14" s="367"/>
      <c r="N14" s="367" t="s">
        <v>55</v>
      </c>
      <c r="O14" s="367"/>
      <c r="P14" s="341">
        <v>2011</v>
      </c>
      <c r="Q14" s="351">
        <v>905</v>
      </c>
      <c r="R14" s="367"/>
      <c r="S14" s="371">
        <v>0</v>
      </c>
      <c r="T14" s="371">
        <v>46420</v>
      </c>
      <c r="U14" s="367"/>
      <c r="V14" s="372">
        <v>487</v>
      </c>
      <c r="W14" s="371">
        <v>0</v>
      </c>
      <c r="X14" s="371">
        <v>130881.63</v>
      </c>
      <c r="Y14" s="367"/>
      <c r="Z14" s="371">
        <v>119795</v>
      </c>
      <c r="AA14" s="372">
        <v>475</v>
      </c>
      <c r="AB14" s="367"/>
      <c r="AC14" s="371">
        <v>0</v>
      </c>
      <c r="AD14" s="371">
        <v>111448</v>
      </c>
      <c r="AE14" s="372">
        <v>430</v>
      </c>
      <c r="AF14" s="373"/>
      <c r="AG14" s="371">
        <v>0</v>
      </c>
      <c r="AH14" s="371">
        <v>96046</v>
      </c>
      <c r="AI14" s="372">
        <v>393</v>
      </c>
      <c r="AJ14" s="351" t="s">
        <v>575</v>
      </c>
      <c r="AK14" s="351"/>
      <c r="AL14" s="351" t="s">
        <v>97</v>
      </c>
      <c r="AN14" s="371">
        <v>0</v>
      </c>
      <c r="AO14" s="371">
        <v>89480</v>
      </c>
      <c r="AP14" s="372">
        <v>430</v>
      </c>
      <c r="AQ14" s="373"/>
      <c r="AR14" s="371">
        <v>0</v>
      </c>
      <c r="AS14" s="371">
        <v>111035</v>
      </c>
      <c r="AT14" s="372">
        <v>435</v>
      </c>
      <c r="AU14" s="367"/>
      <c r="AV14" s="371">
        <v>0</v>
      </c>
      <c r="AW14" s="371">
        <v>100826</v>
      </c>
      <c r="AX14" s="372">
        <v>425</v>
      </c>
      <c r="AY14" s="367"/>
      <c r="AZ14" s="371">
        <v>0</v>
      </c>
      <c r="BA14" s="371">
        <v>120058</v>
      </c>
      <c r="BB14" s="372">
        <v>473</v>
      </c>
      <c r="BC14" s="372"/>
      <c r="BD14" s="376" t="s">
        <v>713</v>
      </c>
    </row>
    <row r="15" spans="1:56" ht="24" customHeight="1" x14ac:dyDescent="0.2">
      <c r="A15" s="341"/>
      <c r="B15" s="412"/>
      <c r="C15" s="341"/>
      <c r="D15" s="367">
        <v>222</v>
      </c>
      <c r="E15" s="367"/>
      <c r="F15" s="368" t="s">
        <v>98</v>
      </c>
      <c r="G15" s="367"/>
      <c r="H15" s="368" t="s">
        <v>93</v>
      </c>
      <c r="I15" s="367"/>
      <c r="J15" s="369">
        <v>100</v>
      </c>
      <c r="K15" s="367"/>
      <c r="L15" s="341" t="s">
        <v>94</v>
      </c>
      <c r="M15" s="367"/>
      <c r="N15" s="367" t="s">
        <v>55</v>
      </c>
      <c r="O15" s="367"/>
      <c r="P15" s="341"/>
      <c r="Q15" s="351">
        <v>905</v>
      </c>
      <c r="R15" s="367"/>
      <c r="S15" s="371">
        <v>0</v>
      </c>
      <c r="T15" s="371">
        <v>600</v>
      </c>
      <c r="U15" s="367"/>
      <c r="V15" s="372">
        <v>7</v>
      </c>
      <c r="W15" s="371">
        <v>0</v>
      </c>
      <c r="X15" s="371">
        <v>692</v>
      </c>
      <c r="Y15" s="367"/>
      <c r="Z15" s="371">
        <v>220</v>
      </c>
      <c r="AA15" s="372">
        <v>3</v>
      </c>
      <c r="AB15" s="367"/>
      <c r="AC15" s="371">
        <v>0</v>
      </c>
      <c r="AD15" s="371">
        <v>100</v>
      </c>
      <c r="AE15" s="372">
        <v>2</v>
      </c>
      <c r="AF15" s="373"/>
      <c r="AG15" s="371">
        <v>0</v>
      </c>
      <c r="AH15" s="371">
        <v>100</v>
      </c>
      <c r="AI15" s="372">
        <v>2</v>
      </c>
      <c r="AJ15" s="351" t="s">
        <v>99</v>
      </c>
      <c r="AK15" s="351"/>
      <c r="AN15" s="371">
        <v>0</v>
      </c>
      <c r="AO15" s="371">
        <v>491</v>
      </c>
      <c r="AP15" s="372">
        <v>6</v>
      </c>
      <c r="AQ15" s="373"/>
      <c r="AR15" s="371">
        <v>0</v>
      </c>
      <c r="AS15" s="371">
        <v>2253</v>
      </c>
      <c r="AT15" s="372">
        <v>16</v>
      </c>
      <c r="AU15" s="352"/>
      <c r="AV15" s="377">
        <v>0</v>
      </c>
      <c r="AW15" s="377">
        <v>1100</v>
      </c>
      <c r="AX15" s="378">
        <v>11</v>
      </c>
      <c r="AY15" s="352"/>
      <c r="AZ15" s="377">
        <v>0</v>
      </c>
      <c r="BA15" s="377">
        <v>300</v>
      </c>
      <c r="BB15" s="378">
        <v>3</v>
      </c>
      <c r="BC15" s="378"/>
      <c r="BD15" s="379" t="s">
        <v>713</v>
      </c>
    </row>
    <row r="16" spans="1:56" ht="24" customHeight="1" x14ac:dyDescent="0.2">
      <c r="A16" s="341"/>
      <c r="B16" s="412"/>
      <c r="C16" s="341"/>
      <c r="D16" s="367">
        <v>222</v>
      </c>
      <c r="E16" s="367"/>
      <c r="F16" s="368" t="s">
        <v>100</v>
      </c>
      <c r="G16" s="367"/>
      <c r="H16" s="368" t="s">
        <v>93</v>
      </c>
      <c r="I16" s="367"/>
      <c r="J16" s="369">
        <v>20</v>
      </c>
      <c r="K16" s="367"/>
      <c r="L16" s="341" t="s">
        <v>576</v>
      </c>
      <c r="M16" s="367"/>
      <c r="N16" s="367" t="s">
        <v>55</v>
      </c>
      <c r="O16" s="367"/>
      <c r="P16" s="341"/>
      <c r="Q16" s="351">
        <v>905</v>
      </c>
      <c r="R16" s="367"/>
      <c r="S16" s="371">
        <v>0</v>
      </c>
      <c r="T16" s="371">
        <v>46708</v>
      </c>
      <c r="U16" s="367"/>
      <c r="V16" s="372">
        <v>127</v>
      </c>
      <c r="W16" s="371">
        <v>0</v>
      </c>
      <c r="X16" s="371">
        <v>39652.58</v>
      </c>
      <c r="Y16" s="367"/>
      <c r="Z16" s="371">
        <v>34052</v>
      </c>
      <c r="AA16" s="372">
        <v>120</v>
      </c>
      <c r="AB16" s="367"/>
      <c r="AC16" s="371">
        <v>0</v>
      </c>
      <c r="AD16" s="371">
        <v>33981</v>
      </c>
      <c r="AE16" s="372">
        <v>119</v>
      </c>
      <c r="AF16" s="373"/>
      <c r="AG16" s="371">
        <v>0</v>
      </c>
      <c r="AH16" s="371">
        <v>43283</v>
      </c>
      <c r="AI16" s="372">
        <v>136</v>
      </c>
      <c r="AJ16" s="351" t="s">
        <v>101</v>
      </c>
      <c r="AK16" s="351"/>
      <c r="AN16" s="371">
        <v>0</v>
      </c>
      <c r="AO16" s="371">
        <v>47181</v>
      </c>
      <c r="AP16" s="372">
        <v>155</v>
      </c>
      <c r="AQ16" s="373"/>
      <c r="AR16" s="371">
        <v>0</v>
      </c>
      <c r="AS16" s="371">
        <v>49464</v>
      </c>
      <c r="AT16" s="372">
        <v>156</v>
      </c>
      <c r="AU16" s="367"/>
      <c r="AV16" s="371">
        <v>0</v>
      </c>
      <c r="AW16" s="371">
        <v>42027</v>
      </c>
      <c r="AX16" s="372">
        <v>175</v>
      </c>
      <c r="AY16" s="367"/>
      <c r="AZ16" s="371">
        <v>0</v>
      </c>
      <c r="BA16" s="371">
        <v>16787</v>
      </c>
      <c r="BB16" s="372">
        <v>92</v>
      </c>
      <c r="BC16" s="372"/>
      <c r="BD16" s="376" t="s">
        <v>713</v>
      </c>
    </row>
    <row r="17" spans="1:56" ht="24" customHeight="1" x14ac:dyDescent="0.2">
      <c r="A17" s="341"/>
      <c r="B17" s="412"/>
      <c r="C17" s="341"/>
      <c r="D17" s="367"/>
      <c r="E17" s="367"/>
      <c r="F17" s="368" t="s">
        <v>837</v>
      </c>
      <c r="G17" s="367"/>
      <c r="H17" s="368" t="s">
        <v>93</v>
      </c>
      <c r="I17" s="367"/>
      <c r="J17" s="369" t="s">
        <v>838</v>
      </c>
      <c r="K17" s="367"/>
      <c r="L17" s="341"/>
      <c r="M17" s="367"/>
      <c r="N17" s="367"/>
      <c r="O17" s="367"/>
      <c r="P17" s="341"/>
      <c r="Q17" s="351"/>
      <c r="R17" s="367"/>
      <c r="S17" s="371"/>
      <c r="T17" s="371"/>
      <c r="U17" s="367"/>
      <c r="V17" s="372"/>
      <c r="W17" s="371"/>
      <c r="X17" s="371"/>
      <c r="Y17" s="367"/>
      <c r="Z17" s="371"/>
      <c r="AA17" s="372"/>
      <c r="AB17" s="367"/>
      <c r="AC17" s="371"/>
      <c r="AD17" s="371"/>
      <c r="AE17" s="372"/>
      <c r="AF17" s="373"/>
      <c r="AG17" s="371"/>
      <c r="AH17" s="371"/>
      <c r="AI17" s="372"/>
      <c r="AK17" s="351"/>
      <c r="AN17" s="380" t="s">
        <v>302</v>
      </c>
      <c r="AO17" s="380" t="s">
        <v>302</v>
      </c>
      <c r="AP17" s="380" t="s">
        <v>302</v>
      </c>
      <c r="AQ17" s="373"/>
      <c r="AR17" s="380" t="s">
        <v>302</v>
      </c>
      <c r="AS17" s="380" t="s">
        <v>302</v>
      </c>
      <c r="AT17" s="380" t="s">
        <v>302</v>
      </c>
      <c r="AU17" s="367"/>
      <c r="AV17" s="380" t="s">
        <v>302</v>
      </c>
      <c r="AW17" s="380" t="s">
        <v>302</v>
      </c>
      <c r="AX17" s="380" t="s">
        <v>302</v>
      </c>
      <c r="AY17" s="367"/>
      <c r="AZ17" s="371">
        <v>0</v>
      </c>
      <c r="BA17" s="371">
        <v>28378</v>
      </c>
      <c r="BB17" s="372">
        <v>67</v>
      </c>
      <c r="BC17" s="372"/>
      <c r="BD17" s="376" t="s">
        <v>713</v>
      </c>
    </row>
    <row r="18" spans="1:56" ht="15" customHeight="1" x14ac:dyDescent="0.2">
      <c r="A18" s="341"/>
      <c r="B18" s="412"/>
      <c r="C18" s="341"/>
      <c r="D18" s="367">
        <v>222</v>
      </c>
      <c r="E18" s="367"/>
      <c r="F18" s="368" t="s">
        <v>577</v>
      </c>
      <c r="G18" s="367"/>
      <c r="H18" s="368" t="s">
        <v>578</v>
      </c>
      <c r="I18" s="367"/>
      <c r="J18" s="369">
        <v>20</v>
      </c>
      <c r="K18" s="367"/>
      <c r="L18" s="341" t="s">
        <v>579</v>
      </c>
      <c r="M18" s="367"/>
      <c r="N18" s="367" t="s">
        <v>55</v>
      </c>
      <c r="O18" s="367"/>
      <c r="P18" s="341"/>
      <c r="Q18" s="351">
        <v>905</v>
      </c>
      <c r="R18" s="367"/>
      <c r="S18" s="371">
        <v>0</v>
      </c>
      <c r="T18" s="371"/>
      <c r="U18" s="367"/>
      <c r="V18" s="372">
        <v>8</v>
      </c>
      <c r="W18" s="371">
        <v>0</v>
      </c>
      <c r="X18" s="371">
        <v>1211.42</v>
      </c>
      <c r="Y18" s="367"/>
      <c r="Z18" s="371">
        <v>1299</v>
      </c>
      <c r="AA18" s="372">
        <v>5</v>
      </c>
      <c r="AB18" s="367"/>
      <c r="AC18" s="371">
        <v>0</v>
      </c>
      <c r="AD18" s="371">
        <v>0</v>
      </c>
      <c r="AE18" s="372">
        <v>0</v>
      </c>
      <c r="AF18" s="373"/>
      <c r="AG18" s="371">
        <v>0</v>
      </c>
      <c r="AH18" s="371">
        <v>230</v>
      </c>
      <c r="AI18" s="372">
        <v>4</v>
      </c>
      <c r="AJ18" s="351" t="s">
        <v>580</v>
      </c>
      <c r="AK18" s="351"/>
      <c r="AN18" s="371">
        <v>0</v>
      </c>
      <c r="AO18" s="371">
        <v>0</v>
      </c>
      <c r="AP18" s="372">
        <v>0</v>
      </c>
      <c r="AQ18" s="373"/>
      <c r="AR18" s="371">
        <v>0</v>
      </c>
      <c r="AS18" s="371">
        <v>44</v>
      </c>
      <c r="AT18" s="372">
        <v>3</v>
      </c>
      <c r="AU18" s="367"/>
      <c r="AV18" s="371">
        <v>0</v>
      </c>
      <c r="AW18" s="371">
        <v>0</v>
      </c>
      <c r="AX18" s="372">
        <v>0</v>
      </c>
      <c r="AY18" s="367"/>
      <c r="AZ18" s="371">
        <v>0</v>
      </c>
      <c r="BA18" s="371">
        <v>155</v>
      </c>
      <c r="BB18" s="372">
        <v>8</v>
      </c>
      <c r="BC18" s="372"/>
      <c r="BD18" s="376" t="s">
        <v>713</v>
      </c>
    </row>
    <row r="19" spans="1:56" ht="24" customHeight="1" x14ac:dyDescent="0.2">
      <c r="A19" s="341"/>
      <c r="B19" s="412"/>
      <c r="C19" s="341"/>
      <c r="D19" s="367">
        <v>222</v>
      </c>
      <c r="E19" s="367"/>
      <c r="F19" s="368" t="s">
        <v>581</v>
      </c>
      <c r="G19" s="367"/>
      <c r="H19" s="368" t="s">
        <v>93</v>
      </c>
      <c r="I19" s="367"/>
      <c r="J19" s="369">
        <v>50</v>
      </c>
      <c r="K19" s="367"/>
      <c r="L19" s="341" t="s">
        <v>85</v>
      </c>
      <c r="M19" s="367"/>
      <c r="N19" s="367" t="s">
        <v>55</v>
      </c>
      <c r="O19" s="367"/>
      <c r="P19" s="341">
        <v>2011</v>
      </c>
      <c r="Q19" s="351">
        <v>905</v>
      </c>
      <c r="R19" s="367"/>
      <c r="S19" s="371">
        <v>0</v>
      </c>
      <c r="T19" s="371"/>
      <c r="U19" s="367"/>
      <c r="V19" s="372">
        <v>1</v>
      </c>
      <c r="W19" s="371">
        <v>0</v>
      </c>
      <c r="X19" s="371">
        <v>50</v>
      </c>
      <c r="Y19" s="367"/>
      <c r="Z19" s="371">
        <v>710</v>
      </c>
      <c r="AA19" s="372">
        <v>15</v>
      </c>
      <c r="AB19" s="367"/>
      <c r="AC19" s="371">
        <v>0</v>
      </c>
      <c r="AD19" s="371">
        <v>650</v>
      </c>
      <c r="AE19" s="372">
        <v>13</v>
      </c>
      <c r="AF19" s="373"/>
      <c r="AG19" s="371">
        <v>0</v>
      </c>
      <c r="AH19" s="371">
        <v>1025</v>
      </c>
      <c r="AI19" s="372">
        <v>21</v>
      </c>
      <c r="AJ19" s="351" t="s">
        <v>582</v>
      </c>
      <c r="AK19" s="351"/>
      <c r="AL19" s="351" t="s">
        <v>583</v>
      </c>
      <c r="AN19" s="371">
        <v>0</v>
      </c>
      <c r="AO19" s="371">
        <v>436</v>
      </c>
      <c r="AP19" s="372">
        <v>13</v>
      </c>
      <c r="AQ19" s="373"/>
      <c r="AR19" s="371">
        <v>0</v>
      </c>
      <c r="AS19" s="371">
        <v>540</v>
      </c>
      <c r="AT19" s="372">
        <v>15</v>
      </c>
      <c r="AU19" s="367"/>
      <c r="AV19" s="371">
        <v>0</v>
      </c>
      <c r="AW19" s="371">
        <v>250</v>
      </c>
      <c r="AX19" s="372">
        <v>7</v>
      </c>
      <c r="AY19" s="367"/>
      <c r="AZ19" s="371">
        <v>0</v>
      </c>
      <c r="BA19" s="371">
        <v>50</v>
      </c>
      <c r="BB19" s="372">
        <v>1</v>
      </c>
      <c r="BC19" s="372"/>
      <c r="BD19" s="376" t="s">
        <v>713</v>
      </c>
    </row>
    <row r="20" spans="1:56" ht="24" customHeight="1" x14ac:dyDescent="0.2">
      <c r="A20" s="341"/>
      <c r="B20" s="412"/>
      <c r="C20" s="341"/>
      <c r="D20" s="367"/>
      <c r="E20" s="367"/>
      <c r="F20" s="368" t="s">
        <v>714</v>
      </c>
      <c r="G20" s="367"/>
      <c r="H20" s="368" t="s">
        <v>715</v>
      </c>
      <c r="I20" s="367"/>
      <c r="J20" s="369" t="s">
        <v>716</v>
      </c>
      <c r="K20" s="367"/>
      <c r="L20" s="341" t="s">
        <v>85</v>
      </c>
      <c r="M20" s="367"/>
      <c r="N20" s="367" t="s">
        <v>55</v>
      </c>
      <c r="O20" s="367"/>
      <c r="P20" s="341">
        <v>2011</v>
      </c>
      <c r="Q20" s="351">
        <v>905</v>
      </c>
      <c r="R20" s="367"/>
      <c r="S20" s="371">
        <v>0</v>
      </c>
      <c r="T20" s="371"/>
      <c r="U20" s="367"/>
      <c r="V20" s="372">
        <v>1</v>
      </c>
      <c r="W20" s="371">
        <v>0</v>
      </c>
      <c r="X20" s="371">
        <v>50</v>
      </c>
      <c r="Y20" s="367"/>
      <c r="Z20" s="371" t="s">
        <v>302</v>
      </c>
      <c r="AA20" s="372" t="s">
        <v>302</v>
      </c>
      <c r="AB20" s="367"/>
      <c r="AC20" s="371" t="s">
        <v>302</v>
      </c>
      <c r="AD20" s="371" t="s">
        <v>302</v>
      </c>
      <c r="AE20" s="372" t="s">
        <v>302</v>
      </c>
      <c r="AF20" s="373"/>
      <c r="AG20" s="371" t="s">
        <v>302</v>
      </c>
      <c r="AH20" s="371" t="s">
        <v>302</v>
      </c>
      <c r="AI20" s="372" t="s">
        <v>302</v>
      </c>
      <c r="AK20" s="351"/>
      <c r="AN20" s="371">
        <v>0</v>
      </c>
      <c r="AO20" s="371">
        <v>7050</v>
      </c>
      <c r="AP20" s="372">
        <v>29</v>
      </c>
      <c r="AQ20" s="373"/>
      <c r="AR20" s="371">
        <v>0</v>
      </c>
      <c r="AS20" s="371">
        <v>8800</v>
      </c>
      <c r="AT20" s="372">
        <v>25</v>
      </c>
      <c r="AU20" s="367"/>
      <c r="AV20" s="371">
        <v>0</v>
      </c>
      <c r="AW20" s="371">
        <v>8350</v>
      </c>
      <c r="AX20" s="372">
        <v>25</v>
      </c>
      <c r="AY20" s="367"/>
      <c r="AZ20" s="371">
        <v>0</v>
      </c>
      <c r="BA20" s="371">
        <v>8050</v>
      </c>
      <c r="BB20" s="372">
        <v>32</v>
      </c>
      <c r="BC20" s="372"/>
      <c r="BD20" s="376" t="s">
        <v>713</v>
      </c>
    </row>
    <row r="21" spans="1:56" ht="24" customHeight="1" x14ac:dyDescent="0.2">
      <c r="A21" s="341"/>
      <c r="B21" s="412"/>
      <c r="C21" s="341"/>
      <c r="D21" s="367">
        <v>222</v>
      </c>
      <c r="E21" s="367"/>
      <c r="F21" s="368" t="s">
        <v>584</v>
      </c>
      <c r="G21" s="367"/>
      <c r="H21" s="368" t="s">
        <v>585</v>
      </c>
      <c r="I21" s="367"/>
      <c r="J21" s="369">
        <v>30</v>
      </c>
      <c r="K21" s="367"/>
      <c r="L21" s="341" t="s">
        <v>94</v>
      </c>
      <c r="M21" s="367"/>
      <c r="N21" s="367" t="s">
        <v>55</v>
      </c>
      <c r="O21" s="367"/>
      <c r="P21" s="341">
        <v>2011</v>
      </c>
      <c r="Q21" s="351">
        <v>905</v>
      </c>
      <c r="R21" s="367"/>
      <c r="S21" s="371">
        <v>0</v>
      </c>
      <c r="T21" s="371"/>
      <c r="U21" s="367"/>
      <c r="V21" s="372">
        <v>4</v>
      </c>
      <c r="W21" s="371">
        <v>0</v>
      </c>
      <c r="X21" s="371">
        <v>120</v>
      </c>
      <c r="Y21" s="367"/>
      <c r="Z21" s="371">
        <v>445</v>
      </c>
      <c r="AA21" s="372">
        <v>15</v>
      </c>
      <c r="AB21" s="367"/>
      <c r="AC21" s="371">
        <v>0</v>
      </c>
      <c r="AD21" s="371">
        <v>365</v>
      </c>
      <c r="AE21" s="372">
        <v>12</v>
      </c>
      <c r="AF21" s="373"/>
      <c r="AG21" s="371">
        <v>0</v>
      </c>
      <c r="AH21" s="371">
        <v>295</v>
      </c>
      <c r="AI21" s="372">
        <v>10</v>
      </c>
      <c r="AJ21" s="351" t="s">
        <v>586</v>
      </c>
      <c r="AK21" s="351"/>
      <c r="AL21" s="351" t="s">
        <v>587</v>
      </c>
      <c r="AN21" s="371">
        <v>0</v>
      </c>
      <c r="AO21" s="371">
        <v>250</v>
      </c>
      <c r="AP21" s="372">
        <v>10</v>
      </c>
      <c r="AQ21" s="373"/>
      <c r="AR21" s="371">
        <v>0</v>
      </c>
      <c r="AS21" s="371">
        <v>1387</v>
      </c>
      <c r="AT21" s="372">
        <v>39</v>
      </c>
      <c r="AU21" s="367"/>
      <c r="AV21" s="371">
        <v>0</v>
      </c>
      <c r="AW21" s="371">
        <v>1108</v>
      </c>
      <c r="AX21" s="372">
        <v>37</v>
      </c>
      <c r="AY21" s="367"/>
      <c r="AZ21" s="371">
        <v>0</v>
      </c>
      <c r="BA21" s="371">
        <v>1602</v>
      </c>
      <c r="BB21" s="372">
        <v>54</v>
      </c>
      <c r="BC21" s="372"/>
      <c r="BD21" s="376" t="s">
        <v>713</v>
      </c>
    </row>
    <row r="22" spans="1:56" ht="15" customHeight="1" x14ac:dyDescent="0.2">
      <c r="A22" s="341"/>
      <c r="B22" s="412"/>
      <c r="C22" s="341"/>
      <c r="D22" s="367">
        <v>222</v>
      </c>
      <c r="E22" s="367"/>
      <c r="F22" s="368" t="s">
        <v>102</v>
      </c>
      <c r="G22" s="367"/>
      <c r="H22" s="368" t="s">
        <v>88</v>
      </c>
      <c r="I22" s="367"/>
      <c r="J22" s="369">
        <v>25</v>
      </c>
      <c r="K22" s="367"/>
      <c r="L22" s="341" t="s">
        <v>85</v>
      </c>
      <c r="M22" s="367"/>
      <c r="N22" s="367" t="s">
        <v>55</v>
      </c>
      <c r="O22" s="367"/>
      <c r="P22" s="341">
        <v>2009</v>
      </c>
      <c r="Q22" s="351">
        <v>905</v>
      </c>
      <c r="R22" s="367"/>
      <c r="S22" s="371">
        <v>0</v>
      </c>
      <c r="T22" s="371">
        <v>6780</v>
      </c>
      <c r="U22" s="367"/>
      <c r="V22" s="372" t="s">
        <v>588</v>
      </c>
      <c r="W22" s="371">
        <v>0</v>
      </c>
      <c r="X22" s="371">
        <v>6435.9</v>
      </c>
      <c r="Y22" s="367"/>
      <c r="Z22" s="371">
        <v>6440</v>
      </c>
      <c r="AA22" s="372">
        <v>559</v>
      </c>
      <c r="AB22" s="367"/>
      <c r="AC22" s="371">
        <v>0</v>
      </c>
      <c r="AD22" s="371">
        <v>7247</v>
      </c>
      <c r="AE22" s="372">
        <v>488</v>
      </c>
      <c r="AF22" s="373"/>
      <c r="AG22" s="371">
        <v>0</v>
      </c>
      <c r="AH22" s="371">
        <v>12306</v>
      </c>
      <c r="AI22" s="372">
        <v>589</v>
      </c>
      <c r="AJ22" s="351" t="s">
        <v>103</v>
      </c>
      <c r="AK22" s="351"/>
      <c r="AL22" s="351" t="s">
        <v>682</v>
      </c>
      <c r="AN22" s="371">
        <v>0</v>
      </c>
      <c r="AO22" s="371">
        <v>12263</v>
      </c>
      <c r="AP22" s="372">
        <v>563</v>
      </c>
      <c r="AQ22" s="373"/>
      <c r="AR22" s="371">
        <v>0</v>
      </c>
      <c r="AS22" s="371">
        <v>13834</v>
      </c>
      <c r="AT22" s="372">
        <v>598</v>
      </c>
      <c r="AU22" s="367"/>
      <c r="AV22" s="371">
        <v>0</v>
      </c>
      <c r="AW22" s="371">
        <v>13916</v>
      </c>
      <c r="AX22" s="372">
        <v>603</v>
      </c>
      <c r="AY22" s="367"/>
      <c r="AZ22" s="371">
        <v>0</v>
      </c>
      <c r="BA22" s="371">
        <v>12623</v>
      </c>
      <c r="BB22" s="372">
        <v>548</v>
      </c>
      <c r="BC22" s="372"/>
      <c r="BD22" s="376" t="s">
        <v>713</v>
      </c>
    </row>
    <row r="23" spans="1:56" ht="24" customHeight="1" x14ac:dyDescent="0.2">
      <c r="A23" s="341"/>
      <c r="B23" s="412"/>
      <c r="C23" s="341"/>
      <c r="D23" s="367"/>
      <c r="E23" s="367"/>
      <c r="F23" s="368" t="s">
        <v>839</v>
      </c>
      <c r="G23" s="367"/>
      <c r="H23" s="368" t="s">
        <v>840</v>
      </c>
      <c r="I23" s="367"/>
      <c r="J23" s="369" t="s">
        <v>841</v>
      </c>
      <c r="K23" s="367"/>
      <c r="L23" s="341"/>
      <c r="M23" s="367"/>
      <c r="N23" s="367"/>
      <c r="O23" s="367"/>
      <c r="P23" s="341"/>
      <c r="Q23" s="351"/>
      <c r="R23" s="367"/>
      <c r="S23" s="371"/>
      <c r="T23" s="371"/>
      <c r="U23" s="367"/>
      <c r="V23" s="372"/>
      <c r="W23" s="371"/>
      <c r="X23" s="371"/>
      <c r="Y23" s="367"/>
      <c r="Z23" s="371"/>
      <c r="AA23" s="372"/>
      <c r="AB23" s="367"/>
      <c r="AC23" s="371"/>
      <c r="AD23" s="371"/>
      <c r="AE23" s="372"/>
      <c r="AF23" s="373"/>
      <c r="AG23" s="371"/>
      <c r="AH23" s="371"/>
      <c r="AI23" s="372"/>
      <c r="AK23" s="351"/>
      <c r="AN23" s="380" t="s">
        <v>302</v>
      </c>
      <c r="AO23" s="380" t="s">
        <v>302</v>
      </c>
      <c r="AP23" s="380" t="s">
        <v>302</v>
      </c>
      <c r="AQ23" s="373"/>
      <c r="AR23" s="380" t="s">
        <v>302</v>
      </c>
      <c r="AS23" s="380" t="s">
        <v>302</v>
      </c>
      <c r="AT23" s="380" t="s">
        <v>302</v>
      </c>
      <c r="AU23" s="367"/>
      <c r="AV23" s="380" t="s">
        <v>302</v>
      </c>
      <c r="AW23" s="380" t="s">
        <v>302</v>
      </c>
      <c r="AX23" s="380" t="s">
        <v>302</v>
      </c>
      <c r="AY23" s="367"/>
      <c r="AZ23" s="371">
        <v>0</v>
      </c>
      <c r="BA23" s="371">
        <v>780</v>
      </c>
      <c r="BB23" s="372">
        <v>6</v>
      </c>
      <c r="BC23" s="372"/>
      <c r="BD23" s="376" t="s">
        <v>713</v>
      </c>
    </row>
    <row r="24" spans="1:56" ht="15" customHeight="1" x14ac:dyDescent="0.2">
      <c r="A24" s="341"/>
      <c r="B24" s="412" t="s">
        <v>104</v>
      </c>
      <c r="C24" s="341"/>
      <c r="D24" s="367">
        <v>223</v>
      </c>
      <c r="E24" s="367"/>
      <c r="F24" s="368" t="s">
        <v>105</v>
      </c>
      <c r="G24" s="367"/>
      <c r="H24" s="368" t="s">
        <v>53</v>
      </c>
      <c r="I24" s="367"/>
      <c r="J24" s="369">
        <v>300</v>
      </c>
      <c r="K24" s="367"/>
      <c r="L24" s="341" t="s">
        <v>106</v>
      </c>
      <c r="M24" s="367"/>
      <c r="N24" s="367" t="s">
        <v>55</v>
      </c>
      <c r="O24" s="367"/>
      <c r="P24" s="341"/>
      <c r="Q24" s="351">
        <v>905</v>
      </c>
      <c r="R24" s="367">
        <v>10</v>
      </c>
      <c r="S24" s="371">
        <v>0</v>
      </c>
      <c r="T24" s="371">
        <v>1200</v>
      </c>
      <c r="U24" s="367"/>
      <c r="V24" s="372">
        <v>16</v>
      </c>
      <c r="W24" s="371">
        <v>0</v>
      </c>
      <c r="X24" s="371">
        <v>850</v>
      </c>
      <c r="Y24" s="367"/>
      <c r="Z24" s="371">
        <v>1630</v>
      </c>
      <c r="AA24" s="372">
        <v>148</v>
      </c>
      <c r="AB24" s="367"/>
      <c r="AC24" s="371">
        <v>0</v>
      </c>
      <c r="AD24" s="371">
        <v>3197</v>
      </c>
      <c r="AE24" s="372">
        <v>44</v>
      </c>
      <c r="AF24" s="373"/>
      <c r="AG24" s="371">
        <v>0</v>
      </c>
      <c r="AH24" s="371">
        <v>3707</v>
      </c>
      <c r="AI24" s="372">
        <v>90</v>
      </c>
      <c r="AJ24" s="351" t="s">
        <v>107</v>
      </c>
      <c r="AK24" s="351"/>
      <c r="AL24" s="351" t="s">
        <v>108</v>
      </c>
      <c r="AN24" s="371">
        <v>0</v>
      </c>
      <c r="AO24" s="371">
        <v>4910</v>
      </c>
      <c r="AP24" s="372">
        <v>131</v>
      </c>
      <c r="AQ24" s="373"/>
      <c r="AR24" s="371">
        <v>0</v>
      </c>
      <c r="AS24" s="371">
        <v>7072</v>
      </c>
      <c r="AT24" s="372">
        <v>165</v>
      </c>
      <c r="AU24" s="367"/>
      <c r="AV24" s="371">
        <v>0</v>
      </c>
      <c r="AW24" s="371">
        <v>8919</v>
      </c>
      <c r="AX24" s="372">
        <v>136</v>
      </c>
      <c r="AY24" s="367"/>
      <c r="AZ24" s="371">
        <v>0</v>
      </c>
      <c r="BA24" s="371">
        <v>8970</v>
      </c>
      <c r="BB24" s="372">
        <v>143</v>
      </c>
      <c r="BC24" s="372"/>
      <c r="BD24" s="376" t="s">
        <v>713</v>
      </c>
    </row>
    <row r="25" spans="1:56" ht="15" customHeight="1" x14ac:dyDescent="0.2">
      <c r="A25" s="341"/>
      <c r="B25" s="412"/>
      <c r="C25" s="341"/>
      <c r="D25" s="367"/>
      <c r="E25" s="367"/>
      <c r="F25" s="368" t="s">
        <v>842</v>
      </c>
      <c r="G25" s="367"/>
      <c r="H25" s="368" t="s">
        <v>53</v>
      </c>
      <c r="I25" s="367"/>
      <c r="J25" s="369">
        <v>300</v>
      </c>
      <c r="K25" s="367"/>
      <c r="L25" s="341"/>
      <c r="M25" s="367"/>
      <c r="N25" s="367"/>
      <c r="O25" s="367"/>
      <c r="P25" s="341"/>
      <c r="Q25" s="351"/>
      <c r="R25" s="367"/>
      <c r="S25" s="371"/>
      <c r="T25" s="371"/>
      <c r="U25" s="367"/>
      <c r="V25" s="372"/>
      <c r="W25" s="371"/>
      <c r="X25" s="371"/>
      <c r="Y25" s="367"/>
      <c r="Z25" s="371"/>
      <c r="AA25" s="372"/>
      <c r="AB25" s="367"/>
      <c r="AC25" s="371"/>
      <c r="AD25" s="371"/>
      <c r="AE25" s="372"/>
      <c r="AF25" s="373"/>
      <c r="AG25" s="371"/>
      <c r="AH25" s="371"/>
      <c r="AI25" s="372"/>
      <c r="AK25" s="351"/>
      <c r="AN25" s="371">
        <v>0</v>
      </c>
      <c r="AO25" s="371">
        <v>0</v>
      </c>
      <c r="AP25" s="372">
        <v>0</v>
      </c>
      <c r="AQ25" s="373"/>
      <c r="AR25" s="371">
        <v>0</v>
      </c>
      <c r="AS25" s="371">
        <v>0</v>
      </c>
      <c r="AT25" s="372">
        <v>0</v>
      </c>
      <c r="AU25" s="367"/>
      <c r="AV25" s="371">
        <v>0</v>
      </c>
      <c r="AW25" s="371">
        <v>0</v>
      </c>
      <c r="AX25" s="372">
        <v>0</v>
      </c>
      <c r="AY25" s="367"/>
      <c r="AZ25" s="371">
        <v>0</v>
      </c>
      <c r="BA25" s="371">
        <v>3139</v>
      </c>
      <c r="BB25" s="372">
        <v>11</v>
      </c>
      <c r="BC25" s="372"/>
      <c r="BD25" s="376" t="s">
        <v>713</v>
      </c>
    </row>
    <row r="26" spans="1:56" ht="15" customHeight="1" x14ac:dyDescent="0.2">
      <c r="A26" s="341"/>
      <c r="B26" s="412"/>
      <c r="C26" s="341"/>
      <c r="D26" s="367">
        <v>223</v>
      </c>
      <c r="E26" s="367"/>
      <c r="F26" s="368" t="s">
        <v>109</v>
      </c>
      <c r="G26" s="367"/>
      <c r="H26" s="368" t="s">
        <v>53</v>
      </c>
      <c r="I26" s="367"/>
      <c r="J26" s="369" t="s">
        <v>843</v>
      </c>
      <c r="K26" s="367"/>
      <c r="L26" s="341" t="s">
        <v>110</v>
      </c>
      <c r="M26" s="367"/>
      <c r="N26" s="367" t="s">
        <v>55</v>
      </c>
      <c r="O26" s="367"/>
      <c r="P26" s="341"/>
      <c r="Q26" s="351">
        <v>905</v>
      </c>
      <c r="R26" s="367">
        <v>50</v>
      </c>
      <c r="S26" s="371">
        <v>0</v>
      </c>
      <c r="T26" s="371">
        <v>788</v>
      </c>
      <c r="U26" s="367"/>
      <c r="V26" s="372">
        <v>272</v>
      </c>
      <c r="W26" s="371">
        <v>0</v>
      </c>
      <c r="X26" s="371">
        <v>1356.43</v>
      </c>
      <c r="Y26" s="367"/>
      <c r="Z26" s="371">
        <v>1849</v>
      </c>
      <c r="AA26" s="372">
        <v>370</v>
      </c>
      <c r="AB26" s="367"/>
      <c r="AC26" s="371">
        <v>0</v>
      </c>
      <c r="AD26" s="371">
        <v>2383</v>
      </c>
      <c r="AE26" s="372">
        <v>213</v>
      </c>
      <c r="AF26" s="373"/>
      <c r="AG26" s="371">
        <v>0</v>
      </c>
      <c r="AH26" s="371">
        <v>2530</v>
      </c>
      <c r="AI26" s="372">
        <v>297</v>
      </c>
      <c r="AJ26" s="351" t="s">
        <v>107</v>
      </c>
      <c r="AK26" s="351"/>
      <c r="AL26" s="351" t="s">
        <v>108</v>
      </c>
      <c r="AN26" s="371">
        <v>0</v>
      </c>
      <c r="AO26" s="371">
        <v>1660</v>
      </c>
      <c r="AP26" s="372">
        <v>117</v>
      </c>
      <c r="AQ26" s="373"/>
      <c r="AR26" s="371">
        <v>0</v>
      </c>
      <c r="AS26" s="371">
        <v>3850</v>
      </c>
      <c r="AT26" s="372">
        <v>182</v>
      </c>
      <c r="AU26" s="367"/>
      <c r="AV26" s="371">
        <v>0</v>
      </c>
      <c r="AW26" s="371">
        <v>650</v>
      </c>
      <c r="AX26" s="372">
        <v>130</v>
      </c>
      <c r="AY26" s="367"/>
      <c r="AZ26" s="371">
        <v>0</v>
      </c>
      <c r="BA26" s="371">
        <v>4450</v>
      </c>
      <c r="BB26" s="372">
        <v>94</v>
      </c>
      <c r="BC26" s="372"/>
      <c r="BD26" s="376" t="s">
        <v>713</v>
      </c>
    </row>
    <row r="27" spans="1:56" ht="15" customHeight="1" x14ac:dyDescent="0.2">
      <c r="A27" s="341"/>
      <c r="B27" s="412"/>
      <c r="C27" s="341"/>
      <c r="D27" s="367">
        <v>223</v>
      </c>
      <c r="E27" s="367"/>
      <c r="F27" s="368" t="s">
        <v>119</v>
      </c>
      <c r="G27" s="367"/>
      <c r="H27" s="368" t="s">
        <v>53</v>
      </c>
      <c r="I27" s="367"/>
      <c r="J27" s="369" t="s">
        <v>844</v>
      </c>
      <c r="K27" s="367"/>
      <c r="L27" s="341" t="s">
        <v>120</v>
      </c>
      <c r="M27" s="367"/>
      <c r="N27" s="367" t="s">
        <v>55</v>
      </c>
      <c r="O27" s="367"/>
      <c r="P27" s="341"/>
      <c r="Q27" s="351">
        <v>905</v>
      </c>
      <c r="R27" s="367">
        <v>250</v>
      </c>
      <c r="S27" s="371">
        <v>0</v>
      </c>
      <c r="T27" s="371">
        <v>3023.28</v>
      </c>
      <c r="U27" s="367"/>
      <c r="V27" s="372">
        <v>170</v>
      </c>
      <c r="W27" s="371">
        <v>0</v>
      </c>
      <c r="X27" s="371">
        <v>3647</v>
      </c>
      <c r="Y27" s="367"/>
      <c r="Z27" s="371">
        <v>4825.43</v>
      </c>
      <c r="AA27" s="372">
        <v>241</v>
      </c>
      <c r="AB27" s="367"/>
      <c r="AC27" s="371">
        <v>0</v>
      </c>
      <c r="AD27" s="371">
        <v>3420</v>
      </c>
      <c r="AE27" s="372">
        <v>233</v>
      </c>
      <c r="AF27" s="373"/>
      <c r="AG27" s="371">
        <v>0</v>
      </c>
      <c r="AH27" s="371">
        <v>4831.9399999999996</v>
      </c>
      <c r="AI27" s="372">
        <v>323</v>
      </c>
      <c r="AJ27" s="351" t="s">
        <v>121</v>
      </c>
      <c r="AK27" s="351"/>
      <c r="AL27" s="351" t="s">
        <v>108</v>
      </c>
      <c r="AN27" s="371">
        <v>0</v>
      </c>
      <c r="AO27" s="371">
        <v>7584.8</v>
      </c>
      <c r="AP27" s="372">
        <v>379</v>
      </c>
      <c r="AQ27" s="373"/>
      <c r="AR27" s="371">
        <v>0</v>
      </c>
      <c r="AS27" s="371">
        <v>7506.26</v>
      </c>
      <c r="AT27" s="372">
        <v>375</v>
      </c>
      <c r="AU27" s="381"/>
      <c r="AV27" s="382">
        <v>0</v>
      </c>
      <c r="AW27" s="382">
        <v>8161</v>
      </c>
      <c r="AX27" s="374">
        <v>326</v>
      </c>
      <c r="AY27" s="381"/>
      <c r="AZ27" s="382">
        <v>0</v>
      </c>
      <c r="BA27" s="382">
        <v>7373</v>
      </c>
      <c r="BB27" s="374">
        <v>295</v>
      </c>
      <c r="BC27" s="374"/>
      <c r="BD27" s="383" t="s">
        <v>713</v>
      </c>
    </row>
    <row r="28" spans="1:56" ht="15" customHeight="1" x14ac:dyDescent="0.2">
      <c r="A28" s="341"/>
      <c r="B28" s="412"/>
      <c r="C28" s="341"/>
      <c r="D28" s="367">
        <v>223</v>
      </c>
      <c r="E28" s="367"/>
      <c r="F28" s="368" t="s">
        <v>122</v>
      </c>
      <c r="G28" s="367"/>
      <c r="H28" s="368" t="s">
        <v>53</v>
      </c>
      <c r="I28" s="367"/>
      <c r="J28" s="369">
        <v>50</v>
      </c>
      <c r="K28" s="367"/>
      <c r="L28" s="341" t="s">
        <v>120</v>
      </c>
      <c r="M28" s="367"/>
      <c r="N28" s="367" t="s">
        <v>55</v>
      </c>
      <c r="O28" s="367"/>
      <c r="P28" s="341"/>
      <c r="Q28" s="351">
        <v>905</v>
      </c>
      <c r="R28" s="367">
        <v>10</v>
      </c>
      <c r="S28" s="371">
        <v>0</v>
      </c>
      <c r="T28" s="371">
        <v>600</v>
      </c>
      <c r="U28" s="367"/>
      <c r="V28" s="372">
        <v>5</v>
      </c>
      <c r="W28" s="371">
        <v>0</v>
      </c>
      <c r="X28" s="371">
        <v>260</v>
      </c>
      <c r="Y28" s="367"/>
      <c r="Z28" s="371">
        <v>550</v>
      </c>
      <c r="AA28" s="372">
        <v>11</v>
      </c>
      <c r="AB28" s="367"/>
      <c r="AC28" s="371">
        <v>0</v>
      </c>
      <c r="AD28" s="371">
        <v>2695</v>
      </c>
      <c r="AE28" s="372">
        <v>66</v>
      </c>
      <c r="AF28" s="373"/>
      <c r="AG28" s="371">
        <v>0</v>
      </c>
      <c r="AH28" s="371">
        <v>785</v>
      </c>
      <c r="AI28" s="372">
        <v>15</v>
      </c>
      <c r="AJ28" s="351" t="s">
        <v>123</v>
      </c>
      <c r="AK28" s="351"/>
      <c r="AL28" s="351" t="s">
        <v>108</v>
      </c>
      <c r="AN28" s="371">
        <v>0</v>
      </c>
      <c r="AO28" s="371">
        <v>650</v>
      </c>
      <c r="AP28" s="372">
        <v>13</v>
      </c>
      <c r="AQ28" s="373"/>
      <c r="AR28" s="371">
        <v>0</v>
      </c>
      <c r="AS28" s="371">
        <v>1100</v>
      </c>
      <c r="AT28" s="372">
        <v>22</v>
      </c>
      <c r="AU28" s="367"/>
      <c r="AV28" s="371">
        <v>0</v>
      </c>
      <c r="AW28" s="371">
        <v>920</v>
      </c>
      <c r="AX28" s="372">
        <v>20</v>
      </c>
      <c r="AY28" s="367"/>
      <c r="AZ28" s="371">
        <v>0</v>
      </c>
      <c r="BA28" s="371">
        <v>1010</v>
      </c>
      <c r="BB28" s="372">
        <v>26</v>
      </c>
      <c r="BC28" s="372"/>
      <c r="BD28" s="376" t="s">
        <v>713</v>
      </c>
    </row>
    <row r="29" spans="1:56" ht="15" customHeight="1" x14ac:dyDescent="0.2">
      <c r="A29" s="341"/>
      <c r="B29" s="412"/>
      <c r="C29" s="341"/>
      <c r="D29" s="367">
        <v>223</v>
      </c>
      <c r="E29" s="367"/>
      <c r="F29" s="368" t="s">
        <v>84</v>
      </c>
      <c r="G29" s="367"/>
      <c r="H29" s="368" t="s">
        <v>53</v>
      </c>
      <c r="I29" s="367"/>
      <c r="J29" s="369">
        <v>300</v>
      </c>
      <c r="K29" s="367"/>
      <c r="L29" s="341" t="s">
        <v>106</v>
      </c>
      <c r="M29" s="367"/>
      <c r="N29" s="367" t="s">
        <v>55</v>
      </c>
      <c r="O29" s="367"/>
      <c r="P29" s="341"/>
      <c r="Q29" s="351">
        <v>905</v>
      </c>
      <c r="R29" s="367">
        <v>1913</v>
      </c>
      <c r="S29" s="371">
        <v>0</v>
      </c>
      <c r="T29" s="371">
        <v>371813</v>
      </c>
      <c r="U29" s="367"/>
      <c r="V29" s="372">
        <v>1971</v>
      </c>
      <c r="W29" s="371">
        <v>0</v>
      </c>
      <c r="X29" s="371">
        <v>405874.46</v>
      </c>
      <c r="Y29" s="367"/>
      <c r="Z29" s="371">
        <v>352616.32</v>
      </c>
      <c r="AA29" s="372">
        <v>2392</v>
      </c>
      <c r="AB29" s="367"/>
      <c r="AC29" s="371">
        <v>0</v>
      </c>
      <c r="AD29" s="371">
        <v>409921</v>
      </c>
      <c r="AE29" s="372">
        <v>2947</v>
      </c>
      <c r="AF29" s="373"/>
      <c r="AG29" s="371">
        <v>0</v>
      </c>
      <c r="AH29" s="371">
        <v>404322</v>
      </c>
      <c r="AI29" s="372">
        <v>3072</v>
      </c>
      <c r="AJ29" s="351" t="s">
        <v>124</v>
      </c>
      <c r="AK29" s="351"/>
      <c r="AL29" s="351" t="s">
        <v>58</v>
      </c>
      <c r="AN29" s="371">
        <v>0</v>
      </c>
      <c r="AO29" s="371">
        <v>427731</v>
      </c>
      <c r="AP29" s="372">
        <v>2808</v>
      </c>
      <c r="AQ29" s="373"/>
      <c r="AR29" s="371">
        <v>0</v>
      </c>
      <c r="AS29" s="371">
        <v>436448</v>
      </c>
      <c r="AT29" s="372">
        <v>3028</v>
      </c>
      <c r="AU29" s="375"/>
      <c r="AV29" s="371">
        <v>0</v>
      </c>
      <c r="AW29" s="371">
        <v>454609</v>
      </c>
      <c r="AX29" s="372">
        <v>2723</v>
      </c>
      <c r="AY29" s="375"/>
      <c r="AZ29" s="371">
        <v>0</v>
      </c>
      <c r="BA29" s="371">
        <v>418278</v>
      </c>
      <c r="BB29" s="372">
        <v>2649</v>
      </c>
      <c r="BC29" s="372"/>
      <c r="BD29" s="376" t="s">
        <v>707</v>
      </c>
    </row>
    <row r="30" spans="1:56" ht="15" customHeight="1" x14ac:dyDescent="0.2">
      <c r="A30" s="341"/>
      <c r="B30" s="412"/>
      <c r="C30" s="341"/>
      <c r="D30" s="367">
        <v>223</v>
      </c>
      <c r="E30" s="367"/>
      <c r="F30" s="368" t="s">
        <v>125</v>
      </c>
      <c r="G30" s="367"/>
      <c r="H30" s="368" t="s">
        <v>53</v>
      </c>
      <c r="I30" s="367"/>
      <c r="J30" s="369">
        <v>14</v>
      </c>
      <c r="K30" s="367"/>
      <c r="L30" s="341" t="s">
        <v>126</v>
      </c>
      <c r="M30" s="367"/>
      <c r="N30" s="367" t="s">
        <v>55</v>
      </c>
      <c r="O30" s="367"/>
      <c r="P30" s="341"/>
      <c r="Q30" s="351">
        <v>905</v>
      </c>
      <c r="R30" s="367">
        <v>306</v>
      </c>
      <c r="S30" s="371">
        <v>0</v>
      </c>
      <c r="T30" s="371">
        <v>343882.91</v>
      </c>
      <c r="U30" s="367"/>
      <c r="V30" s="372">
        <v>277</v>
      </c>
      <c r="W30" s="371">
        <v>0</v>
      </c>
      <c r="X30" s="371">
        <v>378364</v>
      </c>
      <c r="Y30" s="367"/>
      <c r="Z30" s="371">
        <v>392885.17</v>
      </c>
      <c r="AA30" s="372">
        <v>27375</v>
      </c>
      <c r="AB30" s="367"/>
      <c r="AC30" s="371">
        <v>0</v>
      </c>
      <c r="AD30" s="371">
        <v>374181</v>
      </c>
      <c r="AE30" s="372">
        <v>29773</v>
      </c>
      <c r="AF30" s="373"/>
      <c r="AG30" s="371">
        <v>0</v>
      </c>
      <c r="AH30" s="371">
        <v>464870</v>
      </c>
      <c r="AI30" s="372">
        <v>37292</v>
      </c>
      <c r="AJ30" s="351" t="s">
        <v>124</v>
      </c>
      <c r="AK30" s="351"/>
      <c r="AL30" s="351" t="s">
        <v>58</v>
      </c>
      <c r="AN30" s="371">
        <v>0</v>
      </c>
      <c r="AO30" s="371">
        <v>599867</v>
      </c>
      <c r="AP30" s="372">
        <v>44420</v>
      </c>
      <c r="AQ30" s="373"/>
      <c r="AR30" s="371">
        <v>0</v>
      </c>
      <c r="AS30" s="371">
        <v>598571</v>
      </c>
      <c r="AT30" s="372">
        <v>44139</v>
      </c>
      <c r="AU30" s="375"/>
      <c r="AV30" s="371">
        <v>0</v>
      </c>
      <c r="AW30" s="371">
        <v>617800</v>
      </c>
      <c r="AX30" s="372">
        <v>104</v>
      </c>
      <c r="AY30" s="375"/>
      <c r="AZ30" s="371">
        <v>0</v>
      </c>
      <c r="BA30" s="371">
        <v>549573</v>
      </c>
      <c r="BB30" s="372">
        <v>90</v>
      </c>
      <c r="BC30" s="372"/>
      <c r="BD30" s="376" t="s">
        <v>713</v>
      </c>
    </row>
    <row r="31" spans="1:56" ht="15" customHeight="1" x14ac:dyDescent="0.2">
      <c r="A31" s="341"/>
      <c r="B31" s="412"/>
      <c r="C31" s="341"/>
      <c r="D31" s="367">
        <v>223</v>
      </c>
      <c r="E31" s="367"/>
      <c r="F31" s="368" t="s">
        <v>127</v>
      </c>
      <c r="G31" s="367"/>
      <c r="H31" s="368" t="s">
        <v>53</v>
      </c>
      <c r="I31" s="367"/>
      <c r="J31" s="369">
        <v>15</v>
      </c>
      <c r="K31" s="367"/>
      <c r="L31" s="341" t="s">
        <v>126</v>
      </c>
      <c r="M31" s="367"/>
      <c r="N31" s="367" t="s">
        <v>55</v>
      </c>
      <c r="O31" s="367"/>
      <c r="P31" s="341"/>
      <c r="Q31" s="351">
        <v>905</v>
      </c>
      <c r="R31" s="367">
        <v>306</v>
      </c>
      <c r="S31" s="371">
        <v>0</v>
      </c>
      <c r="T31" s="371">
        <v>35033.15</v>
      </c>
      <c r="U31" s="367"/>
      <c r="V31" s="372">
        <v>277</v>
      </c>
      <c r="W31" s="371">
        <v>0</v>
      </c>
      <c r="X31" s="371">
        <v>50301</v>
      </c>
      <c r="Y31" s="367"/>
      <c r="Z31" s="371">
        <v>38109.47</v>
      </c>
      <c r="AA31" s="372">
        <v>27375</v>
      </c>
      <c r="AB31" s="367"/>
      <c r="AC31" s="371">
        <v>0</v>
      </c>
      <c r="AD31" s="371">
        <v>30361</v>
      </c>
      <c r="AE31" s="372">
        <v>29773</v>
      </c>
      <c r="AF31" s="373"/>
      <c r="AG31" s="371">
        <v>0</v>
      </c>
      <c r="AH31" s="371">
        <v>72284</v>
      </c>
      <c r="AI31" s="372">
        <v>37292</v>
      </c>
      <c r="AJ31" s="351" t="s">
        <v>124</v>
      </c>
      <c r="AK31" s="351"/>
      <c r="AL31" s="351" t="s">
        <v>58</v>
      </c>
      <c r="AN31" s="371">
        <v>0</v>
      </c>
      <c r="AO31" s="371">
        <v>87942</v>
      </c>
      <c r="AP31" s="372">
        <v>44420</v>
      </c>
      <c r="AQ31" s="373"/>
      <c r="AR31" s="371">
        <v>0</v>
      </c>
      <c r="AS31" s="371">
        <v>88178.13</v>
      </c>
      <c r="AT31" s="372">
        <v>44139</v>
      </c>
      <c r="AU31" s="375"/>
      <c r="AV31" s="371">
        <v>0</v>
      </c>
      <c r="AW31" s="371">
        <v>94479</v>
      </c>
      <c r="AX31" s="372">
        <v>6299</v>
      </c>
      <c r="AY31" s="375"/>
      <c r="AZ31" s="371">
        <v>0</v>
      </c>
      <c r="BA31" s="371">
        <v>76444</v>
      </c>
      <c r="BB31" s="372">
        <v>5096</v>
      </c>
      <c r="BC31" s="372"/>
      <c r="BD31" s="376" t="s">
        <v>713</v>
      </c>
    </row>
    <row r="32" spans="1:56" ht="15" customHeight="1" x14ac:dyDescent="0.2">
      <c r="A32" s="341"/>
      <c r="B32" s="412"/>
      <c r="C32" s="341"/>
      <c r="D32" s="367">
        <v>223</v>
      </c>
      <c r="E32" s="367"/>
      <c r="F32" s="384" t="s">
        <v>114</v>
      </c>
      <c r="G32" s="367"/>
      <c r="H32" s="368" t="s">
        <v>53</v>
      </c>
      <c r="I32" s="367"/>
      <c r="J32" s="369" t="s">
        <v>844</v>
      </c>
      <c r="K32" s="367"/>
      <c r="L32" s="341" t="s">
        <v>115</v>
      </c>
      <c r="M32" s="367"/>
      <c r="N32" s="367" t="s">
        <v>55</v>
      </c>
      <c r="O32" s="367"/>
      <c r="P32" s="341"/>
      <c r="Q32" s="351">
        <v>905</v>
      </c>
      <c r="R32" s="367">
        <v>20</v>
      </c>
      <c r="S32" s="371">
        <v>0</v>
      </c>
      <c r="T32" s="371">
        <v>1588.8</v>
      </c>
      <c r="U32" s="367"/>
      <c r="V32" s="372">
        <v>15</v>
      </c>
      <c r="W32" s="371">
        <v>0</v>
      </c>
      <c r="X32" s="371">
        <v>91.8</v>
      </c>
      <c r="Y32" s="367"/>
      <c r="Z32" s="371">
        <v>46.75</v>
      </c>
      <c r="AA32" s="372">
        <v>45</v>
      </c>
      <c r="AB32" s="367"/>
      <c r="AC32" s="371">
        <v>0</v>
      </c>
      <c r="AD32" s="371">
        <v>122.9</v>
      </c>
      <c r="AE32" s="372">
        <v>23</v>
      </c>
      <c r="AF32" s="373"/>
      <c r="AG32" s="371">
        <v>0</v>
      </c>
      <c r="AH32" s="371">
        <v>809</v>
      </c>
      <c r="AI32" s="372">
        <v>120</v>
      </c>
      <c r="AJ32" s="351" t="s">
        <v>116</v>
      </c>
      <c r="AK32" s="351"/>
      <c r="AL32" s="351" t="s">
        <v>108</v>
      </c>
      <c r="AN32" s="371">
        <v>0</v>
      </c>
      <c r="AO32" s="371">
        <v>0</v>
      </c>
      <c r="AP32" s="372">
        <v>0</v>
      </c>
      <c r="AQ32" s="373"/>
      <c r="AR32" s="371">
        <v>0</v>
      </c>
      <c r="AS32" s="371">
        <v>0</v>
      </c>
      <c r="AT32" s="372">
        <v>0</v>
      </c>
      <c r="AU32" s="367"/>
      <c r="AV32" s="371">
        <v>0</v>
      </c>
      <c r="AW32" s="371">
        <v>0</v>
      </c>
      <c r="AX32" s="371">
        <v>0</v>
      </c>
      <c r="AY32" s="371">
        <v>0</v>
      </c>
      <c r="AZ32" s="371">
        <v>0</v>
      </c>
      <c r="BA32" s="371">
        <v>0</v>
      </c>
      <c r="BB32" s="371">
        <v>0</v>
      </c>
      <c r="BC32" s="372"/>
      <c r="BD32" s="376" t="s">
        <v>717</v>
      </c>
    </row>
    <row r="33" spans="1:56" ht="15" customHeight="1" x14ac:dyDescent="0.2">
      <c r="A33" s="341"/>
      <c r="B33" s="412"/>
      <c r="C33" s="341"/>
      <c r="D33" s="367">
        <v>223</v>
      </c>
      <c r="E33" s="367"/>
      <c r="F33" s="368" t="s">
        <v>117</v>
      </c>
      <c r="G33" s="367"/>
      <c r="H33" s="368" t="s">
        <v>53</v>
      </c>
      <c r="I33" s="367"/>
      <c r="J33" s="369" t="s">
        <v>844</v>
      </c>
      <c r="K33" s="367"/>
      <c r="L33" s="341" t="s">
        <v>112</v>
      </c>
      <c r="M33" s="367"/>
      <c r="N33" s="367" t="s">
        <v>55</v>
      </c>
      <c r="O33" s="367"/>
      <c r="P33" s="341"/>
      <c r="Q33" s="351">
        <v>905</v>
      </c>
      <c r="R33" s="367">
        <v>10</v>
      </c>
      <c r="S33" s="371">
        <v>0</v>
      </c>
      <c r="T33" s="371">
        <v>8</v>
      </c>
      <c r="U33" s="367"/>
      <c r="V33" s="372">
        <v>1</v>
      </c>
      <c r="W33" s="371">
        <v>0</v>
      </c>
      <c r="X33" s="371">
        <v>5</v>
      </c>
      <c r="Y33" s="367"/>
      <c r="Z33" s="371">
        <v>0</v>
      </c>
      <c r="AA33" s="372">
        <v>0</v>
      </c>
      <c r="AB33" s="367"/>
      <c r="AC33" s="371">
        <v>0</v>
      </c>
      <c r="AD33" s="371">
        <v>0</v>
      </c>
      <c r="AE33" s="372">
        <v>0</v>
      </c>
      <c r="AF33" s="373"/>
      <c r="AG33" s="371">
        <v>0</v>
      </c>
      <c r="AH33" s="371">
        <v>14</v>
      </c>
      <c r="AI33" s="372">
        <v>70</v>
      </c>
      <c r="AJ33" s="351" t="s">
        <v>118</v>
      </c>
      <c r="AK33" s="351"/>
      <c r="AL33" s="351" t="s">
        <v>108</v>
      </c>
      <c r="AN33" s="371">
        <v>0</v>
      </c>
      <c r="AO33" s="371">
        <v>107</v>
      </c>
      <c r="AP33" s="372">
        <v>107</v>
      </c>
      <c r="AQ33" s="373"/>
      <c r="AR33" s="371">
        <v>0</v>
      </c>
      <c r="AS33" s="371">
        <v>342</v>
      </c>
      <c r="AT33" s="372">
        <v>342</v>
      </c>
      <c r="AU33" s="367"/>
      <c r="AV33" s="371">
        <v>0</v>
      </c>
      <c r="AW33" s="371">
        <v>0</v>
      </c>
      <c r="AX33" s="371">
        <v>0</v>
      </c>
      <c r="AY33" s="371">
        <v>0</v>
      </c>
      <c r="AZ33" s="371">
        <v>0</v>
      </c>
      <c r="BA33" s="371">
        <v>0</v>
      </c>
      <c r="BB33" s="371">
        <v>0</v>
      </c>
      <c r="BC33" s="372"/>
      <c r="BD33" s="376" t="s">
        <v>713</v>
      </c>
    </row>
    <row r="34" spans="1:56" ht="15" customHeight="1" x14ac:dyDescent="0.2">
      <c r="A34" s="341"/>
      <c r="B34" s="412"/>
      <c r="C34" s="341"/>
      <c r="D34" s="367">
        <v>223</v>
      </c>
      <c r="E34" s="367"/>
      <c r="F34" s="384" t="s">
        <v>111</v>
      </c>
      <c r="G34" s="367"/>
      <c r="H34" s="368" t="s">
        <v>53</v>
      </c>
      <c r="I34" s="367"/>
      <c r="J34" s="369" t="s">
        <v>844</v>
      </c>
      <c r="K34" s="367"/>
      <c r="L34" s="341" t="s">
        <v>112</v>
      </c>
      <c r="M34" s="367"/>
      <c r="N34" s="367" t="s">
        <v>55</v>
      </c>
      <c r="O34" s="367"/>
      <c r="P34" s="341"/>
      <c r="Q34" s="351">
        <v>905</v>
      </c>
      <c r="R34" s="367">
        <v>60</v>
      </c>
      <c r="S34" s="371">
        <v>0</v>
      </c>
      <c r="T34" s="371">
        <v>265</v>
      </c>
      <c r="U34" s="367"/>
      <c r="V34" s="372">
        <v>72</v>
      </c>
      <c r="W34" s="371">
        <v>0</v>
      </c>
      <c r="X34" s="371">
        <v>1678</v>
      </c>
      <c r="Y34" s="367"/>
      <c r="Z34" s="371">
        <v>141</v>
      </c>
      <c r="AA34" s="372">
        <v>8</v>
      </c>
      <c r="AB34" s="367"/>
      <c r="AC34" s="371">
        <v>0</v>
      </c>
      <c r="AD34" s="371">
        <v>247</v>
      </c>
      <c r="AE34" s="372">
        <v>28</v>
      </c>
      <c r="AF34" s="373"/>
      <c r="AG34" s="371">
        <v>0</v>
      </c>
      <c r="AH34" s="371">
        <v>720</v>
      </c>
      <c r="AI34" s="372">
        <v>75</v>
      </c>
      <c r="AJ34" s="351" t="s">
        <v>113</v>
      </c>
      <c r="AK34" s="351"/>
      <c r="AL34" s="351" t="s">
        <v>108</v>
      </c>
      <c r="AN34" s="371">
        <v>0</v>
      </c>
      <c r="AO34" s="371">
        <v>0</v>
      </c>
      <c r="AP34" s="372">
        <v>0</v>
      </c>
      <c r="AQ34" s="373"/>
      <c r="AR34" s="371">
        <v>0</v>
      </c>
      <c r="AS34" s="371">
        <v>0</v>
      </c>
      <c r="AT34" s="372">
        <v>0</v>
      </c>
      <c r="AU34" s="367"/>
      <c r="AV34" s="371">
        <v>0</v>
      </c>
      <c r="AW34" s="371">
        <v>0</v>
      </c>
      <c r="AX34" s="371">
        <v>0</v>
      </c>
      <c r="AY34" s="371">
        <v>0</v>
      </c>
      <c r="AZ34" s="371">
        <v>0</v>
      </c>
      <c r="BA34" s="371">
        <v>0</v>
      </c>
      <c r="BB34" s="371">
        <v>0</v>
      </c>
      <c r="BC34" s="372"/>
      <c r="BD34" s="376" t="s">
        <v>717</v>
      </c>
    </row>
    <row r="35" spans="1:56" ht="15" customHeight="1" x14ac:dyDescent="0.2">
      <c r="A35" s="341"/>
      <c r="B35" s="412" t="s">
        <v>128</v>
      </c>
      <c r="C35" s="341"/>
      <c r="D35" s="367">
        <v>224</v>
      </c>
      <c r="E35" s="367"/>
      <c r="F35" s="368" t="s">
        <v>129</v>
      </c>
      <c r="G35" s="367"/>
      <c r="H35" s="368" t="s">
        <v>130</v>
      </c>
      <c r="I35" s="367"/>
      <c r="J35" s="369">
        <v>300</v>
      </c>
      <c r="K35" s="367"/>
      <c r="L35" s="341" t="s">
        <v>54</v>
      </c>
      <c r="M35" s="367"/>
      <c r="N35" s="367" t="s">
        <v>55</v>
      </c>
      <c r="O35" s="367"/>
      <c r="P35" s="341"/>
      <c r="Q35" s="351" t="s">
        <v>131</v>
      </c>
      <c r="R35" s="367">
        <v>400</v>
      </c>
      <c r="S35" s="371">
        <v>0</v>
      </c>
      <c r="T35" s="371">
        <v>119867</v>
      </c>
      <c r="U35" s="367"/>
      <c r="V35" s="372">
        <v>727</v>
      </c>
      <c r="W35" s="371">
        <v>0</v>
      </c>
      <c r="X35" s="371">
        <v>129449.61</v>
      </c>
      <c r="Y35" s="367"/>
      <c r="Z35" s="371">
        <v>128974.18</v>
      </c>
      <c r="AA35" s="372">
        <v>816</v>
      </c>
      <c r="AB35" s="367"/>
      <c r="AC35" s="371">
        <v>0</v>
      </c>
      <c r="AD35" s="371">
        <v>125654.93</v>
      </c>
      <c r="AE35" s="372">
        <v>682</v>
      </c>
      <c r="AF35" s="373"/>
      <c r="AG35" s="371">
        <v>0</v>
      </c>
      <c r="AH35" s="371">
        <v>207452.99</v>
      </c>
      <c r="AI35" s="372">
        <v>1050</v>
      </c>
      <c r="AJ35" s="351" t="s">
        <v>132</v>
      </c>
      <c r="AK35" s="351"/>
      <c r="AL35" s="351" t="s">
        <v>133</v>
      </c>
      <c r="AN35" s="371">
        <v>0</v>
      </c>
      <c r="AO35" s="371">
        <v>341987.4</v>
      </c>
      <c r="AP35" s="372">
        <v>1571</v>
      </c>
      <c r="AQ35" s="373"/>
      <c r="AR35" s="371">
        <v>0</v>
      </c>
      <c r="AS35" s="371">
        <v>410366.8</v>
      </c>
      <c r="AT35" s="372">
        <v>1839</v>
      </c>
      <c r="AU35" s="385"/>
      <c r="AV35" s="377">
        <v>0</v>
      </c>
      <c r="AW35" s="377">
        <v>421670.69</v>
      </c>
      <c r="AX35" s="378">
        <v>1884</v>
      </c>
      <c r="AY35" s="385"/>
      <c r="AZ35" s="377">
        <v>0</v>
      </c>
      <c r="BA35" s="377">
        <v>397120.94</v>
      </c>
      <c r="BB35" s="378">
        <v>1767</v>
      </c>
      <c r="BC35" s="378"/>
      <c r="BD35" s="386" t="s">
        <v>707</v>
      </c>
    </row>
    <row r="36" spans="1:56" ht="15" customHeight="1" x14ac:dyDescent="0.2">
      <c r="A36" s="341"/>
      <c r="B36" s="412"/>
      <c r="C36" s="341"/>
      <c r="D36" s="367">
        <v>224</v>
      </c>
      <c r="E36" s="367"/>
      <c r="F36" s="368" t="s">
        <v>134</v>
      </c>
      <c r="G36" s="367"/>
      <c r="H36" s="368" t="s">
        <v>130</v>
      </c>
      <c r="I36" s="367"/>
      <c r="J36" s="369">
        <v>0</v>
      </c>
      <c r="K36" s="367"/>
      <c r="L36" s="341" t="s">
        <v>135</v>
      </c>
      <c r="M36" s="367"/>
      <c r="N36" s="367" t="s">
        <v>55</v>
      </c>
      <c r="O36" s="367"/>
      <c r="P36" s="341"/>
      <c r="Q36" s="351">
        <v>905</v>
      </c>
      <c r="R36" s="367">
        <v>20</v>
      </c>
      <c r="S36" s="371">
        <v>0</v>
      </c>
      <c r="T36" s="371">
        <v>1400</v>
      </c>
      <c r="U36" s="367"/>
      <c r="V36" s="372">
        <v>19</v>
      </c>
      <c r="W36" s="371">
        <v>0</v>
      </c>
      <c r="X36" s="371">
        <v>1330</v>
      </c>
      <c r="Y36" s="367"/>
      <c r="Z36" s="371" t="s">
        <v>589</v>
      </c>
      <c r="AA36" s="372"/>
      <c r="AB36" s="367"/>
      <c r="AC36" s="371">
        <v>0</v>
      </c>
      <c r="AD36" s="371" t="s">
        <v>589</v>
      </c>
      <c r="AE36" s="372">
        <v>27</v>
      </c>
      <c r="AF36" s="373"/>
      <c r="AG36" s="371">
        <v>0</v>
      </c>
      <c r="AH36" s="371" t="s">
        <v>589</v>
      </c>
      <c r="AI36" s="372">
        <v>35</v>
      </c>
      <c r="AJ36" s="351" t="s">
        <v>136</v>
      </c>
      <c r="AK36" s="351"/>
      <c r="AN36" s="371">
        <v>0</v>
      </c>
      <c r="AO36" s="371" t="s">
        <v>589</v>
      </c>
      <c r="AP36" s="372">
        <v>0</v>
      </c>
      <c r="AQ36" s="373"/>
      <c r="AR36" s="371">
        <v>0</v>
      </c>
      <c r="AS36" s="371" t="s">
        <v>589</v>
      </c>
      <c r="AT36" s="372">
        <v>0</v>
      </c>
      <c r="AU36" s="367"/>
      <c r="AV36" s="371">
        <v>0</v>
      </c>
      <c r="AW36" s="371">
        <v>0</v>
      </c>
      <c r="AX36" s="372">
        <v>0</v>
      </c>
      <c r="AY36" s="367"/>
      <c r="AZ36" s="371">
        <v>0</v>
      </c>
      <c r="BA36" s="371">
        <v>0</v>
      </c>
      <c r="BB36" s="372">
        <v>0</v>
      </c>
      <c r="BC36" s="372"/>
      <c r="BD36" s="376" t="s">
        <v>718</v>
      </c>
    </row>
    <row r="37" spans="1:56" ht="15" customHeight="1" x14ac:dyDescent="0.2">
      <c r="A37" s="341"/>
      <c r="B37" s="412"/>
      <c r="C37" s="341"/>
      <c r="D37" s="367">
        <v>224</v>
      </c>
      <c r="E37" s="367"/>
      <c r="F37" s="368" t="s">
        <v>134</v>
      </c>
      <c r="G37" s="367"/>
      <c r="H37" s="368" t="s">
        <v>130</v>
      </c>
      <c r="I37" s="367"/>
      <c r="J37" s="369">
        <v>1500</v>
      </c>
      <c r="K37" s="367"/>
      <c r="L37" s="341" t="s">
        <v>137</v>
      </c>
      <c r="M37" s="367"/>
      <c r="N37" s="367" t="s">
        <v>55</v>
      </c>
      <c r="O37" s="367"/>
      <c r="P37" s="341"/>
      <c r="Q37" s="351">
        <v>905</v>
      </c>
      <c r="R37" s="367">
        <v>40</v>
      </c>
      <c r="S37" s="371">
        <v>0</v>
      </c>
      <c r="T37" s="371">
        <v>8446</v>
      </c>
      <c r="U37" s="367"/>
      <c r="V37" s="372">
        <v>55</v>
      </c>
      <c r="W37" s="371">
        <v>0</v>
      </c>
      <c r="X37" s="371">
        <v>14098</v>
      </c>
      <c r="Y37" s="367"/>
      <c r="Z37" s="371">
        <v>26732.080000000002</v>
      </c>
      <c r="AA37" s="372">
        <v>77</v>
      </c>
      <c r="AB37" s="367"/>
      <c r="AC37" s="371">
        <v>0</v>
      </c>
      <c r="AD37" s="371">
        <v>30067.759999999998</v>
      </c>
      <c r="AE37" s="372">
        <v>145</v>
      </c>
      <c r="AF37" s="373"/>
      <c r="AG37" s="371">
        <v>0</v>
      </c>
      <c r="AH37" s="371">
        <v>31626.44</v>
      </c>
      <c r="AI37" s="372">
        <v>162</v>
      </c>
      <c r="AJ37" s="351" t="s">
        <v>138</v>
      </c>
      <c r="AK37" s="351"/>
      <c r="AN37" s="371">
        <v>0</v>
      </c>
      <c r="AO37" s="371">
        <v>28743.11</v>
      </c>
      <c r="AP37" s="372">
        <v>81</v>
      </c>
      <c r="AQ37" s="373"/>
      <c r="AR37" s="371">
        <v>0</v>
      </c>
      <c r="AS37" s="371">
        <v>17789.419999999998</v>
      </c>
      <c r="AT37" s="372">
        <v>61</v>
      </c>
      <c r="AU37" s="367"/>
      <c r="AV37" s="371">
        <v>0</v>
      </c>
      <c r="AW37" s="371">
        <v>19559.93</v>
      </c>
      <c r="AX37" s="372">
        <v>74</v>
      </c>
      <c r="AY37" s="367"/>
      <c r="AZ37" s="371">
        <v>0</v>
      </c>
      <c r="BA37" s="371">
        <v>24654.26</v>
      </c>
      <c r="BB37" s="372">
        <v>60</v>
      </c>
      <c r="BC37" s="372"/>
      <c r="BD37" s="376" t="s">
        <v>845</v>
      </c>
    </row>
    <row r="38" spans="1:56" ht="15" customHeight="1" x14ac:dyDescent="0.2">
      <c r="A38" s="341"/>
      <c r="B38" s="412"/>
      <c r="C38" s="341"/>
      <c r="D38" s="367">
        <v>224</v>
      </c>
      <c r="E38" s="367"/>
      <c r="F38" s="368" t="s">
        <v>139</v>
      </c>
      <c r="G38" s="367"/>
      <c r="H38" s="368" t="s">
        <v>130</v>
      </c>
      <c r="I38" s="367"/>
      <c r="J38" s="369">
        <v>0</v>
      </c>
      <c r="K38" s="367"/>
      <c r="L38" s="368" t="s">
        <v>140</v>
      </c>
      <c r="M38" s="367"/>
      <c r="N38" s="367" t="s">
        <v>55</v>
      </c>
      <c r="O38" s="367"/>
      <c r="P38" s="341"/>
      <c r="Q38" s="351">
        <v>905</v>
      </c>
      <c r="R38" s="367">
        <v>22</v>
      </c>
      <c r="S38" s="371">
        <v>0</v>
      </c>
      <c r="T38" s="371">
        <v>3300</v>
      </c>
      <c r="U38" s="367"/>
      <c r="V38" s="372">
        <v>11</v>
      </c>
      <c r="W38" s="371">
        <v>0</v>
      </c>
      <c r="X38" s="371" t="s">
        <v>589</v>
      </c>
      <c r="Y38" s="367"/>
      <c r="Z38" s="371" t="s">
        <v>589</v>
      </c>
      <c r="AA38" s="372"/>
      <c r="AB38" s="367"/>
      <c r="AC38" s="371">
        <v>0</v>
      </c>
      <c r="AD38" s="371" t="s">
        <v>589</v>
      </c>
      <c r="AE38" s="372">
        <v>90</v>
      </c>
      <c r="AF38" s="373"/>
      <c r="AG38" s="371">
        <v>0</v>
      </c>
      <c r="AH38" s="371" t="s">
        <v>589</v>
      </c>
      <c r="AI38" s="372">
        <v>92</v>
      </c>
      <c r="AJ38" s="351" t="s">
        <v>141</v>
      </c>
      <c r="AK38" s="351"/>
      <c r="AN38" s="371">
        <v>0</v>
      </c>
      <c r="AO38" s="371" t="s">
        <v>589</v>
      </c>
      <c r="AP38" s="372">
        <v>70</v>
      </c>
      <c r="AQ38" s="373"/>
      <c r="AR38" s="371">
        <v>0</v>
      </c>
      <c r="AS38" s="371" t="s">
        <v>589</v>
      </c>
      <c r="AT38" s="372">
        <v>71</v>
      </c>
      <c r="AU38" s="352"/>
      <c r="AV38" s="377">
        <v>0</v>
      </c>
      <c r="AW38" s="387" t="s">
        <v>589</v>
      </c>
      <c r="AX38" s="378">
        <v>80</v>
      </c>
      <c r="AY38" s="352"/>
      <c r="AZ38" s="377">
        <v>0</v>
      </c>
      <c r="BA38" s="377">
        <v>0</v>
      </c>
      <c r="BB38" s="378">
        <v>0</v>
      </c>
      <c r="BC38" s="378"/>
      <c r="BD38" s="386" t="s">
        <v>846</v>
      </c>
    </row>
    <row r="39" spans="1:56" ht="15" customHeight="1" x14ac:dyDescent="0.2">
      <c r="A39" s="341"/>
      <c r="B39" s="412"/>
      <c r="C39" s="341"/>
      <c r="D39" s="367">
        <v>224</v>
      </c>
      <c r="E39" s="367"/>
      <c r="F39" s="368" t="s">
        <v>142</v>
      </c>
      <c r="G39" s="367"/>
      <c r="H39" s="368" t="s">
        <v>130</v>
      </c>
      <c r="I39" s="367"/>
      <c r="J39" s="369">
        <v>0</v>
      </c>
      <c r="K39" s="367"/>
      <c r="L39" s="368" t="s">
        <v>54</v>
      </c>
      <c r="M39" s="367"/>
      <c r="N39" s="367" t="s">
        <v>55</v>
      </c>
      <c r="O39" s="367"/>
      <c r="P39" s="341"/>
      <c r="Q39" s="351">
        <v>905</v>
      </c>
      <c r="R39" s="367">
        <v>10</v>
      </c>
      <c r="S39" s="371">
        <v>0</v>
      </c>
      <c r="T39" s="371">
        <v>3010</v>
      </c>
      <c r="U39" s="367"/>
      <c r="V39" s="372">
        <v>29</v>
      </c>
      <c r="W39" s="371">
        <v>0</v>
      </c>
      <c r="X39" s="371">
        <v>4495</v>
      </c>
      <c r="Y39" s="367"/>
      <c r="Z39" s="371">
        <v>4832</v>
      </c>
      <c r="AA39" s="372">
        <v>33</v>
      </c>
      <c r="AB39" s="367"/>
      <c r="AC39" s="371">
        <v>0</v>
      </c>
      <c r="AD39" s="371">
        <v>6252.21</v>
      </c>
      <c r="AE39" s="372">
        <v>35</v>
      </c>
      <c r="AF39" s="373"/>
      <c r="AG39" s="371">
        <v>0</v>
      </c>
      <c r="AH39" s="371">
        <v>2452</v>
      </c>
      <c r="AI39" s="372">
        <v>26</v>
      </c>
      <c r="AJ39" s="351" t="s">
        <v>143</v>
      </c>
      <c r="AK39" s="351"/>
      <c r="AN39" s="371">
        <v>0</v>
      </c>
      <c r="AO39" s="371">
        <v>3955.04</v>
      </c>
      <c r="AP39" s="372">
        <v>17</v>
      </c>
      <c r="AQ39" s="373"/>
      <c r="AR39" s="371">
        <v>0</v>
      </c>
      <c r="AS39" s="371">
        <v>3255</v>
      </c>
      <c r="AT39" s="372">
        <v>12</v>
      </c>
      <c r="AU39" s="367"/>
      <c r="AV39" s="371">
        <v>0</v>
      </c>
      <c r="AW39" s="371">
        <v>5260</v>
      </c>
      <c r="AX39" s="372">
        <v>17</v>
      </c>
      <c r="AY39" s="367"/>
      <c r="AZ39" s="371">
        <v>0</v>
      </c>
      <c r="BA39" s="371">
        <v>1055</v>
      </c>
      <c r="BB39" s="372">
        <v>5</v>
      </c>
      <c r="BC39" s="372"/>
      <c r="BD39" s="376" t="s">
        <v>847</v>
      </c>
    </row>
    <row r="40" spans="1:56" ht="15" customHeight="1" x14ac:dyDescent="0.2">
      <c r="A40" s="341"/>
      <c r="B40" s="412"/>
      <c r="C40" s="341"/>
      <c r="D40" s="367">
        <v>224</v>
      </c>
      <c r="E40" s="367"/>
      <c r="F40" s="368" t="s">
        <v>87</v>
      </c>
      <c r="G40" s="367"/>
      <c r="H40" s="368" t="s">
        <v>848</v>
      </c>
      <c r="I40" s="367"/>
      <c r="J40" s="369">
        <v>20</v>
      </c>
      <c r="K40" s="367"/>
      <c r="L40" s="368" t="s">
        <v>144</v>
      </c>
      <c r="M40" s="367"/>
      <c r="N40" s="367" t="s">
        <v>55</v>
      </c>
      <c r="O40" s="367"/>
      <c r="P40" s="341"/>
      <c r="Q40" s="351">
        <v>905</v>
      </c>
      <c r="R40" s="367">
        <v>150</v>
      </c>
      <c r="S40" s="371">
        <v>0</v>
      </c>
      <c r="T40" s="371">
        <v>364500</v>
      </c>
      <c r="U40" s="367"/>
      <c r="V40" s="372">
        <v>331</v>
      </c>
      <c r="W40" s="371">
        <v>0</v>
      </c>
      <c r="X40" s="371">
        <v>442424.41</v>
      </c>
      <c r="Y40" s="367"/>
      <c r="Z40" s="371">
        <v>445196.81</v>
      </c>
      <c r="AA40" s="372">
        <v>301</v>
      </c>
      <c r="AB40" s="367"/>
      <c r="AC40" s="371">
        <v>0</v>
      </c>
      <c r="AD40" s="371">
        <v>463034.28</v>
      </c>
      <c r="AE40" s="372">
        <v>369</v>
      </c>
      <c r="AF40" s="373"/>
      <c r="AG40" s="371">
        <v>0</v>
      </c>
      <c r="AH40" s="371">
        <v>473208.99</v>
      </c>
      <c r="AI40" s="372">
        <v>382</v>
      </c>
      <c r="AJ40" s="351" t="s">
        <v>145</v>
      </c>
      <c r="AK40" s="351"/>
      <c r="AN40" s="371">
        <v>0</v>
      </c>
      <c r="AO40" s="371">
        <v>573941.73</v>
      </c>
      <c r="AP40" s="372">
        <v>403</v>
      </c>
      <c r="AQ40" s="373"/>
      <c r="AR40" s="371">
        <v>0</v>
      </c>
      <c r="AS40" s="371">
        <v>607399.26</v>
      </c>
      <c r="AT40" s="372">
        <v>402</v>
      </c>
      <c r="AU40" s="352"/>
      <c r="AV40" s="377">
        <v>0</v>
      </c>
      <c r="AW40" s="377">
        <v>672850.19</v>
      </c>
      <c r="AX40" s="378">
        <v>348</v>
      </c>
      <c r="AY40" s="352"/>
      <c r="AZ40" s="377">
        <v>0</v>
      </c>
      <c r="BA40" s="377">
        <v>650528.93999999994</v>
      </c>
      <c r="BB40" s="378">
        <v>355</v>
      </c>
      <c r="BC40" s="378"/>
      <c r="BD40" s="386" t="s">
        <v>713</v>
      </c>
    </row>
    <row r="41" spans="1:56" ht="15" customHeight="1" x14ac:dyDescent="0.2">
      <c r="A41" s="341"/>
      <c r="B41" s="412"/>
      <c r="C41" s="341"/>
      <c r="D41" s="367">
        <v>224</v>
      </c>
      <c r="E41" s="367"/>
      <c r="F41" s="368" t="s">
        <v>146</v>
      </c>
      <c r="G41" s="367"/>
      <c r="H41" s="368" t="s">
        <v>147</v>
      </c>
      <c r="I41" s="367"/>
      <c r="J41" s="369">
        <v>4</v>
      </c>
      <c r="K41" s="367"/>
      <c r="L41" s="368" t="s">
        <v>144</v>
      </c>
      <c r="M41" s="367"/>
      <c r="N41" s="367" t="s">
        <v>55</v>
      </c>
      <c r="O41" s="367"/>
      <c r="P41" s="341"/>
      <c r="Q41" s="351">
        <v>905</v>
      </c>
      <c r="R41" s="367">
        <v>20</v>
      </c>
      <c r="S41" s="371">
        <v>0</v>
      </c>
      <c r="T41" s="371">
        <v>2500</v>
      </c>
      <c r="U41" s="367"/>
      <c r="V41" s="372">
        <v>15</v>
      </c>
      <c r="W41" s="371">
        <v>0</v>
      </c>
      <c r="X41" s="371">
        <v>5400</v>
      </c>
      <c r="Y41" s="367"/>
      <c r="Z41" s="371">
        <v>46744.89</v>
      </c>
      <c r="AA41" s="372">
        <v>42</v>
      </c>
      <c r="AB41" s="367"/>
      <c r="AC41" s="371">
        <v>0</v>
      </c>
      <c r="AD41" s="371">
        <v>51737.1</v>
      </c>
      <c r="AE41" s="372">
        <v>50</v>
      </c>
      <c r="AF41" s="373"/>
      <c r="AG41" s="371">
        <v>0</v>
      </c>
      <c r="AH41" s="371">
        <v>24499.37</v>
      </c>
      <c r="AI41" s="372">
        <v>34</v>
      </c>
      <c r="AJ41" s="351" t="s">
        <v>145</v>
      </c>
      <c r="AK41" s="351"/>
      <c r="AN41" s="371">
        <v>0</v>
      </c>
      <c r="AO41" s="371">
        <v>1236</v>
      </c>
      <c r="AP41" s="372">
        <v>12</v>
      </c>
      <c r="AQ41" s="373"/>
      <c r="AR41" s="371">
        <v>0</v>
      </c>
      <c r="AS41" s="371">
        <v>2800</v>
      </c>
      <c r="AT41" s="372">
        <v>31</v>
      </c>
      <c r="AU41" s="367"/>
      <c r="AV41" s="371">
        <v>0</v>
      </c>
      <c r="AW41" s="371">
        <v>30050.78</v>
      </c>
      <c r="AX41" s="372">
        <v>19</v>
      </c>
      <c r="AY41" s="367"/>
      <c r="AZ41" s="371">
        <v>0</v>
      </c>
      <c r="BA41" s="371">
        <v>30699.55</v>
      </c>
      <c r="BB41" s="372">
        <v>12</v>
      </c>
      <c r="BC41" s="372"/>
      <c r="BD41" s="376" t="s">
        <v>713</v>
      </c>
    </row>
    <row r="42" spans="1:56" ht="15" customHeight="1" x14ac:dyDescent="0.2">
      <c r="A42" s="341"/>
      <c r="B42" s="412" t="s">
        <v>148</v>
      </c>
      <c r="C42" s="341"/>
      <c r="D42" s="367">
        <v>225</v>
      </c>
      <c r="E42" s="367"/>
      <c r="F42" s="368" t="s">
        <v>129</v>
      </c>
      <c r="G42" s="367"/>
      <c r="H42" s="368" t="s">
        <v>53</v>
      </c>
      <c r="I42" s="367"/>
      <c r="J42" s="369">
        <v>300</v>
      </c>
      <c r="K42" s="367"/>
      <c r="L42" s="368" t="s">
        <v>149</v>
      </c>
      <c r="M42" s="367"/>
      <c r="N42" s="367" t="s">
        <v>55</v>
      </c>
      <c r="O42" s="367"/>
      <c r="P42" s="341"/>
      <c r="Q42" s="351">
        <v>905</v>
      </c>
      <c r="R42" s="375">
        <v>16525</v>
      </c>
      <c r="S42" s="371">
        <v>0</v>
      </c>
      <c r="T42" s="371">
        <v>1861543.95</v>
      </c>
      <c r="U42" s="367"/>
      <c r="V42" s="372" t="s">
        <v>590</v>
      </c>
      <c r="W42" s="371">
        <v>0</v>
      </c>
      <c r="X42" s="371">
        <v>1878493</v>
      </c>
      <c r="Y42" s="367"/>
      <c r="Z42" s="371">
        <v>1907780</v>
      </c>
      <c r="AA42" s="372" t="s">
        <v>634</v>
      </c>
      <c r="AB42" s="367"/>
      <c r="AC42" s="371">
        <v>0</v>
      </c>
      <c r="AD42" s="371">
        <v>1910172</v>
      </c>
      <c r="AE42" s="372">
        <v>18971</v>
      </c>
      <c r="AF42" s="373"/>
      <c r="AG42" s="371">
        <v>0</v>
      </c>
      <c r="AH42" s="371">
        <v>1972137</v>
      </c>
      <c r="AI42" s="372">
        <v>20621</v>
      </c>
      <c r="AJ42" s="351" t="s">
        <v>150</v>
      </c>
      <c r="AK42" s="351"/>
      <c r="AL42" s="351" t="s">
        <v>151</v>
      </c>
      <c r="AN42" s="371">
        <v>0</v>
      </c>
      <c r="AO42" s="371">
        <v>1918398</v>
      </c>
      <c r="AP42" s="372">
        <v>8859</v>
      </c>
      <c r="AQ42" s="373"/>
      <c r="AR42" s="371">
        <v>0</v>
      </c>
      <c r="AS42" s="371">
        <v>1886139</v>
      </c>
      <c r="AT42" s="372">
        <v>8651</v>
      </c>
      <c r="AU42" s="385"/>
      <c r="AV42" s="377">
        <v>0</v>
      </c>
      <c r="AW42" s="377">
        <v>1799363</v>
      </c>
      <c r="AX42" s="378">
        <v>8173</v>
      </c>
      <c r="AY42" s="385"/>
      <c r="AZ42" s="377">
        <v>0</v>
      </c>
      <c r="BA42" s="377">
        <v>1868198</v>
      </c>
      <c r="BB42" s="378">
        <v>8458</v>
      </c>
      <c r="BC42" s="378"/>
      <c r="BD42" s="386" t="s">
        <v>707</v>
      </c>
    </row>
    <row r="43" spans="1:56" ht="15" customHeight="1" x14ac:dyDescent="0.2">
      <c r="A43" s="341"/>
      <c r="B43" s="412"/>
      <c r="C43" s="341"/>
      <c r="D43" s="367">
        <v>225</v>
      </c>
      <c r="E43" s="341"/>
      <c r="F43" s="368" t="s">
        <v>87</v>
      </c>
      <c r="G43" s="341"/>
      <c r="H43" s="368" t="s">
        <v>53</v>
      </c>
      <c r="I43" s="341"/>
      <c r="J43" s="369" t="s">
        <v>849</v>
      </c>
      <c r="K43" s="367"/>
      <c r="L43" s="368" t="s">
        <v>126</v>
      </c>
      <c r="M43" s="367"/>
      <c r="N43" s="367" t="s">
        <v>55</v>
      </c>
      <c r="O43" s="341"/>
      <c r="P43" s="370">
        <v>39995</v>
      </c>
      <c r="Q43" s="351">
        <v>905</v>
      </c>
      <c r="R43" s="367"/>
      <c r="S43" s="371">
        <v>0</v>
      </c>
      <c r="T43" s="371">
        <v>770112</v>
      </c>
      <c r="U43" s="367"/>
      <c r="V43" s="372"/>
      <c r="W43" s="371">
        <v>0</v>
      </c>
      <c r="X43" s="371">
        <v>819087.43</v>
      </c>
      <c r="Y43" s="341"/>
      <c r="Z43" s="371">
        <v>1057003</v>
      </c>
      <c r="AA43" s="372"/>
      <c r="AB43" s="367"/>
      <c r="AC43" s="371">
        <v>0</v>
      </c>
      <c r="AD43" s="371">
        <v>873362</v>
      </c>
      <c r="AE43" s="372"/>
      <c r="AF43" s="373"/>
      <c r="AG43" s="371">
        <v>0</v>
      </c>
      <c r="AH43" s="371">
        <v>1040023</v>
      </c>
      <c r="AI43" s="372" t="e">
        <f>AH43/J43</f>
        <v>#VALUE!</v>
      </c>
      <c r="AJ43" s="351" t="s">
        <v>152</v>
      </c>
      <c r="AK43" s="351"/>
      <c r="AL43" s="351" t="s">
        <v>153</v>
      </c>
      <c r="AN43" s="371">
        <v>0</v>
      </c>
      <c r="AO43" s="371">
        <v>1230319</v>
      </c>
      <c r="AP43" s="380" t="s">
        <v>850</v>
      </c>
      <c r="AQ43" s="373"/>
      <c r="AR43" s="371">
        <v>0</v>
      </c>
      <c r="AS43" s="371">
        <v>1352898</v>
      </c>
      <c r="AT43" s="372">
        <v>1648</v>
      </c>
      <c r="AU43" s="367"/>
      <c r="AV43" s="371">
        <v>0</v>
      </c>
      <c r="AW43" s="371">
        <v>1425201</v>
      </c>
      <c r="AX43" s="372">
        <v>1668</v>
      </c>
      <c r="AY43" s="367"/>
      <c r="AZ43" s="371">
        <v>0</v>
      </c>
      <c r="BA43" s="371">
        <v>1376857</v>
      </c>
      <c r="BB43" s="372">
        <v>1722</v>
      </c>
      <c r="BC43" s="372"/>
      <c r="BD43" s="376" t="s">
        <v>707</v>
      </c>
    </row>
    <row r="44" spans="1:56" ht="15" customHeight="1" x14ac:dyDescent="0.2">
      <c r="A44" s="341"/>
      <c r="B44" s="412"/>
      <c r="C44" s="341"/>
      <c r="D44" s="367">
        <v>225</v>
      </c>
      <c r="E44" s="341"/>
      <c r="F44" s="368" t="s">
        <v>155</v>
      </c>
      <c r="G44" s="341"/>
      <c r="H44" s="368" t="s">
        <v>53</v>
      </c>
      <c r="I44" s="341"/>
      <c r="J44" s="369">
        <v>30</v>
      </c>
      <c r="K44" s="367"/>
      <c r="L44" s="368" t="s">
        <v>156</v>
      </c>
      <c r="M44" s="367"/>
      <c r="N44" s="367" t="s">
        <v>55</v>
      </c>
      <c r="O44" s="341"/>
      <c r="P44" s="370">
        <v>37438</v>
      </c>
      <c r="Q44" s="351">
        <v>905</v>
      </c>
      <c r="R44" s="367">
        <v>621</v>
      </c>
      <c r="S44" s="371">
        <v>0</v>
      </c>
      <c r="T44" s="371">
        <v>17774</v>
      </c>
      <c r="U44" s="367"/>
      <c r="V44" s="372" t="s">
        <v>591</v>
      </c>
      <c r="W44" s="371">
        <v>0</v>
      </c>
      <c r="X44" s="371">
        <v>20372</v>
      </c>
      <c r="Y44" s="341"/>
      <c r="Z44" s="371">
        <v>20418</v>
      </c>
      <c r="AA44" s="372">
        <v>687</v>
      </c>
      <c r="AB44" s="367"/>
      <c r="AC44" s="371">
        <v>0</v>
      </c>
      <c r="AD44" s="371">
        <v>20110</v>
      </c>
      <c r="AE44" s="372">
        <v>687</v>
      </c>
      <c r="AF44" s="373"/>
      <c r="AG44" s="371">
        <v>0</v>
      </c>
      <c r="AH44" s="371">
        <v>20390</v>
      </c>
      <c r="AI44" s="372">
        <v>710</v>
      </c>
      <c r="AJ44" s="351" t="s">
        <v>157</v>
      </c>
      <c r="AK44" s="351"/>
      <c r="AL44" s="351" t="s">
        <v>158</v>
      </c>
      <c r="AN44" s="371">
        <v>0</v>
      </c>
      <c r="AO44" s="371">
        <v>18396</v>
      </c>
      <c r="AP44" s="388" t="s">
        <v>851</v>
      </c>
      <c r="AQ44" s="373"/>
      <c r="AR44" s="371">
        <v>0</v>
      </c>
      <c r="AS44" s="371">
        <v>23002</v>
      </c>
      <c r="AT44" s="388" t="s">
        <v>852</v>
      </c>
      <c r="AU44" s="367"/>
      <c r="AV44" s="371">
        <v>0</v>
      </c>
      <c r="AW44" s="371">
        <v>23205</v>
      </c>
      <c r="AX44" s="388" t="s">
        <v>853</v>
      </c>
      <c r="AY44" s="367"/>
      <c r="AZ44" s="371">
        <v>0</v>
      </c>
      <c r="BA44" s="371">
        <v>20918</v>
      </c>
      <c r="BB44" s="388" t="s">
        <v>854</v>
      </c>
      <c r="BC44" s="372"/>
      <c r="BD44" s="376" t="s">
        <v>713</v>
      </c>
    </row>
    <row r="45" spans="1:56" ht="15" customHeight="1" x14ac:dyDescent="0.2">
      <c r="A45" s="341"/>
      <c r="B45" s="412"/>
      <c r="C45" s="341"/>
      <c r="D45" s="367">
        <v>225</v>
      </c>
      <c r="E45" s="341"/>
      <c r="F45" s="368" t="s">
        <v>159</v>
      </c>
      <c r="G45" s="341"/>
      <c r="H45" s="368" t="s">
        <v>53</v>
      </c>
      <c r="I45" s="341"/>
      <c r="J45" s="369">
        <v>6</v>
      </c>
      <c r="K45" s="367"/>
      <c r="L45" s="368" t="s">
        <v>78</v>
      </c>
      <c r="M45" s="367"/>
      <c r="N45" s="367" t="s">
        <v>55</v>
      </c>
      <c r="O45" s="341"/>
      <c r="P45" s="370">
        <v>39995</v>
      </c>
      <c r="Q45" s="351">
        <v>905</v>
      </c>
      <c r="R45" s="367">
        <v>692</v>
      </c>
      <c r="S45" s="371">
        <v>0</v>
      </c>
      <c r="T45" s="371">
        <v>4125</v>
      </c>
      <c r="U45" s="367"/>
      <c r="V45" s="372" t="s">
        <v>592</v>
      </c>
      <c r="W45" s="371">
        <v>0</v>
      </c>
      <c r="X45" s="371">
        <v>44249.82</v>
      </c>
      <c r="Y45" s="341"/>
      <c r="Z45" s="371">
        <v>57355</v>
      </c>
      <c r="AA45" s="372">
        <v>9319</v>
      </c>
      <c r="AB45" s="367"/>
      <c r="AC45" s="371">
        <v>0</v>
      </c>
      <c r="AD45" s="371">
        <v>60019</v>
      </c>
      <c r="AE45" s="372">
        <v>10056</v>
      </c>
      <c r="AF45" s="373"/>
      <c r="AG45" s="371">
        <v>0</v>
      </c>
      <c r="AH45" s="371">
        <v>67379</v>
      </c>
      <c r="AI45" s="372">
        <v>11353</v>
      </c>
      <c r="AJ45" s="351" t="s">
        <v>160</v>
      </c>
      <c r="AK45" s="351"/>
      <c r="AL45" s="351" t="s">
        <v>158</v>
      </c>
      <c r="AN45" s="371">
        <v>0</v>
      </c>
      <c r="AO45" s="371">
        <v>65061</v>
      </c>
      <c r="AP45" s="388" t="s">
        <v>855</v>
      </c>
      <c r="AQ45" s="373"/>
      <c r="AR45" s="371">
        <v>0</v>
      </c>
      <c r="AS45" s="371">
        <v>71774</v>
      </c>
      <c r="AT45" s="388" t="s">
        <v>856</v>
      </c>
      <c r="AU45" s="352"/>
      <c r="AV45" s="377">
        <v>0</v>
      </c>
      <c r="AW45" s="377">
        <v>69493</v>
      </c>
      <c r="AX45" s="389" t="s">
        <v>857</v>
      </c>
      <c r="AY45" s="352"/>
      <c r="AZ45" s="377">
        <v>0</v>
      </c>
      <c r="BA45" s="377">
        <v>66661</v>
      </c>
      <c r="BB45" s="389" t="s">
        <v>858</v>
      </c>
      <c r="BC45" s="378"/>
      <c r="BD45" s="386" t="s">
        <v>713</v>
      </c>
    </row>
    <row r="46" spans="1:56" ht="15" customHeight="1" x14ac:dyDescent="0.2">
      <c r="A46" s="341"/>
      <c r="B46" s="412"/>
      <c r="C46" s="341"/>
      <c r="D46" s="367">
        <v>225</v>
      </c>
      <c r="E46" s="341"/>
      <c r="F46" s="368" t="s">
        <v>161</v>
      </c>
      <c r="G46" s="341"/>
      <c r="H46" s="368" t="s">
        <v>53</v>
      </c>
      <c r="I46" s="341"/>
      <c r="J46" s="369">
        <v>20</v>
      </c>
      <c r="K46" s="367"/>
      <c r="L46" s="368" t="s">
        <v>162</v>
      </c>
      <c r="M46" s="367"/>
      <c r="N46" s="367" t="s">
        <v>55</v>
      </c>
      <c r="O46" s="341"/>
      <c r="P46" s="370">
        <v>39630</v>
      </c>
      <c r="Q46" s="351">
        <v>905</v>
      </c>
      <c r="R46" s="367">
        <v>281</v>
      </c>
      <c r="S46" s="371">
        <v>0</v>
      </c>
      <c r="T46" s="371">
        <v>5454</v>
      </c>
      <c r="U46" s="367"/>
      <c r="V46" s="372" t="s">
        <v>593</v>
      </c>
      <c r="W46" s="371">
        <v>0</v>
      </c>
      <c r="X46" s="371">
        <v>4146.32</v>
      </c>
      <c r="Y46" s="341"/>
      <c r="Z46" s="371">
        <v>3151</v>
      </c>
      <c r="AA46" s="372">
        <v>247</v>
      </c>
      <c r="AB46" s="367"/>
      <c r="AC46" s="371">
        <v>0</v>
      </c>
      <c r="AD46" s="371">
        <v>2771</v>
      </c>
      <c r="AE46" s="372">
        <v>217</v>
      </c>
      <c r="AF46" s="373"/>
      <c r="AG46" s="371">
        <v>0</v>
      </c>
      <c r="AH46" s="371">
        <v>3144</v>
      </c>
      <c r="AI46" s="372">
        <v>249</v>
      </c>
      <c r="AJ46" s="351" t="s">
        <v>163</v>
      </c>
      <c r="AK46" s="351"/>
      <c r="AL46" s="351" t="s">
        <v>158</v>
      </c>
      <c r="AN46" s="371">
        <v>0</v>
      </c>
      <c r="AO46" s="371">
        <v>3430</v>
      </c>
      <c r="AP46" s="388" t="s">
        <v>859</v>
      </c>
      <c r="AQ46" s="373"/>
      <c r="AR46" s="371">
        <v>0</v>
      </c>
      <c r="AS46" s="371">
        <v>3569</v>
      </c>
      <c r="AT46" s="388" t="s">
        <v>202</v>
      </c>
      <c r="AU46" s="367"/>
      <c r="AV46" s="371">
        <v>0</v>
      </c>
      <c r="AW46" s="371">
        <v>3059</v>
      </c>
      <c r="AX46" s="388" t="s">
        <v>860</v>
      </c>
      <c r="AY46" s="367"/>
      <c r="AZ46" s="371">
        <v>0</v>
      </c>
      <c r="BA46" s="371">
        <v>2974</v>
      </c>
      <c r="BB46" s="388" t="s">
        <v>861</v>
      </c>
      <c r="BC46" s="372"/>
      <c r="BD46" s="376" t="s">
        <v>713</v>
      </c>
    </row>
    <row r="47" spans="1:56" ht="15" customHeight="1" x14ac:dyDescent="0.2">
      <c r="A47" s="341"/>
      <c r="B47" s="412"/>
      <c r="C47" s="341"/>
      <c r="D47" s="367">
        <v>225</v>
      </c>
      <c r="E47" s="341"/>
      <c r="F47" s="368" t="s">
        <v>164</v>
      </c>
      <c r="G47" s="341"/>
      <c r="H47" s="368" t="s">
        <v>53</v>
      </c>
      <c r="I47" s="341"/>
      <c r="J47" s="390">
        <v>0.75</v>
      </c>
      <c r="K47" s="367"/>
      <c r="L47" s="368" t="s">
        <v>162</v>
      </c>
      <c r="M47" s="367"/>
      <c r="N47" s="367" t="s">
        <v>55</v>
      </c>
      <c r="O47" s="341"/>
      <c r="P47" s="370">
        <v>39995</v>
      </c>
      <c r="Q47" s="351">
        <v>905</v>
      </c>
      <c r="R47" s="367">
        <v>130</v>
      </c>
      <c r="S47" s="371">
        <v>0</v>
      </c>
      <c r="T47" s="371">
        <v>97</v>
      </c>
      <c r="U47" s="367"/>
      <c r="V47" s="372" t="s">
        <v>594</v>
      </c>
      <c r="W47" s="371">
        <v>0</v>
      </c>
      <c r="X47" s="371">
        <v>67.25</v>
      </c>
      <c r="Y47" s="341"/>
      <c r="Z47" s="371">
        <v>130</v>
      </c>
      <c r="AA47" s="372">
        <v>173</v>
      </c>
      <c r="AB47" s="367"/>
      <c r="AC47" s="371">
        <v>0</v>
      </c>
      <c r="AD47" s="371">
        <v>92</v>
      </c>
      <c r="AE47" s="372">
        <v>123</v>
      </c>
      <c r="AF47" s="373"/>
      <c r="AG47" s="371">
        <v>0</v>
      </c>
      <c r="AH47" s="371">
        <v>132</v>
      </c>
      <c r="AI47" s="372">
        <v>176</v>
      </c>
      <c r="AJ47" s="351" t="s">
        <v>165</v>
      </c>
      <c r="AK47" s="351"/>
      <c r="AL47" s="351" t="s">
        <v>158</v>
      </c>
      <c r="AN47" s="371">
        <v>0</v>
      </c>
      <c r="AO47" s="371">
        <v>120</v>
      </c>
      <c r="AP47" s="388" t="s">
        <v>862</v>
      </c>
      <c r="AQ47" s="373"/>
      <c r="AR47" s="371">
        <v>0</v>
      </c>
      <c r="AS47" s="371">
        <v>170</v>
      </c>
      <c r="AT47" s="388" t="s">
        <v>863</v>
      </c>
      <c r="AU47" s="352"/>
      <c r="AV47" s="377">
        <v>0</v>
      </c>
      <c r="AW47" s="377">
        <v>224</v>
      </c>
      <c r="AX47" s="389" t="s">
        <v>864</v>
      </c>
      <c r="AY47" s="352"/>
      <c r="AZ47" s="377">
        <v>0</v>
      </c>
      <c r="BA47" s="377">
        <v>207</v>
      </c>
      <c r="BB47" s="389" t="s">
        <v>865</v>
      </c>
      <c r="BC47" s="378"/>
      <c r="BD47" s="386" t="s">
        <v>713</v>
      </c>
    </row>
    <row r="48" spans="1:56" ht="15" customHeight="1" x14ac:dyDescent="0.2">
      <c r="A48" s="341"/>
      <c r="B48" s="412"/>
      <c r="C48" s="341"/>
      <c r="D48" s="367">
        <v>225</v>
      </c>
      <c r="E48" s="341"/>
      <c r="F48" s="368" t="s">
        <v>166</v>
      </c>
      <c r="G48" s="341"/>
      <c r="H48" s="368" t="s">
        <v>53</v>
      </c>
      <c r="I48" s="341"/>
      <c r="J48" s="369">
        <v>7</v>
      </c>
      <c r="K48" s="367"/>
      <c r="L48" s="368" t="s">
        <v>162</v>
      </c>
      <c r="M48" s="367"/>
      <c r="N48" s="367" t="s">
        <v>55</v>
      </c>
      <c r="O48" s="341"/>
      <c r="P48" s="370">
        <v>39995</v>
      </c>
      <c r="Q48" s="351">
        <v>905</v>
      </c>
      <c r="R48" s="367">
        <v>408</v>
      </c>
      <c r="S48" s="371">
        <v>0</v>
      </c>
      <c r="T48" s="371">
        <v>2835</v>
      </c>
      <c r="U48" s="367"/>
      <c r="V48" s="372" t="s">
        <v>595</v>
      </c>
      <c r="W48" s="371">
        <v>0</v>
      </c>
      <c r="X48" s="371">
        <v>3402.57</v>
      </c>
      <c r="Y48" s="341"/>
      <c r="Z48" s="371">
        <v>3270</v>
      </c>
      <c r="AA48" s="372">
        <v>502</v>
      </c>
      <c r="AB48" s="367"/>
      <c r="AC48" s="371">
        <v>0</v>
      </c>
      <c r="AD48" s="371">
        <v>3541</v>
      </c>
      <c r="AE48" s="372">
        <v>516</v>
      </c>
      <c r="AF48" s="373"/>
      <c r="AG48" s="371">
        <v>0</v>
      </c>
      <c r="AH48" s="371">
        <v>3600</v>
      </c>
      <c r="AI48" s="372">
        <v>522</v>
      </c>
      <c r="AJ48" s="351" t="s">
        <v>167</v>
      </c>
      <c r="AK48" s="351"/>
      <c r="AL48" s="351" t="s">
        <v>158</v>
      </c>
      <c r="AN48" s="371">
        <v>0</v>
      </c>
      <c r="AO48" s="371">
        <v>3164</v>
      </c>
      <c r="AP48" s="388" t="s">
        <v>866</v>
      </c>
      <c r="AQ48" s="373"/>
      <c r="AR48" s="371">
        <v>0</v>
      </c>
      <c r="AS48" s="371">
        <v>3979</v>
      </c>
      <c r="AT48" s="388" t="s">
        <v>867</v>
      </c>
      <c r="AU48" s="367"/>
      <c r="AV48" s="371">
        <v>0</v>
      </c>
      <c r="AW48" s="371">
        <v>3586</v>
      </c>
      <c r="AX48" s="388" t="s">
        <v>868</v>
      </c>
      <c r="AY48" s="367"/>
      <c r="AZ48" s="371">
        <v>0</v>
      </c>
      <c r="BA48" s="371">
        <v>3115</v>
      </c>
      <c r="BB48" s="388" t="s">
        <v>869</v>
      </c>
      <c r="BC48" s="372"/>
      <c r="BD48" s="376" t="s">
        <v>713</v>
      </c>
    </row>
    <row r="49" spans="1:56" ht="15" customHeight="1" x14ac:dyDescent="0.2">
      <c r="A49" s="341"/>
      <c r="B49" s="412"/>
      <c r="C49" s="341"/>
      <c r="D49" s="367">
        <v>225</v>
      </c>
      <c r="E49" s="341"/>
      <c r="F49" s="368" t="s">
        <v>168</v>
      </c>
      <c r="G49" s="341"/>
      <c r="H49" s="368" t="s">
        <v>53</v>
      </c>
      <c r="I49" s="341"/>
      <c r="J49" s="369">
        <v>35</v>
      </c>
      <c r="K49" s="367"/>
      <c r="L49" s="368" t="s">
        <v>156</v>
      </c>
      <c r="M49" s="367"/>
      <c r="N49" s="367" t="s">
        <v>55</v>
      </c>
      <c r="O49" s="341"/>
      <c r="P49" s="370">
        <v>37438</v>
      </c>
      <c r="Q49" s="351">
        <v>905</v>
      </c>
      <c r="R49" s="367">
        <v>33</v>
      </c>
      <c r="S49" s="371">
        <v>0</v>
      </c>
      <c r="T49" s="371">
        <v>960</v>
      </c>
      <c r="U49" s="367"/>
      <c r="V49" s="372" t="s">
        <v>596</v>
      </c>
      <c r="W49" s="371">
        <v>0</v>
      </c>
      <c r="X49" s="371">
        <v>1295</v>
      </c>
      <c r="Y49" s="341"/>
      <c r="Z49" s="371">
        <v>2560</v>
      </c>
      <c r="AA49" s="372" t="s">
        <v>625</v>
      </c>
      <c r="AB49" s="367"/>
      <c r="AC49" s="371">
        <v>0</v>
      </c>
      <c r="AD49" s="371">
        <v>2124</v>
      </c>
      <c r="AE49" s="372">
        <v>64</v>
      </c>
      <c r="AF49" s="373"/>
      <c r="AG49" s="371">
        <v>0</v>
      </c>
      <c r="AH49" s="371">
        <v>1910</v>
      </c>
      <c r="AI49" s="372">
        <v>60</v>
      </c>
      <c r="AJ49" s="351" t="s">
        <v>169</v>
      </c>
      <c r="AK49" s="351"/>
      <c r="AL49" s="351" t="s">
        <v>158</v>
      </c>
      <c r="AN49" s="371">
        <v>0</v>
      </c>
      <c r="AO49" s="371">
        <v>2248</v>
      </c>
      <c r="AP49" s="372">
        <v>64</v>
      </c>
      <c r="AQ49" s="373"/>
      <c r="AR49" s="371">
        <v>0</v>
      </c>
      <c r="AS49" s="371">
        <v>3945</v>
      </c>
      <c r="AT49" s="372">
        <v>103</v>
      </c>
      <c r="AU49" s="352"/>
      <c r="AV49" s="377">
        <v>0</v>
      </c>
      <c r="AW49" s="377">
        <v>4593</v>
      </c>
      <c r="AX49" s="378">
        <v>114</v>
      </c>
      <c r="AY49" s="352"/>
      <c r="AZ49" s="377">
        <v>0</v>
      </c>
      <c r="BA49" s="377">
        <v>4585</v>
      </c>
      <c r="BB49" s="378">
        <v>120</v>
      </c>
      <c r="BC49" s="378"/>
      <c r="BD49" s="386" t="s">
        <v>713</v>
      </c>
    </row>
    <row r="50" spans="1:56" ht="15" customHeight="1" x14ac:dyDescent="0.2">
      <c r="A50" s="341"/>
      <c r="B50" s="412"/>
      <c r="C50" s="341"/>
      <c r="D50" s="367">
        <v>225</v>
      </c>
      <c r="E50" s="341"/>
      <c r="F50" s="368" t="s">
        <v>170</v>
      </c>
      <c r="G50" s="341"/>
      <c r="H50" s="368" t="s">
        <v>53</v>
      </c>
      <c r="I50" s="341"/>
      <c r="J50" s="369">
        <v>25</v>
      </c>
      <c r="K50" s="367"/>
      <c r="L50" s="368" t="s">
        <v>78</v>
      </c>
      <c r="M50" s="367"/>
      <c r="N50" s="367" t="s">
        <v>55</v>
      </c>
      <c r="O50" s="341"/>
      <c r="P50" s="370">
        <v>38534</v>
      </c>
      <c r="Q50" s="351">
        <v>905</v>
      </c>
      <c r="R50" s="375">
        <v>7590</v>
      </c>
      <c r="S50" s="371">
        <v>0</v>
      </c>
      <c r="T50" s="371">
        <v>151306</v>
      </c>
      <c r="U50" s="367"/>
      <c r="V50" s="372" t="s">
        <v>597</v>
      </c>
      <c r="W50" s="371">
        <v>0</v>
      </c>
      <c r="X50" s="371">
        <v>116764.3</v>
      </c>
      <c r="Y50" s="341"/>
      <c r="Z50" s="371">
        <v>135345</v>
      </c>
      <c r="AA50" s="372" t="s">
        <v>626</v>
      </c>
      <c r="AB50" s="367"/>
      <c r="AC50" s="371">
        <v>0</v>
      </c>
      <c r="AD50" s="371">
        <v>147540</v>
      </c>
      <c r="AE50" s="372">
        <v>7532</v>
      </c>
      <c r="AF50" s="373"/>
      <c r="AG50" s="371">
        <v>0</v>
      </c>
      <c r="AH50" s="371">
        <v>180114</v>
      </c>
      <c r="AI50" s="372">
        <v>8954</v>
      </c>
      <c r="AJ50" s="351" t="s">
        <v>171</v>
      </c>
      <c r="AK50" s="351"/>
      <c r="AL50" s="351" t="s">
        <v>158</v>
      </c>
      <c r="AN50" s="371">
        <v>0</v>
      </c>
      <c r="AO50" s="371">
        <v>213790</v>
      </c>
      <c r="AP50" s="372">
        <v>746</v>
      </c>
      <c r="AQ50" s="373"/>
      <c r="AR50" s="371">
        <v>0</v>
      </c>
      <c r="AS50" s="371">
        <v>261866</v>
      </c>
      <c r="AT50" s="372">
        <v>802</v>
      </c>
      <c r="AU50" s="367"/>
      <c r="AV50" s="371">
        <v>0</v>
      </c>
      <c r="AW50" s="371">
        <v>278779</v>
      </c>
      <c r="AX50" s="372">
        <v>767</v>
      </c>
      <c r="AY50" s="367"/>
      <c r="AZ50" s="371">
        <v>0</v>
      </c>
      <c r="BA50" s="371">
        <v>266530</v>
      </c>
      <c r="BB50" s="372">
        <v>745</v>
      </c>
      <c r="BC50" s="372"/>
      <c r="BD50" s="376" t="s">
        <v>713</v>
      </c>
    </row>
    <row r="51" spans="1:56" ht="15" customHeight="1" x14ac:dyDescent="0.2">
      <c r="A51" s="341"/>
      <c r="B51" s="412"/>
      <c r="C51" s="341"/>
      <c r="D51" s="367">
        <v>225</v>
      </c>
      <c r="E51" s="341"/>
      <c r="F51" s="368" t="s">
        <v>172</v>
      </c>
      <c r="G51" s="341"/>
      <c r="H51" s="368" t="s">
        <v>53</v>
      </c>
      <c r="I51" s="341"/>
      <c r="J51" s="369">
        <v>80</v>
      </c>
      <c r="K51" s="367"/>
      <c r="L51" s="368" t="s">
        <v>156</v>
      </c>
      <c r="M51" s="367"/>
      <c r="N51" s="367" t="s">
        <v>55</v>
      </c>
      <c r="O51" s="341"/>
      <c r="P51" s="370">
        <v>38534</v>
      </c>
      <c r="Q51" s="351">
        <v>905</v>
      </c>
      <c r="R51" s="367">
        <v>317</v>
      </c>
      <c r="S51" s="371">
        <v>0</v>
      </c>
      <c r="T51" s="371">
        <v>24515</v>
      </c>
      <c r="U51" s="367"/>
      <c r="V51" s="372" t="s">
        <v>598</v>
      </c>
      <c r="W51" s="371">
        <v>0</v>
      </c>
      <c r="X51" s="371">
        <v>22153.91</v>
      </c>
      <c r="Y51" s="341"/>
      <c r="Z51" s="371">
        <v>29130</v>
      </c>
      <c r="AA51" s="372" t="s">
        <v>627</v>
      </c>
      <c r="AB51" s="367"/>
      <c r="AC51" s="371">
        <v>0</v>
      </c>
      <c r="AD51" s="371">
        <v>33073</v>
      </c>
      <c r="AE51" s="372">
        <v>616</v>
      </c>
      <c r="AF51" s="373"/>
      <c r="AG51" s="371">
        <v>0</v>
      </c>
      <c r="AH51" s="371">
        <v>35565</v>
      </c>
      <c r="AI51" s="372">
        <v>682</v>
      </c>
      <c r="AJ51" s="351" t="s">
        <v>171</v>
      </c>
      <c r="AK51" s="351"/>
      <c r="AL51" s="351" t="s">
        <v>158</v>
      </c>
      <c r="AN51" s="371">
        <v>0</v>
      </c>
      <c r="AO51" s="371">
        <v>26975</v>
      </c>
      <c r="AP51" s="372">
        <v>585</v>
      </c>
      <c r="AQ51" s="373"/>
      <c r="AR51" s="371">
        <v>0</v>
      </c>
      <c r="AS51" s="371">
        <v>7575</v>
      </c>
      <c r="AT51" s="372">
        <v>312</v>
      </c>
      <c r="AU51" s="352"/>
      <c r="AV51" s="377">
        <v>0</v>
      </c>
      <c r="AW51" s="377">
        <v>5770</v>
      </c>
      <c r="AX51" s="378">
        <v>254</v>
      </c>
      <c r="AY51" s="352"/>
      <c r="AZ51" s="377">
        <v>0</v>
      </c>
      <c r="BA51" s="377">
        <v>5447</v>
      </c>
      <c r="BB51" s="378">
        <v>216</v>
      </c>
      <c r="BC51" s="378"/>
      <c r="BD51" s="386" t="s">
        <v>713</v>
      </c>
    </row>
    <row r="52" spans="1:56" ht="15" customHeight="1" x14ac:dyDescent="0.2">
      <c r="A52" s="341"/>
      <c r="B52" s="412"/>
      <c r="C52" s="341"/>
      <c r="D52" s="367">
        <v>225</v>
      </c>
      <c r="E52" s="341"/>
      <c r="F52" s="368" t="s">
        <v>870</v>
      </c>
      <c r="G52" s="341"/>
      <c r="H52" s="368" t="s">
        <v>53</v>
      </c>
      <c r="I52" s="341"/>
      <c r="J52" s="369">
        <v>180</v>
      </c>
      <c r="K52" s="367"/>
      <c r="L52" s="368" t="s">
        <v>173</v>
      </c>
      <c r="M52" s="367"/>
      <c r="N52" s="367" t="s">
        <v>55</v>
      </c>
      <c r="O52" s="341"/>
      <c r="P52" s="370">
        <v>37438</v>
      </c>
      <c r="Q52" s="351">
        <v>905</v>
      </c>
      <c r="R52" s="367">
        <v>341</v>
      </c>
      <c r="S52" s="371">
        <v>0</v>
      </c>
      <c r="T52" s="371">
        <v>23111</v>
      </c>
      <c r="U52" s="367"/>
      <c r="V52" s="372" t="s">
        <v>599</v>
      </c>
      <c r="W52" s="371">
        <v>0</v>
      </c>
      <c r="X52" s="371">
        <v>19350.97</v>
      </c>
      <c r="Y52" s="341"/>
      <c r="Z52" s="371">
        <v>20799</v>
      </c>
      <c r="AA52" s="372" t="s">
        <v>628</v>
      </c>
      <c r="AB52" s="367"/>
      <c r="AC52" s="371">
        <v>0</v>
      </c>
      <c r="AD52" s="371">
        <v>19963</v>
      </c>
      <c r="AE52" s="372">
        <v>321</v>
      </c>
      <c r="AF52" s="373"/>
      <c r="AG52" s="371">
        <v>0</v>
      </c>
      <c r="AH52" s="371">
        <v>22540</v>
      </c>
      <c r="AI52" s="372">
        <v>400</v>
      </c>
      <c r="AJ52" s="351" t="s">
        <v>174</v>
      </c>
      <c r="AK52" s="351"/>
      <c r="AL52" s="351" t="s">
        <v>158</v>
      </c>
      <c r="AN52" s="371">
        <v>0</v>
      </c>
      <c r="AO52" s="371">
        <v>21551</v>
      </c>
      <c r="AP52" s="372">
        <v>132</v>
      </c>
      <c r="AQ52" s="373"/>
      <c r="AR52" s="371">
        <v>0</v>
      </c>
      <c r="AS52" s="371">
        <v>20134</v>
      </c>
      <c r="AT52" s="372">
        <v>124</v>
      </c>
      <c r="AU52" s="367"/>
      <c r="AV52" s="371">
        <v>0</v>
      </c>
      <c r="AW52" s="371">
        <v>23514</v>
      </c>
      <c r="AX52" s="372">
        <v>111</v>
      </c>
      <c r="AY52" s="367"/>
      <c r="AZ52" s="371">
        <v>0</v>
      </c>
      <c r="BA52" s="371">
        <v>15046</v>
      </c>
      <c r="BB52" s="372">
        <v>81</v>
      </c>
      <c r="BC52" s="372"/>
      <c r="BD52" s="376" t="s">
        <v>713</v>
      </c>
    </row>
    <row r="53" spans="1:56" ht="15" customHeight="1" x14ac:dyDescent="0.2">
      <c r="A53" s="341"/>
      <c r="B53" s="412"/>
      <c r="C53" s="341"/>
      <c r="D53" s="367">
        <v>225</v>
      </c>
      <c r="E53" s="341"/>
      <c r="F53" s="368" t="s">
        <v>175</v>
      </c>
      <c r="G53" s="341"/>
      <c r="H53" s="368" t="s">
        <v>53</v>
      </c>
      <c r="I53" s="341"/>
      <c r="J53" s="369">
        <v>10</v>
      </c>
      <c r="K53" s="367"/>
      <c r="L53" s="368" t="s">
        <v>78</v>
      </c>
      <c r="M53" s="367"/>
      <c r="N53" s="367" t="s">
        <v>55</v>
      </c>
      <c r="O53" s="341"/>
      <c r="P53" s="370">
        <v>39630</v>
      </c>
      <c r="Q53" s="351">
        <v>905</v>
      </c>
      <c r="R53" s="375">
        <v>2578</v>
      </c>
      <c r="S53" s="371">
        <v>0</v>
      </c>
      <c r="T53" s="371">
        <v>26959</v>
      </c>
      <c r="U53" s="367"/>
      <c r="V53" s="372" t="s">
        <v>600</v>
      </c>
      <c r="W53" s="371">
        <v>0</v>
      </c>
      <c r="X53" s="371">
        <v>24092</v>
      </c>
      <c r="Y53" s="341"/>
      <c r="Z53" s="371">
        <v>29791.03</v>
      </c>
      <c r="AA53" s="372" t="s">
        <v>629</v>
      </c>
      <c r="AB53" s="367"/>
      <c r="AC53" s="371">
        <v>0</v>
      </c>
      <c r="AD53" s="371">
        <v>33984</v>
      </c>
      <c r="AE53" s="372">
        <v>3063</v>
      </c>
      <c r="AF53" s="373"/>
      <c r="AG53" s="371">
        <v>0</v>
      </c>
      <c r="AH53" s="371">
        <v>30264</v>
      </c>
      <c r="AI53" s="372">
        <v>3104</v>
      </c>
      <c r="AJ53" s="351" t="s">
        <v>174</v>
      </c>
      <c r="AK53" s="351"/>
      <c r="AL53" s="351" t="s">
        <v>158</v>
      </c>
      <c r="AN53" s="371">
        <v>0</v>
      </c>
      <c r="AO53" s="371">
        <v>32797</v>
      </c>
      <c r="AP53" s="372">
        <v>221</v>
      </c>
      <c r="AQ53" s="373"/>
      <c r="AR53" s="371">
        <v>0</v>
      </c>
      <c r="AS53" s="371">
        <v>25218</v>
      </c>
      <c r="AT53" s="372">
        <v>196</v>
      </c>
      <c r="AU53" s="352"/>
      <c r="AV53" s="377">
        <v>0</v>
      </c>
      <c r="AW53" s="377">
        <v>19073</v>
      </c>
      <c r="AX53" s="378">
        <v>159</v>
      </c>
      <c r="AY53" s="352"/>
      <c r="AZ53" s="377">
        <v>0</v>
      </c>
      <c r="BA53" s="377">
        <v>17222</v>
      </c>
      <c r="BB53" s="378">
        <v>126</v>
      </c>
      <c r="BC53" s="378"/>
      <c r="BD53" s="386" t="s">
        <v>713</v>
      </c>
    </row>
    <row r="54" spans="1:56" ht="15" customHeight="1" x14ac:dyDescent="0.2">
      <c r="A54" s="341"/>
      <c r="B54" s="412"/>
      <c r="C54" s="341"/>
      <c r="D54" s="367">
        <v>225</v>
      </c>
      <c r="E54" s="341"/>
      <c r="F54" s="368" t="s">
        <v>176</v>
      </c>
      <c r="G54" s="341"/>
      <c r="H54" s="368" t="s">
        <v>53</v>
      </c>
      <c r="I54" s="341"/>
      <c r="J54" s="369">
        <v>40</v>
      </c>
      <c r="K54" s="367"/>
      <c r="L54" s="368" t="s">
        <v>694</v>
      </c>
      <c r="M54" s="367"/>
      <c r="N54" s="367" t="s">
        <v>55</v>
      </c>
      <c r="O54" s="341"/>
      <c r="P54" s="370">
        <v>39630</v>
      </c>
      <c r="Q54" s="351">
        <v>905</v>
      </c>
      <c r="R54" s="367">
        <v>60</v>
      </c>
      <c r="S54" s="371">
        <v>0</v>
      </c>
      <c r="T54" s="371">
        <v>1080</v>
      </c>
      <c r="U54" s="367"/>
      <c r="V54" s="372" t="s">
        <v>601</v>
      </c>
      <c r="W54" s="371">
        <v>0</v>
      </c>
      <c r="X54" s="371">
        <v>2535</v>
      </c>
      <c r="Y54" s="341"/>
      <c r="Z54" s="371">
        <v>3286</v>
      </c>
      <c r="AA54" s="372" t="s">
        <v>630</v>
      </c>
      <c r="AB54" s="367"/>
      <c r="AC54" s="371">
        <v>0</v>
      </c>
      <c r="AD54" s="371">
        <v>1406</v>
      </c>
      <c r="AE54" s="372">
        <v>109</v>
      </c>
      <c r="AF54" s="373"/>
      <c r="AG54" s="371">
        <v>0</v>
      </c>
      <c r="AH54" s="371">
        <v>6627</v>
      </c>
      <c r="AI54" s="372">
        <v>115</v>
      </c>
      <c r="AJ54" s="351" t="s">
        <v>174</v>
      </c>
      <c r="AK54" s="351"/>
      <c r="AL54" s="351" t="s">
        <v>158</v>
      </c>
      <c r="AN54" s="371">
        <v>0</v>
      </c>
      <c r="AO54" s="371">
        <v>623</v>
      </c>
      <c r="AP54" s="372">
        <v>19</v>
      </c>
      <c r="AQ54" s="373"/>
      <c r="AR54" s="371">
        <v>0</v>
      </c>
      <c r="AS54" s="371">
        <v>1017</v>
      </c>
      <c r="AT54" s="372">
        <v>22</v>
      </c>
      <c r="AU54" s="367"/>
      <c r="AV54" s="371">
        <v>0</v>
      </c>
      <c r="AW54" s="371">
        <v>130</v>
      </c>
      <c r="AX54" s="372">
        <v>3</v>
      </c>
      <c r="AY54" s="367"/>
      <c r="AZ54" s="371">
        <v>0</v>
      </c>
      <c r="BA54" s="371">
        <v>607</v>
      </c>
      <c r="BB54" s="372">
        <v>7</v>
      </c>
      <c r="BC54" s="372"/>
      <c r="BD54" s="376" t="s">
        <v>713</v>
      </c>
    </row>
    <row r="55" spans="1:56" ht="15" customHeight="1" x14ac:dyDescent="0.2">
      <c r="A55" s="341"/>
      <c r="B55" s="412"/>
      <c r="C55" s="341"/>
      <c r="D55" s="367">
        <v>225</v>
      </c>
      <c r="E55" s="341"/>
      <c r="F55" s="368" t="s">
        <v>178</v>
      </c>
      <c r="G55" s="341"/>
      <c r="H55" s="368" t="s">
        <v>53</v>
      </c>
      <c r="I55" s="341"/>
      <c r="J55" s="369">
        <v>350</v>
      </c>
      <c r="K55" s="367"/>
      <c r="L55" s="368" t="s">
        <v>156</v>
      </c>
      <c r="M55" s="367"/>
      <c r="N55" s="367" t="s">
        <v>55</v>
      </c>
      <c r="O55" s="341"/>
      <c r="P55" s="370">
        <v>37438</v>
      </c>
      <c r="Q55" s="351">
        <v>905</v>
      </c>
      <c r="R55" s="367">
        <v>110</v>
      </c>
      <c r="S55" s="371">
        <v>0</v>
      </c>
      <c r="T55" s="371">
        <v>7744</v>
      </c>
      <c r="U55" s="367"/>
      <c r="V55" s="372" t="s">
        <v>602</v>
      </c>
      <c r="W55" s="371">
        <v>0</v>
      </c>
      <c r="X55" s="371">
        <v>5794.18</v>
      </c>
      <c r="Y55" s="341"/>
      <c r="Z55" s="371">
        <v>8438</v>
      </c>
      <c r="AA55" s="372" t="s">
        <v>631</v>
      </c>
      <c r="AB55" s="367"/>
      <c r="AC55" s="371">
        <v>0</v>
      </c>
      <c r="AD55" s="371">
        <v>9566</v>
      </c>
      <c r="AE55" s="372">
        <v>189</v>
      </c>
      <c r="AF55" s="373"/>
      <c r="AG55" s="371">
        <v>0</v>
      </c>
      <c r="AH55" s="371">
        <v>13019</v>
      </c>
      <c r="AI55" s="372">
        <v>157</v>
      </c>
      <c r="AJ55" s="351" t="s">
        <v>174</v>
      </c>
      <c r="AK55" s="351"/>
      <c r="AL55" s="351" t="s">
        <v>158</v>
      </c>
      <c r="AN55" s="371">
        <v>0</v>
      </c>
      <c r="AO55" s="371">
        <v>12052</v>
      </c>
      <c r="AP55" s="372">
        <v>59</v>
      </c>
      <c r="AQ55" s="373"/>
      <c r="AR55" s="371">
        <v>0</v>
      </c>
      <c r="AS55" s="371">
        <v>15042</v>
      </c>
      <c r="AT55" s="372">
        <v>72</v>
      </c>
      <c r="AU55" s="352"/>
      <c r="AV55" s="377">
        <v>0</v>
      </c>
      <c r="AW55" s="377">
        <v>14825</v>
      </c>
      <c r="AX55" s="378">
        <v>75</v>
      </c>
      <c r="AY55" s="352"/>
      <c r="AZ55" s="377">
        <v>0</v>
      </c>
      <c r="BA55" s="377">
        <v>11841</v>
      </c>
      <c r="BB55" s="378">
        <v>68</v>
      </c>
      <c r="BC55" s="378"/>
      <c r="BD55" s="386" t="s">
        <v>713</v>
      </c>
    </row>
    <row r="56" spans="1:56" ht="15" customHeight="1" x14ac:dyDescent="0.2">
      <c r="A56" s="341"/>
      <c r="B56" s="412"/>
      <c r="C56" s="341"/>
      <c r="D56" s="367">
        <v>225</v>
      </c>
      <c r="E56" s="341"/>
      <c r="F56" s="368" t="s">
        <v>179</v>
      </c>
      <c r="G56" s="341"/>
      <c r="H56" s="368" t="s">
        <v>871</v>
      </c>
      <c r="I56" s="341"/>
      <c r="J56" s="369">
        <v>30</v>
      </c>
      <c r="K56" s="367"/>
      <c r="L56" s="368" t="s">
        <v>156</v>
      </c>
      <c r="M56" s="367"/>
      <c r="N56" s="367" t="s">
        <v>55</v>
      </c>
      <c r="O56" s="341"/>
      <c r="P56" s="370">
        <v>36342</v>
      </c>
      <c r="Q56" s="351">
        <v>905</v>
      </c>
      <c r="R56" s="367">
        <v>345</v>
      </c>
      <c r="S56" s="371">
        <v>0</v>
      </c>
      <c r="T56" s="371">
        <v>9810</v>
      </c>
      <c r="U56" s="367"/>
      <c r="V56" s="372" t="s">
        <v>603</v>
      </c>
      <c r="W56" s="371">
        <v>0</v>
      </c>
      <c r="X56" s="371">
        <v>8897.73</v>
      </c>
      <c r="Y56" s="341"/>
      <c r="Z56" s="371">
        <v>12097</v>
      </c>
      <c r="AA56" s="372" t="s">
        <v>632</v>
      </c>
      <c r="AB56" s="367"/>
      <c r="AC56" s="371">
        <v>0</v>
      </c>
      <c r="AD56" s="371">
        <v>11523</v>
      </c>
      <c r="AE56" s="372">
        <v>353</v>
      </c>
      <c r="AF56" s="373"/>
      <c r="AG56" s="371">
        <v>0</v>
      </c>
      <c r="AH56" s="371">
        <v>3385</v>
      </c>
      <c r="AI56" s="372">
        <v>116</v>
      </c>
      <c r="AJ56" s="351" t="s">
        <v>180</v>
      </c>
      <c r="AK56" s="351"/>
      <c r="AL56" s="351" t="s">
        <v>158</v>
      </c>
      <c r="AN56" s="371">
        <v>0</v>
      </c>
      <c r="AO56" s="371">
        <v>1942</v>
      </c>
      <c r="AP56" s="372">
        <v>54</v>
      </c>
      <c r="AQ56" s="373"/>
      <c r="AR56" s="371">
        <v>0</v>
      </c>
      <c r="AS56" s="371">
        <v>2373</v>
      </c>
      <c r="AT56" s="372">
        <v>56</v>
      </c>
      <c r="AU56" s="367"/>
      <c r="AV56" s="371">
        <v>0</v>
      </c>
      <c r="AW56" s="371">
        <v>2644</v>
      </c>
      <c r="AX56" s="372">
        <v>57</v>
      </c>
      <c r="AY56" s="367"/>
      <c r="AZ56" s="371">
        <v>0</v>
      </c>
      <c r="BA56" s="371">
        <v>1507</v>
      </c>
      <c r="BB56" s="372">
        <v>39</v>
      </c>
      <c r="BC56" s="372"/>
      <c r="BD56" s="376" t="s">
        <v>713</v>
      </c>
    </row>
    <row r="57" spans="1:56" ht="15" customHeight="1" x14ac:dyDescent="0.2">
      <c r="A57" s="341"/>
      <c r="B57" s="412"/>
      <c r="C57" s="341"/>
      <c r="D57" s="367">
        <v>225</v>
      </c>
      <c r="E57" s="341"/>
      <c r="F57" s="368" t="s">
        <v>181</v>
      </c>
      <c r="G57" s="341"/>
      <c r="H57" s="368" t="s">
        <v>53</v>
      </c>
      <c r="I57" s="341"/>
      <c r="J57" s="369">
        <v>20</v>
      </c>
      <c r="K57" s="367"/>
      <c r="L57" s="368" t="s">
        <v>177</v>
      </c>
      <c r="M57" s="367"/>
      <c r="N57" s="367" t="s">
        <v>55</v>
      </c>
      <c r="O57" s="341"/>
      <c r="P57" s="370">
        <v>37438</v>
      </c>
      <c r="Q57" s="351">
        <v>905</v>
      </c>
      <c r="R57" s="367">
        <v>51</v>
      </c>
      <c r="S57" s="371">
        <v>0</v>
      </c>
      <c r="T57" s="371">
        <v>971</v>
      </c>
      <c r="U57" s="367"/>
      <c r="V57" s="372" t="s">
        <v>604</v>
      </c>
      <c r="W57" s="371">
        <v>0</v>
      </c>
      <c r="X57" s="371">
        <v>560</v>
      </c>
      <c r="Y57" s="341"/>
      <c r="Z57" s="371">
        <v>325</v>
      </c>
      <c r="AA57" s="372" t="s">
        <v>633</v>
      </c>
      <c r="AB57" s="367"/>
      <c r="AC57" s="371">
        <v>0</v>
      </c>
      <c r="AD57" s="371">
        <v>587</v>
      </c>
      <c r="AE57" s="372">
        <v>31</v>
      </c>
      <c r="AF57" s="373"/>
      <c r="AG57" s="371">
        <v>0</v>
      </c>
      <c r="AH57" s="371">
        <v>840</v>
      </c>
      <c r="AI57" s="372">
        <v>42</v>
      </c>
      <c r="AJ57" s="351" t="s">
        <v>182</v>
      </c>
      <c r="AK57" s="351"/>
      <c r="AL57" s="351" t="s">
        <v>158</v>
      </c>
      <c r="AN57" s="371">
        <v>0</v>
      </c>
      <c r="AO57" s="371">
        <v>635</v>
      </c>
      <c r="AP57" s="372">
        <v>32</v>
      </c>
      <c r="AQ57" s="373"/>
      <c r="AR57" s="371">
        <v>0</v>
      </c>
      <c r="AS57" s="371">
        <v>680</v>
      </c>
      <c r="AT57" s="372">
        <v>30</v>
      </c>
      <c r="AU57" s="352"/>
      <c r="AV57" s="377">
        <v>0</v>
      </c>
      <c r="AW57" s="377">
        <v>620</v>
      </c>
      <c r="AX57" s="378">
        <v>27</v>
      </c>
      <c r="AY57" s="352"/>
      <c r="AZ57" s="377">
        <v>0</v>
      </c>
      <c r="BA57" s="377">
        <v>518</v>
      </c>
      <c r="BB57" s="378">
        <v>23</v>
      </c>
      <c r="BC57" s="378"/>
      <c r="BD57" s="386" t="s">
        <v>713</v>
      </c>
    </row>
    <row r="58" spans="1:56" ht="15" customHeight="1" x14ac:dyDescent="0.2">
      <c r="A58" s="341"/>
      <c r="B58" s="412"/>
      <c r="C58" s="341"/>
      <c r="D58" s="367"/>
      <c r="E58" s="341"/>
      <c r="F58" s="368" t="s">
        <v>837</v>
      </c>
      <c r="G58" s="341"/>
      <c r="H58" s="368" t="s">
        <v>872</v>
      </c>
      <c r="I58" s="341"/>
      <c r="J58" s="369">
        <v>1500</v>
      </c>
      <c r="K58" s="367"/>
      <c r="L58" s="368"/>
      <c r="M58" s="367"/>
      <c r="N58" s="367"/>
      <c r="O58" s="341"/>
      <c r="P58" s="370"/>
      <c r="Q58" s="351"/>
      <c r="R58" s="367"/>
      <c r="S58" s="371"/>
      <c r="T58" s="371"/>
      <c r="U58" s="367"/>
      <c r="V58" s="372"/>
      <c r="W58" s="371"/>
      <c r="X58" s="371"/>
      <c r="Y58" s="341"/>
      <c r="Z58" s="371"/>
      <c r="AA58" s="372"/>
      <c r="AB58" s="367"/>
      <c r="AC58" s="371"/>
      <c r="AD58" s="371"/>
      <c r="AE58" s="372"/>
      <c r="AF58" s="373"/>
      <c r="AG58" s="371"/>
      <c r="AH58" s="371"/>
      <c r="AI58" s="372"/>
      <c r="AK58" s="351"/>
      <c r="AN58" s="371">
        <v>0</v>
      </c>
      <c r="AO58" s="371">
        <v>0</v>
      </c>
      <c r="AP58" s="372">
        <v>0</v>
      </c>
      <c r="AQ58" s="373"/>
      <c r="AR58" s="371">
        <v>0</v>
      </c>
      <c r="AS58" s="371">
        <v>0</v>
      </c>
      <c r="AT58" s="372">
        <v>0</v>
      </c>
      <c r="AU58" s="367"/>
      <c r="AV58" s="371">
        <v>0</v>
      </c>
      <c r="AW58" s="371">
        <v>10378</v>
      </c>
      <c r="AX58" s="372">
        <v>14</v>
      </c>
      <c r="AY58" s="367"/>
      <c r="AZ58" s="371">
        <v>0</v>
      </c>
      <c r="BA58" s="371">
        <v>24007</v>
      </c>
      <c r="BB58" s="372">
        <v>45</v>
      </c>
      <c r="BC58" s="372"/>
      <c r="BD58" s="376" t="s">
        <v>713</v>
      </c>
    </row>
    <row r="59" spans="1:56" ht="15" customHeight="1" x14ac:dyDescent="0.2">
      <c r="A59" s="341"/>
      <c r="B59" s="412"/>
      <c r="C59" s="341"/>
      <c r="D59" s="367">
        <v>225</v>
      </c>
      <c r="E59" s="341"/>
      <c r="F59" s="368" t="s">
        <v>873</v>
      </c>
      <c r="G59" s="341"/>
      <c r="H59" s="368" t="s">
        <v>53</v>
      </c>
      <c r="I59" s="341"/>
      <c r="J59" s="369">
        <v>18</v>
      </c>
      <c r="K59" s="367"/>
      <c r="L59" s="368" t="s">
        <v>126</v>
      </c>
      <c r="M59" s="367"/>
      <c r="N59" s="367" t="s">
        <v>55</v>
      </c>
      <c r="O59" s="341"/>
      <c r="P59" s="370">
        <v>39995</v>
      </c>
      <c r="Q59" s="351">
        <v>905</v>
      </c>
      <c r="R59" s="367"/>
      <c r="S59" s="371">
        <v>0</v>
      </c>
      <c r="T59" s="371">
        <v>182427</v>
      </c>
      <c r="U59" s="367"/>
      <c r="V59" s="372"/>
      <c r="W59" s="371">
        <v>0</v>
      </c>
      <c r="X59" s="371">
        <v>373567.57</v>
      </c>
      <c r="Y59" s="341"/>
      <c r="Z59" s="371">
        <v>208881</v>
      </c>
      <c r="AA59" s="372"/>
      <c r="AB59" s="367"/>
      <c r="AC59" s="371">
        <v>0</v>
      </c>
      <c r="AD59" s="371">
        <v>199780</v>
      </c>
      <c r="AE59" s="372"/>
      <c r="AF59" s="373"/>
      <c r="AG59" s="371">
        <v>0</v>
      </c>
      <c r="AH59" s="371">
        <v>149266</v>
      </c>
      <c r="AI59" s="372">
        <f>AH59/J59</f>
        <v>8292.5555555555547</v>
      </c>
      <c r="AJ59" s="351" t="s">
        <v>152</v>
      </c>
      <c r="AK59" s="351"/>
      <c r="AL59" s="351" t="s">
        <v>154</v>
      </c>
      <c r="AN59" s="371">
        <v>0</v>
      </c>
      <c r="AO59" s="371">
        <v>0</v>
      </c>
      <c r="AP59" s="372">
        <f>AO59/J59</f>
        <v>0</v>
      </c>
      <c r="AQ59" s="373">
        <v>0</v>
      </c>
      <c r="AR59" s="371">
        <v>0</v>
      </c>
      <c r="AS59" s="371">
        <v>0</v>
      </c>
      <c r="AT59" s="372">
        <v>0</v>
      </c>
      <c r="AU59" s="391"/>
      <c r="AV59" s="377">
        <v>0</v>
      </c>
      <c r="AW59" s="377">
        <v>0</v>
      </c>
      <c r="AX59" s="378">
        <v>0</v>
      </c>
      <c r="AY59" s="391"/>
      <c r="AZ59" s="377">
        <v>0</v>
      </c>
      <c r="BA59" s="377">
        <v>0</v>
      </c>
      <c r="BB59" s="378">
        <v>0</v>
      </c>
      <c r="BC59" s="378"/>
      <c r="BD59" s="386"/>
    </row>
    <row r="60" spans="1:56" ht="15" customHeight="1" x14ac:dyDescent="0.2">
      <c r="A60" s="341"/>
      <c r="B60" s="412" t="s">
        <v>183</v>
      </c>
      <c r="C60" s="341"/>
      <c r="D60" s="367">
        <v>226</v>
      </c>
      <c r="E60" s="341"/>
      <c r="F60" s="368" t="s">
        <v>874</v>
      </c>
      <c r="G60" s="341"/>
      <c r="H60" s="368" t="s">
        <v>53</v>
      </c>
      <c r="I60" s="341"/>
      <c r="J60" s="369">
        <v>300</v>
      </c>
      <c r="K60" s="367"/>
      <c r="L60" s="368" t="s">
        <v>184</v>
      </c>
      <c r="M60" s="367"/>
      <c r="N60" s="367" t="s">
        <v>55</v>
      </c>
      <c r="O60" s="341"/>
      <c r="P60" s="370">
        <v>38899</v>
      </c>
      <c r="Q60" s="351">
        <v>905</v>
      </c>
      <c r="R60" s="375">
        <v>4235</v>
      </c>
      <c r="S60" s="371">
        <v>0</v>
      </c>
      <c r="T60" s="371">
        <v>653318</v>
      </c>
      <c r="U60" s="367"/>
      <c r="V60" s="372">
        <v>4181</v>
      </c>
      <c r="W60" s="371">
        <v>0</v>
      </c>
      <c r="X60" s="371">
        <v>667839.54</v>
      </c>
      <c r="Y60" s="341"/>
      <c r="Z60" s="392">
        <v>685305</v>
      </c>
      <c r="AA60" s="393">
        <v>3249</v>
      </c>
      <c r="AB60" s="367"/>
      <c r="AC60" s="371">
        <v>0</v>
      </c>
      <c r="AD60" s="392">
        <v>680609</v>
      </c>
      <c r="AE60" s="372">
        <v>3143</v>
      </c>
      <c r="AF60" s="394"/>
      <c r="AG60" s="371">
        <v>0</v>
      </c>
      <c r="AH60" s="392">
        <v>653528</v>
      </c>
      <c r="AI60" s="372" t="s">
        <v>683</v>
      </c>
      <c r="AJ60" s="351" t="s">
        <v>185</v>
      </c>
      <c r="AK60" s="351"/>
      <c r="AL60" s="395" t="s">
        <v>695</v>
      </c>
      <c r="AM60" s="395"/>
      <c r="AN60" s="371">
        <v>0</v>
      </c>
      <c r="AO60" s="392">
        <v>535825</v>
      </c>
      <c r="AP60" s="372">
        <v>2502</v>
      </c>
      <c r="AQ60" s="394"/>
      <c r="AR60" s="371">
        <v>0</v>
      </c>
      <c r="AS60" s="392">
        <v>526667</v>
      </c>
      <c r="AT60" s="372">
        <v>2541</v>
      </c>
      <c r="AU60" s="367"/>
      <c r="AV60" s="371">
        <v>0</v>
      </c>
      <c r="AW60" s="371">
        <v>508820</v>
      </c>
      <c r="AX60" s="372">
        <v>2398</v>
      </c>
      <c r="AY60" s="367"/>
      <c r="AZ60" s="371">
        <v>0</v>
      </c>
      <c r="BA60" s="371">
        <v>507623</v>
      </c>
      <c r="BB60" s="372">
        <v>2432</v>
      </c>
      <c r="BC60" s="372"/>
      <c r="BD60" s="376" t="s">
        <v>707</v>
      </c>
    </row>
    <row r="61" spans="1:56" ht="24" customHeight="1" x14ac:dyDescent="0.2">
      <c r="A61" s="341"/>
      <c r="B61" s="412"/>
      <c r="C61" s="341"/>
      <c r="D61" s="367">
        <v>226</v>
      </c>
      <c r="E61" s="341"/>
      <c r="F61" s="368" t="s">
        <v>875</v>
      </c>
      <c r="G61" s="341"/>
      <c r="H61" s="368" t="s">
        <v>53</v>
      </c>
      <c r="I61" s="341"/>
      <c r="J61" s="369">
        <v>1500</v>
      </c>
      <c r="K61" s="367"/>
      <c r="L61" s="368" t="s">
        <v>186</v>
      </c>
      <c r="M61" s="367"/>
      <c r="N61" s="367" t="s">
        <v>55</v>
      </c>
      <c r="O61" s="341"/>
      <c r="P61" s="370">
        <v>39264</v>
      </c>
      <c r="Q61" s="351">
        <v>905</v>
      </c>
      <c r="R61" s="367">
        <v>119</v>
      </c>
      <c r="S61" s="371">
        <v>0</v>
      </c>
      <c r="T61" s="371">
        <v>15105</v>
      </c>
      <c r="U61" s="367"/>
      <c r="V61" s="372">
        <v>141</v>
      </c>
      <c r="W61" s="371">
        <v>0</v>
      </c>
      <c r="X61" s="371">
        <v>21819.599999999999</v>
      </c>
      <c r="Y61" s="341"/>
      <c r="Z61" s="392">
        <v>16551</v>
      </c>
      <c r="AA61" s="393">
        <v>60</v>
      </c>
      <c r="AB61" s="367"/>
      <c r="AC61" s="371">
        <v>0</v>
      </c>
      <c r="AD61" s="392">
        <v>22583</v>
      </c>
      <c r="AE61" s="372">
        <v>44</v>
      </c>
      <c r="AF61" s="394"/>
      <c r="AG61" s="371">
        <v>0</v>
      </c>
      <c r="AH61" s="392">
        <v>24709</v>
      </c>
      <c r="AI61" s="372" t="s">
        <v>684</v>
      </c>
      <c r="AJ61" s="351" t="s">
        <v>187</v>
      </c>
      <c r="AK61" s="351"/>
      <c r="AL61" s="395" t="s">
        <v>695</v>
      </c>
      <c r="AM61" s="395"/>
      <c r="AN61" s="371">
        <v>0</v>
      </c>
      <c r="AO61" s="392">
        <v>45862</v>
      </c>
      <c r="AP61" s="372">
        <v>63</v>
      </c>
      <c r="AQ61" s="394"/>
      <c r="AR61" s="371">
        <v>0</v>
      </c>
      <c r="AS61" s="392">
        <v>89084</v>
      </c>
      <c r="AT61" s="372">
        <v>83</v>
      </c>
      <c r="AU61" s="352"/>
      <c r="AV61" s="377">
        <v>0</v>
      </c>
      <c r="AW61" s="377">
        <v>92064</v>
      </c>
      <c r="AX61" s="378">
        <v>84</v>
      </c>
      <c r="AY61" s="352"/>
      <c r="AZ61" s="377">
        <v>0</v>
      </c>
      <c r="BA61" s="377">
        <v>85755</v>
      </c>
      <c r="BB61" s="378">
        <v>91</v>
      </c>
      <c r="BC61" s="378"/>
      <c r="BD61" s="386" t="s">
        <v>713</v>
      </c>
    </row>
    <row r="62" spans="1:56" ht="24" customHeight="1" x14ac:dyDescent="0.2">
      <c r="A62" s="341"/>
      <c r="B62" s="412"/>
      <c r="C62" s="341"/>
      <c r="D62" s="367">
        <v>226</v>
      </c>
      <c r="E62" s="341"/>
      <c r="F62" s="368" t="s">
        <v>876</v>
      </c>
      <c r="G62" s="341"/>
      <c r="H62" s="368" t="s">
        <v>53</v>
      </c>
      <c r="I62" s="341"/>
      <c r="J62" s="369" t="s">
        <v>302</v>
      </c>
      <c r="K62" s="367"/>
      <c r="L62" s="368" t="s">
        <v>156</v>
      </c>
      <c r="M62" s="367"/>
      <c r="N62" s="367" t="s">
        <v>55</v>
      </c>
      <c r="O62" s="341"/>
      <c r="P62" s="370">
        <v>38899</v>
      </c>
      <c r="Q62" s="351">
        <v>905</v>
      </c>
      <c r="R62" s="367">
        <v>412</v>
      </c>
      <c r="S62" s="371">
        <v>0</v>
      </c>
      <c r="T62" s="371">
        <v>39795</v>
      </c>
      <c r="U62" s="367"/>
      <c r="V62" s="372">
        <v>398</v>
      </c>
      <c r="W62" s="371">
        <v>0</v>
      </c>
      <c r="X62" s="371">
        <v>39800</v>
      </c>
      <c r="Y62" s="341"/>
      <c r="Z62" s="392">
        <v>36950</v>
      </c>
      <c r="AA62" s="393">
        <v>358</v>
      </c>
      <c r="AB62" s="367"/>
      <c r="AC62" s="371">
        <v>0</v>
      </c>
      <c r="AD62" s="392">
        <v>35625</v>
      </c>
      <c r="AE62" s="372">
        <v>355</v>
      </c>
      <c r="AF62" s="394"/>
      <c r="AG62" s="371">
        <v>0</v>
      </c>
      <c r="AH62" s="392">
        <v>29350</v>
      </c>
      <c r="AI62" s="372" t="s">
        <v>685</v>
      </c>
      <c r="AJ62" s="351" t="s">
        <v>187</v>
      </c>
      <c r="AK62" s="351"/>
      <c r="AL62" s="395" t="s">
        <v>695</v>
      </c>
      <c r="AM62" s="395"/>
      <c r="AN62" s="371">
        <v>0</v>
      </c>
      <c r="AO62" s="392">
        <v>10400</v>
      </c>
      <c r="AP62" s="372">
        <v>108</v>
      </c>
      <c r="AQ62" s="394"/>
      <c r="AR62" s="371">
        <v>0</v>
      </c>
      <c r="AS62" s="392">
        <v>0</v>
      </c>
      <c r="AT62" s="372">
        <v>0</v>
      </c>
      <c r="AU62" s="367"/>
      <c r="AV62" s="371">
        <v>0</v>
      </c>
      <c r="AW62" s="371">
        <v>0</v>
      </c>
      <c r="AX62" s="372">
        <v>0</v>
      </c>
      <c r="AY62" s="367"/>
      <c r="AZ62" s="371">
        <v>0</v>
      </c>
      <c r="BA62" s="371">
        <v>0</v>
      </c>
      <c r="BB62" s="372">
        <v>0</v>
      </c>
      <c r="BC62" s="372"/>
      <c r="BD62" s="376" t="s">
        <v>713</v>
      </c>
    </row>
    <row r="63" spans="1:56" ht="15" customHeight="1" x14ac:dyDescent="0.2">
      <c r="A63" s="341"/>
      <c r="B63" s="412"/>
      <c r="C63" s="341"/>
      <c r="D63" s="367"/>
      <c r="E63" s="341"/>
      <c r="F63" s="368" t="s">
        <v>686</v>
      </c>
      <c r="G63" s="341"/>
      <c r="H63" s="368" t="s">
        <v>53</v>
      </c>
      <c r="I63" s="341"/>
      <c r="J63" s="369">
        <v>500</v>
      </c>
      <c r="K63" s="367"/>
      <c r="L63" s="368"/>
      <c r="M63" s="367"/>
      <c r="N63" s="367"/>
      <c r="O63" s="341"/>
      <c r="P63" s="370"/>
      <c r="Q63" s="351"/>
      <c r="R63" s="367"/>
      <c r="S63" s="371"/>
      <c r="T63" s="371"/>
      <c r="U63" s="367"/>
      <c r="V63" s="372"/>
      <c r="W63" s="371"/>
      <c r="X63" s="371"/>
      <c r="Y63" s="341"/>
      <c r="Z63" s="392">
        <v>0</v>
      </c>
      <c r="AA63" s="393">
        <v>0</v>
      </c>
      <c r="AB63" s="367"/>
      <c r="AC63" s="371">
        <v>0</v>
      </c>
      <c r="AD63" s="392">
        <v>85025</v>
      </c>
      <c r="AE63" s="372">
        <v>375</v>
      </c>
      <c r="AF63" s="394"/>
      <c r="AG63" s="371"/>
      <c r="AH63" s="392">
        <v>95654</v>
      </c>
      <c r="AI63" s="372" t="s">
        <v>687</v>
      </c>
      <c r="AJ63" s="351" t="s">
        <v>171</v>
      </c>
      <c r="AK63" s="351"/>
      <c r="AL63" s="351" t="s">
        <v>696</v>
      </c>
      <c r="AN63" s="371">
        <v>0</v>
      </c>
      <c r="AO63" s="392">
        <v>93710</v>
      </c>
      <c r="AP63" s="372">
        <v>410</v>
      </c>
      <c r="AQ63" s="394"/>
      <c r="AR63" s="371">
        <v>0</v>
      </c>
      <c r="AS63" s="392">
        <v>105614</v>
      </c>
      <c r="AT63" s="372">
        <v>33</v>
      </c>
      <c r="AU63" s="352"/>
      <c r="AV63" s="377">
        <v>0</v>
      </c>
      <c r="AW63" s="377">
        <v>112044</v>
      </c>
      <c r="AX63" s="378">
        <v>499</v>
      </c>
      <c r="AY63" s="352"/>
      <c r="AZ63" s="377">
        <v>0</v>
      </c>
      <c r="BA63" s="377">
        <v>125190</v>
      </c>
      <c r="BB63" s="378">
        <v>540</v>
      </c>
      <c r="BC63" s="378"/>
      <c r="BD63" s="386" t="s">
        <v>713</v>
      </c>
    </row>
    <row r="64" spans="1:56" ht="24" customHeight="1" x14ac:dyDescent="0.2">
      <c r="A64" s="341"/>
      <c r="B64" s="412"/>
      <c r="C64" s="341"/>
      <c r="D64" s="367">
        <v>226</v>
      </c>
      <c r="E64" s="341"/>
      <c r="F64" s="368" t="s">
        <v>877</v>
      </c>
      <c r="G64" s="341"/>
      <c r="H64" s="368" t="s">
        <v>53</v>
      </c>
      <c r="I64" s="341"/>
      <c r="J64" s="369">
        <v>35</v>
      </c>
      <c r="K64" s="367"/>
      <c r="L64" s="368" t="s">
        <v>156</v>
      </c>
      <c r="M64" s="367"/>
      <c r="N64" s="367" t="s">
        <v>55</v>
      </c>
      <c r="O64" s="341"/>
      <c r="P64" s="341"/>
      <c r="Q64" s="351">
        <v>905</v>
      </c>
      <c r="R64" s="367">
        <v>31</v>
      </c>
      <c r="S64" s="371">
        <v>0</v>
      </c>
      <c r="T64" s="371">
        <v>685</v>
      </c>
      <c r="U64" s="367"/>
      <c r="V64" s="372">
        <v>8</v>
      </c>
      <c r="W64" s="371">
        <v>0</v>
      </c>
      <c r="X64" s="371">
        <v>326</v>
      </c>
      <c r="Y64" s="341"/>
      <c r="Z64" s="392">
        <v>159</v>
      </c>
      <c r="AA64" s="393">
        <v>54</v>
      </c>
      <c r="AB64" s="367"/>
      <c r="AC64" s="371">
        <v>0</v>
      </c>
      <c r="AD64" s="392">
        <v>170</v>
      </c>
      <c r="AE64" s="372">
        <v>41</v>
      </c>
      <c r="AF64" s="394"/>
      <c r="AG64" s="371">
        <v>0</v>
      </c>
      <c r="AH64" s="392">
        <v>335</v>
      </c>
      <c r="AI64" s="372" t="s">
        <v>688</v>
      </c>
      <c r="AJ64" s="351" t="s">
        <v>188</v>
      </c>
      <c r="AK64" s="351"/>
      <c r="AL64" s="395" t="s">
        <v>695</v>
      </c>
      <c r="AM64" s="395"/>
      <c r="AN64" s="371">
        <v>0</v>
      </c>
      <c r="AO64" s="392">
        <v>1220</v>
      </c>
      <c r="AP64" s="372">
        <v>47</v>
      </c>
      <c r="AQ64" s="394"/>
      <c r="AR64" s="371">
        <v>0</v>
      </c>
      <c r="AS64" s="392">
        <v>805</v>
      </c>
      <c r="AT64" s="372">
        <v>33</v>
      </c>
      <c r="AU64" s="367"/>
      <c r="AV64" s="371">
        <v>0</v>
      </c>
      <c r="AW64" s="371">
        <v>1200</v>
      </c>
      <c r="AX64" s="372">
        <v>37</v>
      </c>
      <c r="AY64" s="367"/>
      <c r="AZ64" s="371">
        <v>0</v>
      </c>
      <c r="BA64" s="371">
        <v>1470</v>
      </c>
      <c r="BB64" s="372">
        <v>52</v>
      </c>
      <c r="BC64" s="372"/>
      <c r="BD64" s="376" t="s">
        <v>713</v>
      </c>
    </row>
    <row r="65" spans="1:56" ht="15" customHeight="1" x14ac:dyDescent="0.2">
      <c r="A65" s="341"/>
      <c r="B65" s="412"/>
      <c r="C65" s="341"/>
      <c r="D65" s="367">
        <v>226</v>
      </c>
      <c r="E65" s="341"/>
      <c r="F65" s="368" t="s">
        <v>878</v>
      </c>
      <c r="G65" s="341"/>
      <c r="H65" s="368" t="s">
        <v>53</v>
      </c>
      <c r="I65" s="341"/>
      <c r="J65" s="369">
        <v>19</v>
      </c>
      <c r="K65" s="367"/>
      <c r="L65" s="368" t="s">
        <v>126</v>
      </c>
      <c r="M65" s="367"/>
      <c r="N65" s="367" t="s">
        <v>55</v>
      </c>
      <c r="O65" s="341"/>
      <c r="P65" s="370">
        <v>39630</v>
      </c>
      <c r="Q65" s="351">
        <v>905</v>
      </c>
      <c r="R65" s="367">
        <v>411</v>
      </c>
      <c r="S65" s="371">
        <v>0</v>
      </c>
      <c r="T65" s="371">
        <v>669505</v>
      </c>
      <c r="U65" s="367"/>
      <c r="V65" s="372">
        <v>472</v>
      </c>
      <c r="W65" s="371">
        <v>0</v>
      </c>
      <c r="X65" s="371">
        <v>936245.21</v>
      </c>
      <c r="Y65" s="341"/>
      <c r="Z65" s="392">
        <v>839193</v>
      </c>
      <c r="AA65" s="393">
        <v>4441</v>
      </c>
      <c r="AB65" s="367"/>
      <c r="AC65" s="371">
        <v>0</v>
      </c>
      <c r="AD65" s="392">
        <v>827947</v>
      </c>
      <c r="AE65" s="372">
        <v>466</v>
      </c>
      <c r="AF65" s="394"/>
      <c r="AG65" s="371">
        <v>0</v>
      </c>
      <c r="AH65" s="392">
        <v>852960</v>
      </c>
      <c r="AI65" s="372">
        <v>452</v>
      </c>
      <c r="AJ65" s="351" t="s">
        <v>187</v>
      </c>
      <c r="AK65" s="351"/>
      <c r="AN65" s="371">
        <v>0</v>
      </c>
      <c r="AO65" s="392">
        <v>900609</v>
      </c>
      <c r="AP65" s="372">
        <v>475</v>
      </c>
      <c r="AQ65" s="394"/>
      <c r="AR65" s="371">
        <v>0</v>
      </c>
      <c r="AS65" s="392">
        <v>963948</v>
      </c>
      <c r="AT65" s="372">
        <v>523</v>
      </c>
      <c r="AU65" s="352"/>
      <c r="AV65" s="377">
        <v>0</v>
      </c>
      <c r="AW65" s="377">
        <v>891127</v>
      </c>
      <c r="AX65" s="378">
        <v>450</v>
      </c>
      <c r="AY65" s="352"/>
      <c r="AZ65" s="377">
        <v>0</v>
      </c>
      <c r="BA65" s="377">
        <v>1002266</v>
      </c>
      <c r="BB65" s="378">
        <v>502</v>
      </c>
      <c r="BC65" s="378"/>
      <c r="BD65" s="386" t="s">
        <v>713</v>
      </c>
    </row>
    <row r="66" spans="1:56" ht="15" customHeight="1" x14ac:dyDescent="0.2">
      <c r="A66" s="341"/>
      <c r="B66" s="412"/>
      <c r="C66" s="341"/>
      <c r="D66" s="367">
        <v>226</v>
      </c>
      <c r="E66" s="341"/>
      <c r="F66" s="368" t="s">
        <v>879</v>
      </c>
      <c r="G66" s="341"/>
      <c r="H66" s="368" t="s">
        <v>53</v>
      </c>
      <c r="I66" s="341"/>
      <c r="J66" s="369">
        <v>24</v>
      </c>
      <c r="K66" s="367"/>
      <c r="L66" s="368" t="s">
        <v>126</v>
      </c>
      <c r="M66" s="367"/>
      <c r="N66" s="367" t="s">
        <v>55</v>
      </c>
      <c r="O66" s="341"/>
      <c r="P66" s="370">
        <v>39630</v>
      </c>
      <c r="Q66" s="351">
        <v>905</v>
      </c>
      <c r="R66" s="367">
        <v>171</v>
      </c>
      <c r="S66" s="371">
        <v>0</v>
      </c>
      <c r="T66" s="371">
        <v>284240</v>
      </c>
      <c r="U66" s="367"/>
      <c r="V66" s="372">
        <v>81</v>
      </c>
      <c r="W66" s="371">
        <v>0</v>
      </c>
      <c r="X66" s="371">
        <v>151119.37</v>
      </c>
      <c r="Y66" s="341"/>
      <c r="Z66" s="392">
        <v>118322</v>
      </c>
      <c r="AA66" s="393">
        <v>283</v>
      </c>
      <c r="AB66" s="367"/>
      <c r="AC66" s="371">
        <v>0</v>
      </c>
      <c r="AD66" s="392">
        <v>167978</v>
      </c>
      <c r="AE66" s="372">
        <v>52</v>
      </c>
      <c r="AF66" s="394"/>
      <c r="AG66" s="371">
        <v>0</v>
      </c>
      <c r="AH66" s="392">
        <v>123735</v>
      </c>
      <c r="AI66" s="372">
        <v>42</v>
      </c>
      <c r="AJ66" s="351" t="s">
        <v>187</v>
      </c>
      <c r="AK66" s="351"/>
      <c r="AN66" s="371">
        <v>0</v>
      </c>
      <c r="AO66" s="392">
        <v>69244</v>
      </c>
      <c r="AP66" s="372">
        <v>33</v>
      </c>
      <c r="AQ66" s="394"/>
      <c r="AR66" s="371">
        <v>0</v>
      </c>
      <c r="AS66" s="392">
        <v>111074</v>
      </c>
      <c r="AT66" s="372">
        <v>47</v>
      </c>
      <c r="AU66" s="367"/>
      <c r="AV66" s="371">
        <v>0</v>
      </c>
      <c r="AW66" s="371">
        <v>150785</v>
      </c>
      <c r="AX66" s="372">
        <v>36</v>
      </c>
      <c r="AY66" s="367"/>
      <c r="AZ66" s="371">
        <v>0</v>
      </c>
      <c r="BA66" s="371">
        <v>88480</v>
      </c>
      <c r="BB66" s="372">
        <v>29</v>
      </c>
      <c r="BC66" s="372"/>
      <c r="BD66" s="376" t="s">
        <v>713</v>
      </c>
    </row>
    <row r="67" spans="1:56" ht="36" customHeight="1" x14ac:dyDescent="0.2">
      <c r="A67" s="341"/>
      <c r="B67" s="412"/>
      <c r="C67" s="341"/>
      <c r="D67" s="367">
        <v>226</v>
      </c>
      <c r="E67" s="341"/>
      <c r="F67" s="368" t="s">
        <v>880</v>
      </c>
      <c r="G67" s="341"/>
      <c r="H67" s="368" t="s">
        <v>53</v>
      </c>
      <c r="I67" s="341"/>
      <c r="J67" s="369">
        <v>35</v>
      </c>
      <c r="K67" s="367"/>
      <c r="L67" s="368" t="s">
        <v>156</v>
      </c>
      <c r="M67" s="367"/>
      <c r="N67" s="367" t="s">
        <v>55</v>
      </c>
      <c r="O67" s="341"/>
      <c r="P67" s="370">
        <v>39995</v>
      </c>
      <c r="Q67" s="351">
        <v>905</v>
      </c>
      <c r="R67" s="367">
        <v>385</v>
      </c>
      <c r="S67" s="371">
        <v>0</v>
      </c>
      <c r="T67" s="371">
        <v>10995</v>
      </c>
      <c r="U67" s="367"/>
      <c r="V67" s="372">
        <v>419</v>
      </c>
      <c r="W67" s="371">
        <v>0</v>
      </c>
      <c r="X67" s="371">
        <v>14131.88</v>
      </c>
      <c r="Y67" s="341"/>
      <c r="Z67" s="392">
        <v>13853</v>
      </c>
      <c r="AA67" s="393">
        <v>396</v>
      </c>
      <c r="AB67" s="367"/>
      <c r="AC67" s="371">
        <v>0</v>
      </c>
      <c r="AD67" s="392">
        <v>14882</v>
      </c>
      <c r="AE67" s="372">
        <v>427</v>
      </c>
      <c r="AF67" s="394"/>
      <c r="AG67" s="371">
        <v>0</v>
      </c>
      <c r="AH67" s="392">
        <v>13934</v>
      </c>
      <c r="AI67" s="372">
        <v>388</v>
      </c>
      <c r="AJ67" s="351" t="s">
        <v>187</v>
      </c>
      <c r="AK67" s="351"/>
      <c r="AN67" s="371">
        <v>0</v>
      </c>
      <c r="AO67" s="392">
        <v>14996</v>
      </c>
      <c r="AP67" s="372">
        <v>454</v>
      </c>
      <c r="AQ67" s="394"/>
      <c r="AR67" s="371">
        <v>0</v>
      </c>
      <c r="AS67" s="392">
        <v>15469</v>
      </c>
      <c r="AT67" s="372">
        <v>442</v>
      </c>
      <c r="AU67" s="352"/>
      <c r="AV67" s="377">
        <v>0</v>
      </c>
      <c r="AW67" s="377">
        <v>13060</v>
      </c>
      <c r="AX67" s="378">
        <v>474</v>
      </c>
      <c r="AY67" s="352"/>
      <c r="AZ67" s="377">
        <v>0</v>
      </c>
      <c r="BA67" s="377">
        <v>15094</v>
      </c>
      <c r="BB67" s="378">
        <v>557</v>
      </c>
      <c r="BC67" s="378"/>
      <c r="BD67" s="386" t="s">
        <v>713</v>
      </c>
    </row>
    <row r="68" spans="1:56" ht="24" customHeight="1" x14ac:dyDescent="0.2">
      <c r="A68" s="341"/>
      <c r="B68" s="412"/>
      <c r="C68" s="341"/>
      <c r="D68" s="367">
        <v>226</v>
      </c>
      <c r="E68" s="341"/>
      <c r="F68" s="368" t="s">
        <v>881</v>
      </c>
      <c r="G68" s="341"/>
      <c r="H68" s="368" t="s">
        <v>53</v>
      </c>
      <c r="I68" s="341"/>
      <c r="J68" s="369" t="s">
        <v>302</v>
      </c>
      <c r="K68" s="367"/>
      <c r="L68" s="368" t="s">
        <v>156</v>
      </c>
      <c r="M68" s="367"/>
      <c r="N68" s="367" t="s">
        <v>55</v>
      </c>
      <c r="O68" s="341"/>
      <c r="P68" s="341"/>
      <c r="Q68" s="351">
        <v>905</v>
      </c>
      <c r="R68" s="367">
        <v>162</v>
      </c>
      <c r="S68" s="371">
        <v>0</v>
      </c>
      <c r="T68" s="371">
        <v>2315</v>
      </c>
      <c r="U68" s="367"/>
      <c r="V68" s="372">
        <v>0</v>
      </c>
      <c r="W68" s="371">
        <v>0</v>
      </c>
      <c r="X68" s="371">
        <v>0</v>
      </c>
      <c r="Y68" s="341"/>
      <c r="Z68" s="371" t="s">
        <v>302</v>
      </c>
      <c r="AA68" s="372" t="s">
        <v>302</v>
      </c>
      <c r="AB68" s="367"/>
      <c r="AC68" s="371">
        <v>0</v>
      </c>
      <c r="AD68" s="392" t="s">
        <v>302</v>
      </c>
      <c r="AE68" s="372" t="s">
        <v>302</v>
      </c>
      <c r="AF68" s="394"/>
      <c r="AG68" s="371">
        <v>0</v>
      </c>
      <c r="AH68" s="371" t="s">
        <v>302</v>
      </c>
      <c r="AI68" s="372" t="s">
        <v>302</v>
      </c>
      <c r="AJ68" s="351" t="s">
        <v>187</v>
      </c>
      <c r="AK68" s="351"/>
      <c r="AN68" s="371">
        <v>0</v>
      </c>
      <c r="AO68" s="392" t="s">
        <v>719</v>
      </c>
      <c r="AP68" s="372" t="s">
        <v>719</v>
      </c>
      <c r="AQ68" s="394"/>
      <c r="AR68" s="371">
        <v>0</v>
      </c>
      <c r="AS68" s="380" t="s">
        <v>302</v>
      </c>
      <c r="AT68" s="388" t="s">
        <v>302</v>
      </c>
      <c r="AU68" s="396"/>
      <c r="AV68" s="380">
        <v>0</v>
      </c>
      <c r="AW68" s="380" t="s">
        <v>302</v>
      </c>
      <c r="AX68" s="388" t="s">
        <v>302</v>
      </c>
      <c r="AY68" s="396"/>
      <c r="AZ68" s="380">
        <v>0</v>
      </c>
      <c r="BA68" s="380" t="s">
        <v>302</v>
      </c>
      <c r="BB68" s="388" t="s">
        <v>302</v>
      </c>
      <c r="BC68" s="372"/>
      <c r="BD68" s="376" t="s">
        <v>713</v>
      </c>
    </row>
    <row r="69" spans="1:56" ht="15" customHeight="1" x14ac:dyDescent="0.2">
      <c r="A69" s="341"/>
      <c r="B69" s="412"/>
      <c r="C69" s="341"/>
      <c r="D69" s="367">
        <v>226</v>
      </c>
      <c r="E69" s="341"/>
      <c r="F69" s="368" t="s">
        <v>882</v>
      </c>
      <c r="G69" s="341"/>
      <c r="H69" s="368" t="s">
        <v>53</v>
      </c>
      <c r="I69" s="341"/>
      <c r="J69" s="369">
        <v>40</v>
      </c>
      <c r="K69" s="367"/>
      <c r="L69" s="368" t="s">
        <v>459</v>
      </c>
      <c r="M69" s="367"/>
      <c r="N69" s="367" t="s">
        <v>55</v>
      </c>
      <c r="O69" s="341"/>
      <c r="P69" s="341"/>
      <c r="Q69" s="351">
        <v>905</v>
      </c>
      <c r="R69" s="367">
        <v>118</v>
      </c>
      <c r="S69" s="371">
        <v>0</v>
      </c>
      <c r="T69" s="371">
        <v>30542.35</v>
      </c>
      <c r="U69" s="367"/>
      <c r="V69" s="372">
        <v>924</v>
      </c>
      <c r="W69" s="371">
        <v>0</v>
      </c>
      <c r="X69" s="371">
        <v>29364.22</v>
      </c>
      <c r="Y69" s="341"/>
      <c r="Z69" s="392">
        <v>29484</v>
      </c>
      <c r="AA69" s="393">
        <v>924</v>
      </c>
      <c r="AB69" s="367"/>
      <c r="AC69" s="371">
        <v>0</v>
      </c>
      <c r="AD69" s="392">
        <v>27481</v>
      </c>
      <c r="AE69" s="372">
        <v>880</v>
      </c>
      <c r="AF69" s="394"/>
      <c r="AG69" s="371">
        <v>0</v>
      </c>
      <c r="AH69" s="392">
        <v>32490</v>
      </c>
      <c r="AI69" s="372">
        <v>974</v>
      </c>
      <c r="AJ69" s="351" t="s">
        <v>187</v>
      </c>
      <c r="AK69" s="351"/>
      <c r="AN69" s="371">
        <v>0</v>
      </c>
      <c r="AO69" s="392">
        <v>46008</v>
      </c>
      <c r="AP69" s="372">
        <v>1200</v>
      </c>
      <c r="AQ69" s="394"/>
      <c r="AR69" s="371">
        <v>0</v>
      </c>
      <c r="AS69" s="392">
        <v>47450</v>
      </c>
      <c r="AT69" s="372">
        <v>1267</v>
      </c>
      <c r="AU69" s="352"/>
      <c r="AV69" s="377">
        <v>0</v>
      </c>
      <c r="AW69" s="377">
        <v>49493</v>
      </c>
      <c r="AX69" s="378">
        <v>1310</v>
      </c>
      <c r="AY69" s="352"/>
      <c r="AZ69" s="377">
        <v>0</v>
      </c>
      <c r="BA69" s="377">
        <v>49279</v>
      </c>
      <c r="BB69" s="378">
        <v>1358</v>
      </c>
      <c r="BC69" s="378"/>
      <c r="BD69" s="386" t="s">
        <v>713</v>
      </c>
    </row>
    <row r="70" spans="1:56" ht="15" customHeight="1" x14ac:dyDescent="0.2">
      <c r="A70" s="341"/>
      <c r="B70" s="412" t="s">
        <v>189</v>
      </c>
      <c r="C70" s="341"/>
      <c r="D70" s="367">
        <v>227</v>
      </c>
      <c r="E70" s="341"/>
      <c r="F70" s="368" t="s">
        <v>129</v>
      </c>
      <c r="G70" s="341"/>
      <c r="H70" s="368" t="s">
        <v>53</v>
      </c>
      <c r="I70" s="341"/>
      <c r="J70" s="369">
        <v>300</v>
      </c>
      <c r="K70" s="367"/>
      <c r="L70" s="368" t="s">
        <v>184</v>
      </c>
      <c r="M70" s="367"/>
      <c r="N70" s="367" t="s">
        <v>55</v>
      </c>
      <c r="O70" s="341"/>
      <c r="P70" s="341"/>
      <c r="Q70" s="351">
        <v>905</v>
      </c>
      <c r="R70" s="367" t="s">
        <v>50</v>
      </c>
      <c r="S70" s="371">
        <v>0</v>
      </c>
      <c r="T70" s="371">
        <v>202111</v>
      </c>
      <c r="U70" s="367"/>
      <c r="V70" s="372">
        <v>2760</v>
      </c>
      <c r="W70" s="371">
        <v>0</v>
      </c>
      <c r="X70" s="371">
        <v>189448</v>
      </c>
      <c r="Y70" s="341"/>
      <c r="Z70" s="371">
        <v>197206</v>
      </c>
      <c r="AA70" s="372">
        <v>1428</v>
      </c>
      <c r="AB70" s="367"/>
      <c r="AC70" s="371">
        <v>0</v>
      </c>
      <c r="AD70" s="371">
        <v>196420</v>
      </c>
      <c r="AE70" s="372">
        <v>1146</v>
      </c>
      <c r="AF70" s="373"/>
      <c r="AG70" s="371">
        <v>0</v>
      </c>
      <c r="AH70" s="371">
        <v>206583</v>
      </c>
      <c r="AI70" s="372">
        <v>1267</v>
      </c>
      <c r="AJ70" s="351" t="s">
        <v>190</v>
      </c>
      <c r="AK70" s="351"/>
      <c r="AN70" s="371">
        <v>0</v>
      </c>
      <c r="AO70" s="371">
        <v>211605</v>
      </c>
      <c r="AP70" s="372">
        <v>1236</v>
      </c>
      <c r="AQ70" s="373"/>
      <c r="AR70" s="371">
        <v>0</v>
      </c>
      <c r="AS70" s="371">
        <v>187453</v>
      </c>
      <c r="AT70" s="372">
        <v>1143</v>
      </c>
      <c r="AU70" s="367"/>
      <c r="AV70" s="371">
        <v>0</v>
      </c>
      <c r="AW70" s="371">
        <v>206752</v>
      </c>
      <c r="AX70" s="372">
        <v>1164</v>
      </c>
      <c r="AY70" s="367"/>
      <c r="AZ70" s="371">
        <v>0</v>
      </c>
      <c r="BA70" s="371">
        <v>208618</v>
      </c>
      <c r="BB70" s="372">
        <v>1108</v>
      </c>
      <c r="BC70" s="372"/>
      <c r="BD70" s="376" t="s">
        <v>707</v>
      </c>
    </row>
    <row r="71" spans="1:56" ht="15" customHeight="1" x14ac:dyDescent="0.2">
      <c r="A71" s="341"/>
      <c r="B71" s="412"/>
      <c r="C71" s="341"/>
      <c r="D71" s="367">
        <v>227</v>
      </c>
      <c r="E71" s="341"/>
      <c r="F71" s="368" t="s">
        <v>87</v>
      </c>
      <c r="G71" s="341"/>
      <c r="H71" s="368" t="s">
        <v>53</v>
      </c>
      <c r="I71" s="341"/>
      <c r="J71" s="369">
        <v>19</v>
      </c>
      <c r="K71" s="367"/>
      <c r="L71" s="368" t="s">
        <v>126</v>
      </c>
      <c r="M71" s="367"/>
      <c r="N71" s="367" t="s">
        <v>55</v>
      </c>
      <c r="O71" s="341"/>
      <c r="P71" s="341"/>
      <c r="Q71" s="351">
        <v>905</v>
      </c>
      <c r="R71" s="367" t="s">
        <v>50</v>
      </c>
      <c r="S71" s="371">
        <v>0</v>
      </c>
      <c r="T71" s="371">
        <v>440835</v>
      </c>
      <c r="U71" s="367"/>
      <c r="V71" s="372">
        <v>252</v>
      </c>
      <c r="W71" s="371">
        <v>0</v>
      </c>
      <c r="X71" s="371">
        <v>484475</v>
      </c>
      <c r="Y71" s="341"/>
      <c r="Z71" s="371">
        <v>448086</v>
      </c>
      <c r="AA71" s="372"/>
      <c r="AB71" s="367"/>
      <c r="AC71" s="371">
        <v>0</v>
      </c>
      <c r="AD71" s="371">
        <v>470132</v>
      </c>
      <c r="AE71" s="372">
        <v>330</v>
      </c>
      <c r="AF71" s="373"/>
      <c r="AG71" s="371">
        <v>0</v>
      </c>
      <c r="AH71" s="371">
        <v>536175</v>
      </c>
      <c r="AI71" s="372">
        <v>377</v>
      </c>
      <c r="AJ71" s="351" t="s">
        <v>190</v>
      </c>
      <c r="AK71" s="351"/>
      <c r="AN71" s="371">
        <v>0</v>
      </c>
      <c r="AO71" s="371">
        <v>681162</v>
      </c>
      <c r="AP71" s="372">
        <v>433</v>
      </c>
      <c r="AQ71" s="373"/>
      <c r="AR71" s="371">
        <v>0</v>
      </c>
      <c r="AS71" s="371">
        <v>701831</v>
      </c>
      <c r="AT71" s="372">
        <v>447</v>
      </c>
      <c r="AU71" s="352"/>
      <c r="AV71" s="377">
        <v>0</v>
      </c>
      <c r="AW71" s="377">
        <v>752626</v>
      </c>
      <c r="AX71" s="378">
        <v>492</v>
      </c>
      <c r="AY71" s="352"/>
      <c r="AZ71" s="377">
        <v>0</v>
      </c>
      <c r="BA71" s="377">
        <v>820517</v>
      </c>
      <c r="BB71" s="378">
        <v>505</v>
      </c>
      <c r="BC71" s="378"/>
      <c r="BD71" s="386" t="s">
        <v>713</v>
      </c>
    </row>
    <row r="72" spans="1:56" ht="15" customHeight="1" x14ac:dyDescent="0.2">
      <c r="A72" s="341"/>
      <c r="B72" s="412"/>
      <c r="C72" s="341"/>
      <c r="D72" s="367">
        <v>227</v>
      </c>
      <c r="E72" s="341"/>
      <c r="F72" s="368" t="s">
        <v>191</v>
      </c>
      <c r="G72" s="341"/>
      <c r="H72" s="368" t="s">
        <v>53</v>
      </c>
      <c r="I72" s="341"/>
      <c r="J72" s="369">
        <v>29</v>
      </c>
      <c r="K72" s="367"/>
      <c r="L72" s="368" t="s">
        <v>126</v>
      </c>
      <c r="M72" s="367"/>
      <c r="N72" s="367" t="s">
        <v>55</v>
      </c>
      <c r="O72" s="341"/>
      <c r="P72" s="341"/>
      <c r="Q72" s="351">
        <v>905</v>
      </c>
      <c r="R72" s="367" t="s">
        <v>50</v>
      </c>
      <c r="S72" s="371">
        <v>0</v>
      </c>
      <c r="T72" s="371">
        <v>132733</v>
      </c>
      <c r="U72" s="367"/>
      <c r="V72" s="372">
        <v>90</v>
      </c>
      <c r="W72" s="371">
        <v>0</v>
      </c>
      <c r="X72" s="371">
        <v>188692</v>
      </c>
      <c r="Y72" s="341"/>
      <c r="Z72" s="371">
        <v>169177</v>
      </c>
      <c r="AA72" s="372"/>
      <c r="AB72" s="367"/>
      <c r="AC72" s="371">
        <v>0</v>
      </c>
      <c r="AD72" s="371">
        <v>161174</v>
      </c>
      <c r="AE72" s="372">
        <v>39</v>
      </c>
      <c r="AF72" s="373"/>
      <c r="AG72" s="371">
        <v>0</v>
      </c>
      <c r="AH72" s="371">
        <v>127607</v>
      </c>
      <c r="AI72" s="372">
        <v>55</v>
      </c>
      <c r="AJ72" s="351" t="s">
        <v>190</v>
      </c>
      <c r="AK72" s="351"/>
      <c r="AN72" s="371">
        <v>0</v>
      </c>
      <c r="AO72" s="371">
        <v>124138</v>
      </c>
      <c r="AP72" s="372">
        <v>56</v>
      </c>
      <c r="AQ72" s="373"/>
      <c r="AR72" s="371">
        <v>0</v>
      </c>
      <c r="AS72" s="371">
        <v>106304</v>
      </c>
      <c r="AT72" s="372">
        <v>51</v>
      </c>
      <c r="AU72" s="367"/>
      <c r="AV72" s="371">
        <v>0</v>
      </c>
      <c r="AW72" s="371">
        <v>143645</v>
      </c>
      <c r="AX72" s="372">
        <v>54</v>
      </c>
      <c r="AY72" s="367"/>
      <c r="AZ72" s="371">
        <v>0</v>
      </c>
      <c r="BA72" s="371">
        <v>131358</v>
      </c>
      <c r="BB72" s="372">
        <v>38</v>
      </c>
      <c r="BC72" s="372"/>
      <c r="BD72" s="376" t="s">
        <v>713</v>
      </c>
    </row>
    <row r="73" spans="1:56" ht="15" customHeight="1" x14ac:dyDescent="0.2">
      <c r="A73" s="341"/>
      <c r="B73" s="412"/>
      <c r="C73" s="341"/>
      <c r="D73" s="367">
        <v>227</v>
      </c>
      <c r="E73" s="341"/>
      <c r="F73" s="368" t="s">
        <v>192</v>
      </c>
      <c r="G73" s="341"/>
      <c r="H73" s="368" t="s">
        <v>53</v>
      </c>
      <c r="I73" s="341"/>
      <c r="J73" s="369">
        <v>500</v>
      </c>
      <c r="K73" s="367"/>
      <c r="L73" s="368" t="s">
        <v>193</v>
      </c>
      <c r="M73" s="367"/>
      <c r="N73" s="367" t="s">
        <v>55</v>
      </c>
      <c r="O73" s="341"/>
      <c r="P73" s="341"/>
      <c r="Q73" s="351">
        <v>905</v>
      </c>
      <c r="R73" s="367"/>
      <c r="S73" s="371">
        <v>0</v>
      </c>
      <c r="T73" s="371">
        <v>76430</v>
      </c>
      <c r="U73" s="367"/>
      <c r="V73" s="372">
        <v>366</v>
      </c>
      <c r="W73" s="371">
        <v>0</v>
      </c>
      <c r="X73" s="371">
        <v>75667</v>
      </c>
      <c r="Y73" s="341"/>
      <c r="Z73" s="371">
        <v>86251</v>
      </c>
      <c r="AA73" s="372">
        <v>255</v>
      </c>
      <c r="AB73" s="367"/>
      <c r="AC73" s="371">
        <v>0</v>
      </c>
      <c r="AD73" s="371">
        <v>68534</v>
      </c>
      <c r="AE73" s="372">
        <v>351</v>
      </c>
      <c r="AF73" s="373"/>
      <c r="AG73" s="371">
        <v>0</v>
      </c>
      <c r="AH73" s="371">
        <v>67346</v>
      </c>
      <c r="AI73" s="372">
        <v>320</v>
      </c>
      <c r="AJ73" s="351" t="s">
        <v>194</v>
      </c>
      <c r="AK73" s="351"/>
      <c r="AN73" s="371">
        <v>0</v>
      </c>
      <c r="AO73" s="371">
        <v>55883</v>
      </c>
      <c r="AP73" s="372">
        <v>292</v>
      </c>
      <c r="AQ73" s="373"/>
      <c r="AR73" s="371">
        <v>0</v>
      </c>
      <c r="AS73" s="371">
        <v>56000</v>
      </c>
      <c r="AT73" s="372">
        <v>313</v>
      </c>
      <c r="AU73" s="352"/>
      <c r="AV73" s="377">
        <v>0</v>
      </c>
      <c r="AW73" s="377">
        <v>63711</v>
      </c>
      <c r="AX73" s="378">
        <v>292</v>
      </c>
      <c r="AY73" s="352"/>
      <c r="AZ73" s="377">
        <v>0</v>
      </c>
      <c r="BA73" s="377">
        <v>77014</v>
      </c>
      <c r="BB73" s="378">
        <v>313</v>
      </c>
      <c r="BC73" s="378"/>
      <c r="BD73" s="386" t="s">
        <v>713</v>
      </c>
    </row>
    <row r="74" spans="1:56" ht="36" customHeight="1" x14ac:dyDescent="0.2">
      <c r="A74" s="341"/>
      <c r="B74" s="412"/>
      <c r="C74" s="341"/>
      <c r="D74" s="367"/>
      <c r="E74" s="341"/>
      <c r="F74" s="368" t="s">
        <v>59</v>
      </c>
      <c r="G74" s="341"/>
      <c r="H74" s="368" t="s">
        <v>60</v>
      </c>
      <c r="I74" s="341"/>
      <c r="J74" s="369" t="s">
        <v>883</v>
      </c>
      <c r="K74" s="367"/>
      <c r="L74" s="368"/>
      <c r="M74" s="367"/>
      <c r="N74" s="367"/>
      <c r="O74" s="341"/>
      <c r="P74" s="341"/>
      <c r="Q74" s="351"/>
      <c r="R74" s="367"/>
      <c r="S74" s="371"/>
      <c r="T74" s="371"/>
      <c r="U74" s="367"/>
      <c r="V74" s="372"/>
      <c r="W74" s="371"/>
      <c r="X74" s="371"/>
      <c r="Y74" s="341"/>
      <c r="Z74" s="371"/>
      <c r="AA74" s="372"/>
      <c r="AB74" s="367"/>
      <c r="AC74" s="371"/>
      <c r="AD74" s="371"/>
      <c r="AE74" s="372"/>
      <c r="AF74" s="373"/>
      <c r="AG74" s="371"/>
      <c r="AH74" s="371"/>
      <c r="AI74" s="372"/>
      <c r="AK74" s="351"/>
      <c r="AN74" s="371"/>
      <c r="AO74" s="371"/>
      <c r="AP74" s="372"/>
      <c r="AQ74" s="373"/>
      <c r="AR74" s="371">
        <v>0</v>
      </c>
      <c r="AS74" s="371">
        <v>0</v>
      </c>
      <c r="AT74" s="372">
        <v>0</v>
      </c>
      <c r="AU74" s="367"/>
      <c r="AV74" s="371">
        <v>0</v>
      </c>
      <c r="AW74" s="371">
        <v>1515</v>
      </c>
      <c r="AX74" s="372">
        <v>12</v>
      </c>
      <c r="AY74" s="367"/>
      <c r="AZ74" s="371">
        <v>0</v>
      </c>
      <c r="BA74" s="371">
        <v>11947</v>
      </c>
      <c r="BB74" s="372">
        <v>31</v>
      </c>
      <c r="BC74" s="372"/>
      <c r="BD74" s="376" t="s">
        <v>713</v>
      </c>
    </row>
    <row r="75" spans="1:56" ht="24" customHeight="1" x14ac:dyDescent="0.2">
      <c r="A75" s="341"/>
      <c r="B75" s="412"/>
      <c r="C75" s="341"/>
      <c r="D75" s="367"/>
      <c r="E75" s="341"/>
      <c r="F75" s="368" t="s">
        <v>714</v>
      </c>
      <c r="G75" s="341"/>
      <c r="H75" s="368" t="s">
        <v>715</v>
      </c>
      <c r="I75" s="341"/>
      <c r="J75" s="369" t="s">
        <v>884</v>
      </c>
      <c r="K75" s="367"/>
      <c r="L75" s="368"/>
      <c r="M75" s="367"/>
      <c r="N75" s="367"/>
      <c r="O75" s="341"/>
      <c r="P75" s="341"/>
      <c r="Q75" s="351"/>
      <c r="R75" s="367"/>
      <c r="S75" s="371"/>
      <c r="T75" s="371"/>
      <c r="U75" s="367"/>
      <c r="V75" s="372"/>
      <c r="W75" s="371"/>
      <c r="X75" s="371"/>
      <c r="Y75" s="341"/>
      <c r="Z75" s="371"/>
      <c r="AA75" s="372"/>
      <c r="AB75" s="367"/>
      <c r="AC75" s="371"/>
      <c r="AD75" s="371"/>
      <c r="AE75" s="372"/>
      <c r="AF75" s="373"/>
      <c r="AG75" s="371"/>
      <c r="AH75" s="371"/>
      <c r="AI75" s="372"/>
      <c r="AK75" s="351"/>
      <c r="AN75" s="371"/>
      <c r="AO75" s="371"/>
      <c r="AP75" s="372"/>
      <c r="AQ75" s="373"/>
      <c r="AR75" s="371">
        <v>0</v>
      </c>
      <c r="AS75" s="371">
        <v>0</v>
      </c>
      <c r="AT75" s="372">
        <v>0</v>
      </c>
      <c r="AU75" s="352"/>
      <c r="AV75" s="377">
        <v>0</v>
      </c>
      <c r="AW75" s="377">
        <v>2710</v>
      </c>
      <c r="AX75" s="378">
        <v>12</v>
      </c>
      <c r="AY75" s="352"/>
      <c r="AZ75" s="377">
        <v>0</v>
      </c>
      <c r="BA75" s="377">
        <v>8450</v>
      </c>
      <c r="BB75" s="378">
        <v>22</v>
      </c>
      <c r="BC75" s="378"/>
      <c r="BD75" s="386" t="s">
        <v>713</v>
      </c>
    </row>
    <row r="76" spans="1:56" ht="15" customHeight="1" x14ac:dyDescent="0.2">
      <c r="A76" s="341" t="s">
        <v>50</v>
      </c>
      <c r="B76" s="412" t="s">
        <v>195</v>
      </c>
      <c r="C76" s="341"/>
      <c r="D76" s="367">
        <v>228</v>
      </c>
      <c r="E76" s="341"/>
      <c r="F76" s="368" t="s">
        <v>885</v>
      </c>
      <c r="G76" s="341"/>
      <c r="H76" s="368" t="s">
        <v>832</v>
      </c>
      <c r="I76" s="341"/>
      <c r="J76" s="369" t="s">
        <v>886</v>
      </c>
      <c r="K76" s="367"/>
      <c r="L76" s="368" t="s">
        <v>184</v>
      </c>
      <c r="M76" s="367"/>
      <c r="N76" s="367" t="s">
        <v>55</v>
      </c>
      <c r="O76" s="341"/>
      <c r="P76" s="370">
        <v>38899</v>
      </c>
      <c r="Q76" s="351">
        <v>905</v>
      </c>
      <c r="R76" s="367" t="s">
        <v>460</v>
      </c>
      <c r="S76" s="371">
        <v>0</v>
      </c>
      <c r="T76" s="371">
        <v>274340.53000000003</v>
      </c>
      <c r="U76" s="367"/>
      <c r="V76" s="372">
        <v>5014</v>
      </c>
      <c r="W76" s="371">
        <v>0</v>
      </c>
      <c r="X76" s="371">
        <v>242360</v>
      </c>
      <c r="Y76" s="341"/>
      <c r="Z76" s="371">
        <v>307898</v>
      </c>
      <c r="AA76" s="372">
        <v>6380</v>
      </c>
      <c r="AB76" s="367"/>
      <c r="AC76" s="371">
        <v>0</v>
      </c>
      <c r="AD76" s="371">
        <v>305009</v>
      </c>
      <c r="AE76" s="372">
        <v>2014</v>
      </c>
      <c r="AF76" s="373"/>
      <c r="AG76" s="371">
        <v>0</v>
      </c>
      <c r="AH76" s="371">
        <v>315906</v>
      </c>
      <c r="AI76" s="372">
        <v>2098</v>
      </c>
      <c r="AJ76" s="351" t="s">
        <v>196</v>
      </c>
      <c r="AK76" s="351"/>
      <c r="AL76" s="351" t="s">
        <v>197</v>
      </c>
      <c r="AN76" s="371">
        <v>0</v>
      </c>
      <c r="AO76" s="371">
        <v>309120.42</v>
      </c>
      <c r="AP76" s="372">
        <v>2039</v>
      </c>
      <c r="AQ76" s="373"/>
      <c r="AR76" s="371">
        <v>0</v>
      </c>
      <c r="AS76" s="371">
        <v>325605.26</v>
      </c>
      <c r="AT76" s="372">
        <v>1887</v>
      </c>
      <c r="AU76" s="367"/>
      <c r="AV76" s="371">
        <v>0</v>
      </c>
      <c r="AW76" s="371">
        <v>278721.84999999998</v>
      </c>
      <c r="AX76" s="372">
        <v>1597</v>
      </c>
      <c r="AY76" s="367"/>
      <c r="AZ76" s="371">
        <v>0</v>
      </c>
      <c r="BA76" s="371">
        <v>274526.12</v>
      </c>
      <c r="BB76" s="372">
        <v>1573</v>
      </c>
      <c r="BC76" s="372"/>
      <c r="BD76" s="376" t="s">
        <v>707</v>
      </c>
    </row>
    <row r="77" spans="1:56" ht="15" customHeight="1" x14ac:dyDescent="0.2">
      <c r="A77" s="341"/>
      <c r="B77" s="412"/>
      <c r="C77" s="341"/>
      <c r="D77" s="367">
        <v>228</v>
      </c>
      <c r="E77" s="341"/>
      <c r="F77" s="368" t="s">
        <v>887</v>
      </c>
      <c r="G77" s="341"/>
      <c r="H77" s="368" t="s">
        <v>88</v>
      </c>
      <c r="I77" s="341"/>
      <c r="J77" s="369" t="s">
        <v>888</v>
      </c>
      <c r="K77" s="367"/>
      <c r="L77" s="368" t="s">
        <v>198</v>
      </c>
      <c r="M77" s="367"/>
      <c r="N77" s="367" t="s">
        <v>55</v>
      </c>
      <c r="O77" s="341"/>
      <c r="P77" s="370">
        <v>39630</v>
      </c>
      <c r="Q77" s="351">
        <v>905</v>
      </c>
      <c r="R77" s="367">
        <v>50</v>
      </c>
      <c r="S77" s="371">
        <v>0</v>
      </c>
      <c r="T77" s="371">
        <v>68523.33</v>
      </c>
      <c r="U77" s="367"/>
      <c r="V77" s="372">
        <v>55</v>
      </c>
      <c r="W77" s="371">
        <v>0</v>
      </c>
      <c r="X77" s="371">
        <v>62321</v>
      </c>
      <c r="Y77" s="341"/>
      <c r="Z77" s="371">
        <v>49016.26</v>
      </c>
      <c r="AA77" s="372"/>
      <c r="AB77" s="367"/>
      <c r="AC77" s="371">
        <v>0</v>
      </c>
      <c r="AD77" s="371">
        <v>35266</v>
      </c>
      <c r="AE77" s="372">
        <v>26</v>
      </c>
      <c r="AF77" s="373"/>
      <c r="AG77" s="371">
        <v>0</v>
      </c>
      <c r="AH77" s="371">
        <v>26194.3</v>
      </c>
      <c r="AI77" s="372">
        <v>14</v>
      </c>
      <c r="AJ77" s="351" t="s">
        <v>196</v>
      </c>
      <c r="AK77" s="351"/>
      <c r="AN77" s="371">
        <v>0</v>
      </c>
      <c r="AO77" s="371">
        <v>24108.38</v>
      </c>
      <c r="AP77" s="372">
        <v>16</v>
      </c>
      <c r="AQ77" s="373"/>
      <c r="AR77" s="371">
        <v>0</v>
      </c>
      <c r="AS77" s="371">
        <v>1034113.1799999999</v>
      </c>
      <c r="AT77" s="372">
        <v>564</v>
      </c>
      <c r="AU77" s="352"/>
      <c r="AV77" s="377">
        <v>0</v>
      </c>
      <c r="AW77" s="377">
        <v>937653.1399999999</v>
      </c>
      <c r="AX77" s="378">
        <v>553</v>
      </c>
      <c r="AY77" s="352"/>
      <c r="AZ77" s="377">
        <v>0</v>
      </c>
      <c r="BA77" s="377">
        <v>1001634.83</v>
      </c>
      <c r="BB77" s="378">
        <v>592</v>
      </c>
      <c r="BC77" s="378"/>
      <c r="BD77" s="386" t="s">
        <v>713</v>
      </c>
    </row>
    <row r="78" spans="1:56" ht="15" customHeight="1" x14ac:dyDescent="0.2">
      <c r="A78" s="341"/>
      <c r="B78" s="412"/>
      <c r="C78" s="341"/>
      <c r="D78" s="367">
        <v>228</v>
      </c>
      <c r="E78" s="341"/>
      <c r="F78" s="368" t="s">
        <v>889</v>
      </c>
      <c r="G78" s="341"/>
      <c r="H78" s="368" t="s">
        <v>832</v>
      </c>
      <c r="I78" s="341"/>
      <c r="J78" s="369" t="s">
        <v>890</v>
      </c>
      <c r="K78" s="367"/>
      <c r="L78" s="368" t="s">
        <v>198</v>
      </c>
      <c r="M78" s="367"/>
      <c r="N78" s="367" t="s">
        <v>55</v>
      </c>
      <c r="O78" s="341"/>
      <c r="P78" s="370">
        <v>39630</v>
      </c>
      <c r="Q78" s="351">
        <v>905</v>
      </c>
      <c r="R78" s="367">
        <v>374</v>
      </c>
      <c r="S78" s="371">
        <v>0</v>
      </c>
      <c r="T78" s="371">
        <v>287185.39</v>
      </c>
      <c r="U78" s="367"/>
      <c r="V78" s="372">
        <v>337</v>
      </c>
      <c r="W78" s="371">
        <v>0</v>
      </c>
      <c r="X78" s="371">
        <v>289675</v>
      </c>
      <c r="Y78" s="341"/>
      <c r="Z78" s="371">
        <v>329039</v>
      </c>
      <c r="AA78" s="372"/>
      <c r="AB78" s="367"/>
      <c r="AC78" s="371">
        <v>0</v>
      </c>
      <c r="AD78" s="371">
        <v>391819</v>
      </c>
      <c r="AE78" s="372">
        <v>337</v>
      </c>
      <c r="AF78" s="373"/>
      <c r="AG78" s="371">
        <v>0</v>
      </c>
      <c r="AH78" s="371">
        <v>525750</v>
      </c>
      <c r="AI78" s="372">
        <v>332</v>
      </c>
      <c r="AJ78" s="351" t="s">
        <v>196</v>
      </c>
      <c r="AK78" s="351"/>
      <c r="AN78" s="371">
        <v>0</v>
      </c>
      <c r="AO78" s="371">
        <v>662009.9</v>
      </c>
      <c r="AP78" s="372">
        <v>482</v>
      </c>
      <c r="AQ78" s="373"/>
      <c r="AR78" s="371">
        <v>0</v>
      </c>
      <c r="AS78" s="371">
        <v>174</v>
      </c>
      <c r="AT78" s="372">
        <v>6</v>
      </c>
      <c r="AU78" s="367"/>
      <c r="AV78" s="371">
        <v>0</v>
      </c>
      <c r="AW78" s="371">
        <v>391</v>
      </c>
      <c r="AX78" s="372">
        <v>10</v>
      </c>
      <c r="AY78" s="367"/>
      <c r="AZ78" s="371">
        <v>0</v>
      </c>
      <c r="BA78" s="371">
        <v>100</v>
      </c>
      <c r="BB78" s="372">
        <v>3</v>
      </c>
      <c r="BC78" s="372"/>
      <c r="BD78" s="376" t="s">
        <v>713</v>
      </c>
    </row>
    <row r="79" spans="1:56" ht="15" customHeight="1" x14ac:dyDescent="0.2">
      <c r="A79" s="341"/>
      <c r="B79" s="412"/>
      <c r="C79" s="341"/>
      <c r="D79" s="367">
        <v>228</v>
      </c>
      <c r="E79" s="341"/>
      <c r="F79" s="368" t="s">
        <v>891</v>
      </c>
      <c r="G79" s="341"/>
      <c r="H79" s="368" t="s">
        <v>892</v>
      </c>
      <c r="I79" s="341"/>
      <c r="J79" s="369" t="s">
        <v>893</v>
      </c>
      <c r="K79" s="367"/>
      <c r="L79" s="368" t="s">
        <v>198</v>
      </c>
      <c r="M79" s="367"/>
      <c r="N79" s="367" t="s">
        <v>55</v>
      </c>
      <c r="O79" s="341"/>
      <c r="P79" s="370">
        <v>39630</v>
      </c>
      <c r="Q79" s="351">
        <v>905</v>
      </c>
      <c r="R79" s="367">
        <v>17</v>
      </c>
      <c r="S79" s="371">
        <v>0</v>
      </c>
      <c r="T79" s="371">
        <v>17763.349999999999</v>
      </c>
      <c r="U79" s="367"/>
      <c r="V79" s="372">
        <v>52</v>
      </c>
      <c r="W79" s="371">
        <v>0</v>
      </c>
      <c r="X79" s="371">
        <v>16084</v>
      </c>
      <c r="Y79" s="341"/>
      <c r="Z79" s="371">
        <v>9796</v>
      </c>
      <c r="AA79" s="372"/>
      <c r="AB79" s="367"/>
      <c r="AC79" s="371">
        <v>0</v>
      </c>
      <c r="AD79" s="371">
        <v>24417</v>
      </c>
      <c r="AE79" s="372">
        <v>11</v>
      </c>
      <c r="AF79" s="373"/>
      <c r="AG79" s="371">
        <v>0</v>
      </c>
      <c r="AH79" s="371">
        <v>566</v>
      </c>
      <c r="AI79" s="372">
        <v>6</v>
      </c>
      <c r="AJ79" s="351" t="s">
        <v>196</v>
      </c>
      <c r="AK79" s="351"/>
      <c r="AN79" s="371">
        <v>0</v>
      </c>
      <c r="AO79" s="371">
        <v>6412.92</v>
      </c>
      <c r="AP79" s="372">
        <v>4</v>
      </c>
      <c r="AQ79" s="373"/>
      <c r="AR79" s="371">
        <v>0</v>
      </c>
      <c r="AS79" s="371">
        <v>78973.929999999993</v>
      </c>
      <c r="AT79" s="372">
        <v>186</v>
      </c>
      <c r="AU79" s="381"/>
      <c r="AV79" s="382">
        <v>0</v>
      </c>
      <c r="AW79" s="382">
        <v>72480.929999999993</v>
      </c>
      <c r="AX79" s="374">
        <v>189</v>
      </c>
      <c r="AY79" s="381"/>
      <c r="AZ79" s="382">
        <v>0</v>
      </c>
      <c r="BA79" s="382">
        <v>50911.71</v>
      </c>
      <c r="BB79" s="374">
        <v>170</v>
      </c>
      <c r="BC79" s="374"/>
      <c r="BD79" s="383" t="s">
        <v>713</v>
      </c>
    </row>
    <row r="80" spans="1:56" ht="15" customHeight="1" x14ac:dyDescent="0.2">
      <c r="A80" s="341"/>
      <c r="B80" s="412"/>
      <c r="C80" s="341"/>
      <c r="D80" s="367">
        <v>228</v>
      </c>
      <c r="E80" s="341"/>
      <c r="F80" s="368" t="s">
        <v>894</v>
      </c>
      <c r="G80" s="341"/>
      <c r="H80" s="368" t="s">
        <v>895</v>
      </c>
      <c r="I80" s="341"/>
      <c r="J80" s="369" t="s">
        <v>896</v>
      </c>
      <c r="K80" s="367"/>
      <c r="L80" s="368" t="s">
        <v>199</v>
      </c>
      <c r="M80" s="367"/>
      <c r="N80" s="367" t="s">
        <v>55</v>
      </c>
      <c r="O80" s="341"/>
      <c r="P80" s="341"/>
      <c r="Q80" s="351">
        <v>905</v>
      </c>
      <c r="R80" s="367">
        <v>21</v>
      </c>
      <c r="S80" s="371">
        <v>0</v>
      </c>
      <c r="T80" s="371">
        <v>2045</v>
      </c>
      <c r="U80" s="367"/>
      <c r="V80" s="372">
        <v>27</v>
      </c>
      <c r="W80" s="371">
        <v>0</v>
      </c>
      <c r="X80" s="371">
        <v>2640</v>
      </c>
      <c r="Y80" s="341"/>
      <c r="Z80" s="371">
        <v>3542</v>
      </c>
      <c r="AA80" s="372">
        <v>20</v>
      </c>
      <c r="AB80" s="367"/>
      <c r="AC80" s="371">
        <v>0</v>
      </c>
      <c r="AD80" s="371">
        <v>2908</v>
      </c>
      <c r="AE80" s="372">
        <v>23</v>
      </c>
      <c r="AF80" s="373"/>
      <c r="AG80" s="371">
        <v>0</v>
      </c>
      <c r="AH80" s="371">
        <v>2153</v>
      </c>
      <c r="AI80" s="372">
        <v>36</v>
      </c>
      <c r="AJ80" s="351" t="s">
        <v>196</v>
      </c>
      <c r="AK80" s="351"/>
      <c r="AN80" s="371">
        <v>0</v>
      </c>
      <c r="AO80" s="371">
        <v>1665</v>
      </c>
      <c r="AP80" s="372">
        <v>29</v>
      </c>
      <c r="AQ80" s="373"/>
      <c r="AR80" s="371">
        <v>0</v>
      </c>
      <c r="AS80" s="371">
        <v>62459.72</v>
      </c>
      <c r="AT80" s="372">
        <v>265</v>
      </c>
      <c r="AU80" s="381"/>
      <c r="AV80" s="382">
        <v>0</v>
      </c>
      <c r="AW80" s="382">
        <v>47272.09</v>
      </c>
      <c r="AX80" s="374">
        <v>230</v>
      </c>
      <c r="AY80" s="381"/>
      <c r="AZ80" s="382">
        <v>0</v>
      </c>
      <c r="BA80" s="382">
        <v>42078.18</v>
      </c>
      <c r="BB80" s="374">
        <v>209</v>
      </c>
      <c r="BC80" s="374"/>
      <c r="BD80" s="383" t="s">
        <v>713</v>
      </c>
    </row>
    <row r="81" spans="1:56" ht="24" customHeight="1" x14ac:dyDescent="0.2">
      <c r="A81" s="341"/>
      <c r="B81" s="412"/>
      <c r="C81" s="341"/>
      <c r="D81" s="367">
        <v>228</v>
      </c>
      <c r="E81" s="341"/>
      <c r="F81" s="368" t="s">
        <v>897</v>
      </c>
      <c r="G81" s="341"/>
      <c r="H81" s="368" t="s">
        <v>898</v>
      </c>
      <c r="I81" s="341"/>
      <c r="J81" s="369" t="s">
        <v>899</v>
      </c>
      <c r="K81" s="367"/>
      <c r="L81" s="368" t="s">
        <v>199</v>
      </c>
      <c r="M81" s="367"/>
      <c r="N81" s="367" t="s">
        <v>55</v>
      </c>
      <c r="O81" s="341"/>
      <c r="P81" s="341"/>
      <c r="Q81" s="351">
        <v>905</v>
      </c>
      <c r="R81" s="367">
        <v>34</v>
      </c>
      <c r="S81" s="371">
        <v>0</v>
      </c>
      <c r="T81" s="371">
        <v>3255</v>
      </c>
      <c r="U81" s="367"/>
      <c r="V81" s="372">
        <v>142</v>
      </c>
      <c r="W81" s="371">
        <v>0</v>
      </c>
      <c r="X81" s="371">
        <v>5275</v>
      </c>
      <c r="Y81" s="341"/>
      <c r="Z81" s="371">
        <v>5008</v>
      </c>
      <c r="AA81" s="372">
        <v>51</v>
      </c>
      <c r="AB81" s="367"/>
      <c r="AC81" s="371">
        <v>0</v>
      </c>
      <c r="AD81" s="371">
        <v>3820</v>
      </c>
      <c r="AE81" s="372">
        <v>38</v>
      </c>
      <c r="AF81" s="373"/>
      <c r="AG81" s="371">
        <v>0</v>
      </c>
      <c r="AH81" s="371">
        <v>2238</v>
      </c>
      <c r="AI81" s="372">
        <v>27</v>
      </c>
      <c r="AJ81" s="351" t="s">
        <v>196</v>
      </c>
      <c r="AK81" s="351"/>
      <c r="AN81" s="371">
        <v>0</v>
      </c>
      <c r="AO81" s="371">
        <v>3205.54</v>
      </c>
      <c r="AP81" s="372">
        <v>32</v>
      </c>
      <c r="AQ81" s="373"/>
      <c r="AR81" s="371">
        <v>0</v>
      </c>
      <c r="AS81" s="371">
        <v>620</v>
      </c>
      <c r="AT81" s="372">
        <v>22</v>
      </c>
      <c r="AU81" s="381"/>
      <c r="AV81" s="382">
        <v>0</v>
      </c>
      <c r="AW81" s="382">
        <v>561</v>
      </c>
      <c r="AX81" s="374">
        <v>38</v>
      </c>
      <c r="AY81" s="381"/>
      <c r="AZ81" s="382">
        <v>0</v>
      </c>
      <c r="BA81" s="382">
        <v>1056</v>
      </c>
      <c r="BB81" s="374">
        <v>65</v>
      </c>
      <c r="BC81" s="374"/>
      <c r="BD81" s="383" t="s">
        <v>713</v>
      </c>
    </row>
    <row r="82" spans="1:56" ht="24" customHeight="1" x14ac:dyDescent="0.2">
      <c r="A82" s="341"/>
      <c r="B82" s="412"/>
      <c r="C82" s="341"/>
      <c r="D82" s="367">
        <v>228</v>
      </c>
      <c r="E82" s="341"/>
      <c r="F82" s="368" t="s">
        <v>900</v>
      </c>
      <c r="G82" s="341"/>
      <c r="H82" s="368" t="s">
        <v>898</v>
      </c>
      <c r="I82" s="341"/>
      <c r="J82" s="369" t="s">
        <v>901</v>
      </c>
      <c r="K82" s="367"/>
      <c r="L82" s="368" t="s">
        <v>200</v>
      </c>
      <c r="M82" s="367"/>
      <c r="N82" s="367" t="s">
        <v>55</v>
      </c>
      <c r="O82" s="341"/>
      <c r="P82" s="341"/>
      <c r="Q82" s="351">
        <v>905</v>
      </c>
      <c r="R82" s="367" t="s">
        <v>201</v>
      </c>
      <c r="S82" s="371">
        <v>0</v>
      </c>
      <c r="T82" s="371">
        <v>33020.5</v>
      </c>
      <c r="U82" s="367"/>
      <c r="V82" s="372">
        <v>846</v>
      </c>
      <c r="W82" s="371">
        <v>0</v>
      </c>
      <c r="X82" s="371">
        <v>46142</v>
      </c>
      <c r="Y82" s="341"/>
      <c r="Z82" s="371">
        <v>49525</v>
      </c>
      <c r="AA82" s="372" t="s">
        <v>635</v>
      </c>
      <c r="AB82" s="367"/>
      <c r="AC82" s="371">
        <v>0</v>
      </c>
      <c r="AD82" s="371">
        <v>55513</v>
      </c>
      <c r="AE82" s="372">
        <v>146</v>
      </c>
      <c r="AF82" s="373"/>
      <c r="AG82" s="371">
        <v>0</v>
      </c>
      <c r="AH82" s="371">
        <v>49984</v>
      </c>
      <c r="AI82" s="372">
        <v>160</v>
      </c>
      <c r="AJ82" s="351" t="s">
        <v>196</v>
      </c>
      <c r="AK82" s="351"/>
      <c r="AN82" s="371">
        <v>0</v>
      </c>
      <c r="AO82" s="371">
        <v>54074.21</v>
      </c>
      <c r="AP82" s="372">
        <v>148</v>
      </c>
      <c r="AQ82" s="373"/>
      <c r="AR82" s="371">
        <v>0</v>
      </c>
      <c r="AS82" s="371">
        <v>4270.46</v>
      </c>
      <c r="AT82" s="372">
        <v>38</v>
      </c>
      <c r="AU82" s="381"/>
      <c r="AV82" s="382">
        <v>0</v>
      </c>
      <c r="AW82" s="382">
        <v>3842.02</v>
      </c>
      <c r="AX82" s="374">
        <v>32</v>
      </c>
      <c r="AY82" s="381"/>
      <c r="AZ82" s="382">
        <v>0</v>
      </c>
      <c r="BA82" s="382">
        <v>4461.24</v>
      </c>
      <c r="BB82" s="374">
        <v>38</v>
      </c>
      <c r="BC82" s="374"/>
      <c r="BD82" s="383" t="s">
        <v>713</v>
      </c>
    </row>
    <row r="83" spans="1:56" ht="15" customHeight="1" x14ac:dyDescent="0.2">
      <c r="A83" s="341"/>
      <c r="B83" s="412" t="s">
        <v>203</v>
      </c>
      <c r="C83" s="341"/>
      <c r="D83" s="367">
        <v>238</v>
      </c>
      <c r="E83" s="341"/>
      <c r="F83" s="368" t="s">
        <v>902</v>
      </c>
      <c r="G83" s="341"/>
      <c r="H83" s="368" t="s">
        <v>53</v>
      </c>
      <c r="I83" s="341"/>
      <c r="J83" s="369">
        <v>100</v>
      </c>
      <c r="K83" s="367"/>
      <c r="L83" s="368" t="s">
        <v>41</v>
      </c>
      <c r="M83" s="367"/>
      <c r="N83" s="367" t="s">
        <v>205</v>
      </c>
      <c r="O83" s="341"/>
      <c r="P83" s="341">
        <v>2004</v>
      </c>
      <c r="Q83" s="351" t="s">
        <v>206</v>
      </c>
      <c r="R83" s="367" t="s">
        <v>204</v>
      </c>
      <c r="S83" s="371">
        <v>0</v>
      </c>
      <c r="T83" s="371">
        <v>56440</v>
      </c>
      <c r="U83" s="367"/>
      <c r="V83" s="372"/>
      <c r="W83" s="371">
        <v>0</v>
      </c>
      <c r="X83" s="371">
        <v>51900</v>
      </c>
      <c r="Y83" s="341"/>
      <c r="Z83" s="371">
        <v>66700</v>
      </c>
      <c r="AA83" s="372">
        <v>667</v>
      </c>
      <c r="AB83" s="367"/>
      <c r="AC83" s="371">
        <v>0</v>
      </c>
      <c r="AD83" s="371">
        <v>71600</v>
      </c>
      <c r="AE83" s="372">
        <v>716</v>
      </c>
      <c r="AF83" s="373"/>
      <c r="AG83" s="371">
        <v>0</v>
      </c>
      <c r="AH83" s="371">
        <v>65800</v>
      </c>
      <c r="AI83" s="372">
        <v>658</v>
      </c>
      <c r="AJ83" s="351" t="s">
        <v>207</v>
      </c>
      <c r="AK83" s="351"/>
      <c r="AN83" s="371"/>
      <c r="AO83" s="371">
        <v>66408</v>
      </c>
      <c r="AP83" s="372">
        <v>664</v>
      </c>
      <c r="AQ83" s="373"/>
      <c r="AR83" s="371"/>
      <c r="AS83" s="371">
        <v>70303</v>
      </c>
      <c r="AT83" s="372">
        <v>703</v>
      </c>
      <c r="AU83" s="367"/>
      <c r="AV83" s="371">
        <v>0</v>
      </c>
      <c r="AW83" s="371">
        <v>69550</v>
      </c>
      <c r="AX83" s="372">
        <v>696</v>
      </c>
      <c r="AY83" s="367"/>
      <c r="AZ83" s="371">
        <v>0</v>
      </c>
      <c r="BA83" s="371">
        <v>67475</v>
      </c>
      <c r="BB83" s="372">
        <v>675</v>
      </c>
      <c r="BC83" s="372"/>
      <c r="BD83" s="376" t="s">
        <v>707</v>
      </c>
    </row>
    <row r="84" spans="1:56" ht="15" customHeight="1" x14ac:dyDescent="0.2">
      <c r="A84" s="341"/>
      <c r="B84" s="412" t="s">
        <v>208</v>
      </c>
      <c r="C84" s="341"/>
      <c r="D84" s="367">
        <v>242</v>
      </c>
      <c r="E84" s="341"/>
      <c r="F84" s="368" t="s">
        <v>903</v>
      </c>
      <c r="G84" s="341"/>
      <c r="H84" s="368" t="s">
        <v>53</v>
      </c>
      <c r="I84" s="341"/>
      <c r="J84" s="369" t="s">
        <v>209</v>
      </c>
      <c r="K84" s="367"/>
      <c r="L84" s="368"/>
      <c r="M84" s="367"/>
      <c r="N84" s="367" t="s">
        <v>55</v>
      </c>
      <c r="O84" s="341"/>
      <c r="P84" s="341"/>
      <c r="Q84" s="351">
        <v>904.10799999999995</v>
      </c>
      <c r="R84" s="375">
        <v>1060</v>
      </c>
      <c r="S84" s="371">
        <v>0</v>
      </c>
      <c r="T84" s="371">
        <v>45404</v>
      </c>
      <c r="U84" s="367"/>
      <c r="V84" s="372">
        <v>971</v>
      </c>
      <c r="W84" s="371">
        <v>0</v>
      </c>
      <c r="X84" s="371">
        <v>44976</v>
      </c>
      <c r="Y84" s="341"/>
      <c r="Z84" s="371">
        <v>45920.71</v>
      </c>
      <c r="AA84" s="372">
        <v>962</v>
      </c>
      <c r="AB84" s="367"/>
      <c r="AC84" s="371">
        <v>0</v>
      </c>
      <c r="AD84" s="371">
        <v>41135</v>
      </c>
      <c r="AE84" s="372">
        <v>1905</v>
      </c>
      <c r="AF84" s="373"/>
      <c r="AG84" s="371">
        <v>0</v>
      </c>
      <c r="AH84" s="371">
        <v>38755</v>
      </c>
      <c r="AI84" s="372">
        <v>1594</v>
      </c>
      <c r="AJ84" s="351" t="s">
        <v>611</v>
      </c>
      <c r="AK84" s="351"/>
      <c r="AL84" s="351" t="s">
        <v>210</v>
      </c>
      <c r="AN84" s="371">
        <v>0</v>
      </c>
      <c r="AO84" s="371">
        <v>38960</v>
      </c>
      <c r="AP84" s="372">
        <v>1410</v>
      </c>
      <c r="AQ84" s="373"/>
      <c r="AR84" s="371">
        <v>0</v>
      </c>
      <c r="AS84" s="371">
        <v>41756</v>
      </c>
      <c r="AT84" s="372">
        <v>1398</v>
      </c>
      <c r="AU84" s="352"/>
      <c r="AV84" s="377">
        <v>0</v>
      </c>
      <c r="AW84" s="377">
        <v>49664</v>
      </c>
      <c r="AX84" s="378">
        <v>1216</v>
      </c>
      <c r="AY84" s="352"/>
      <c r="AZ84" s="377">
        <v>0</v>
      </c>
      <c r="BA84" s="377">
        <v>37738</v>
      </c>
      <c r="BB84" s="378">
        <v>964</v>
      </c>
      <c r="BC84" s="378"/>
      <c r="BD84" s="379" t="s">
        <v>707</v>
      </c>
    </row>
    <row r="85" spans="1:56" ht="15" customHeight="1" x14ac:dyDescent="0.2">
      <c r="A85" s="341"/>
      <c r="B85" s="412"/>
      <c r="C85" s="341"/>
      <c r="D85" s="367">
        <v>242</v>
      </c>
      <c r="E85" s="341"/>
      <c r="F85" s="368" t="s">
        <v>211</v>
      </c>
      <c r="G85" s="341"/>
      <c r="H85" s="368" t="s">
        <v>904</v>
      </c>
      <c r="I85" s="341"/>
      <c r="J85" s="369">
        <v>400</v>
      </c>
      <c r="K85" s="367"/>
      <c r="L85" s="368" t="s">
        <v>212</v>
      </c>
      <c r="M85" s="367"/>
      <c r="N85" s="367" t="s">
        <v>55</v>
      </c>
      <c r="O85" s="341"/>
      <c r="P85" s="341">
        <v>2010</v>
      </c>
      <c r="Q85" s="351">
        <v>904</v>
      </c>
      <c r="R85" s="367">
        <v>1</v>
      </c>
      <c r="S85" s="371">
        <v>0</v>
      </c>
      <c r="T85" s="371">
        <v>4800</v>
      </c>
      <c r="U85" s="367"/>
      <c r="V85" s="372">
        <v>1</v>
      </c>
      <c r="W85" s="371">
        <v>0</v>
      </c>
      <c r="X85" s="371">
        <v>5521</v>
      </c>
      <c r="Y85" s="341"/>
      <c r="Z85" s="371">
        <v>6000</v>
      </c>
      <c r="AA85" s="372">
        <v>1</v>
      </c>
      <c r="AB85" s="367"/>
      <c r="AC85" s="371">
        <v>0</v>
      </c>
      <c r="AD85" s="371">
        <v>6000</v>
      </c>
      <c r="AE85" s="372">
        <v>1</v>
      </c>
      <c r="AF85" s="373"/>
      <c r="AG85" s="371">
        <v>0</v>
      </c>
      <c r="AH85" s="371">
        <v>4985</v>
      </c>
      <c r="AI85" s="372">
        <v>1</v>
      </c>
      <c r="AJ85" s="351" t="s">
        <v>692</v>
      </c>
      <c r="AK85" s="351"/>
      <c r="AL85" s="351" t="s">
        <v>213</v>
      </c>
      <c r="AN85" s="371">
        <v>0</v>
      </c>
      <c r="AO85" s="371">
        <v>4800</v>
      </c>
      <c r="AP85" s="372">
        <v>1</v>
      </c>
      <c r="AQ85" s="373"/>
      <c r="AR85" s="371">
        <v>0</v>
      </c>
      <c r="AS85" s="371">
        <v>4800</v>
      </c>
      <c r="AT85" s="372">
        <v>1</v>
      </c>
      <c r="AU85" s="367"/>
      <c r="AV85" s="371">
        <v>0</v>
      </c>
      <c r="AW85" s="371">
        <v>4800.12</v>
      </c>
      <c r="AX85" s="372">
        <v>1</v>
      </c>
      <c r="AY85" s="367"/>
      <c r="AZ85" s="371">
        <v>0</v>
      </c>
      <c r="BA85" s="371">
        <v>3974.62</v>
      </c>
      <c r="BB85" s="372">
        <v>2</v>
      </c>
      <c r="BC85" s="372"/>
      <c r="BD85" s="376" t="s">
        <v>713</v>
      </c>
    </row>
    <row r="86" spans="1:56" ht="15" customHeight="1" x14ac:dyDescent="0.2">
      <c r="A86" s="341"/>
      <c r="B86" s="412"/>
      <c r="C86" s="341"/>
      <c r="D86" s="367"/>
      <c r="E86" s="341"/>
      <c r="F86" s="368" t="s">
        <v>905</v>
      </c>
      <c r="G86" s="341"/>
      <c r="H86" s="368" t="s">
        <v>906</v>
      </c>
      <c r="I86" s="341"/>
      <c r="J86" s="369">
        <v>7000</v>
      </c>
      <c r="K86" s="367"/>
      <c r="L86" s="368"/>
      <c r="M86" s="367"/>
      <c r="N86" s="367"/>
      <c r="O86" s="341"/>
      <c r="P86" s="341"/>
      <c r="Q86" s="351"/>
      <c r="R86" s="367"/>
      <c r="S86" s="371"/>
      <c r="T86" s="371"/>
      <c r="U86" s="367"/>
      <c r="V86" s="372"/>
      <c r="W86" s="371"/>
      <c r="X86" s="371"/>
      <c r="Y86" s="341"/>
      <c r="Z86" s="371"/>
      <c r="AA86" s="372"/>
      <c r="AB86" s="367"/>
      <c r="AC86" s="371"/>
      <c r="AD86" s="371"/>
      <c r="AE86" s="372"/>
      <c r="AF86" s="373"/>
      <c r="AG86" s="371"/>
      <c r="AH86" s="371"/>
      <c r="AI86" s="372"/>
      <c r="AK86" s="351"/>
      <c r="AN86" s="371"/>
      <c r="AO86" s="371"/>
      <c r="AP86" s="372"/>
      <c r="AQ86" s="373"/>
      <c r="AR86" s="371"/>
      <c r="AS86" s="371">
        <v>0</v>
      </c>
      <c r="AT86" s="372">
        <v>0</v>
      </c>
      <c r="AU86" s="352"/>
      <c r="AV86" s="371">
        <v>0</v>
      </c>
      <c r="AW86" s="371">
        <v>3500</v>
      </c>
      <c r="AX86" s="372">
        <v>1</v>
      </c>
      <c r="AY86" s="367"/>
      <c r="AZ86" s="371">
        <v>0</v>
      </c>
      <c r="BA86" s="371">
        <v>84000</v>
      </c>
      <c r="BB86" s="372">
        <v>1</v>
      </c>
      <c r="BC86" s="372"/>
      <c r="BD86" s="376" t="s">
        <v>713</v>
      </c>
    </row>
    <row r="87" spans="1:56" ht="15" customHeight="1" x14ac:dyDescent="0.2">
      <c r="A87" s="341"/>
      <c r="B87" s="412"/>
      <c r="C87" s="341"/>
      <c r="D87" s="367">
        <v>242</v>
      </c>
      <c r="E87" s="341"/>
      <c r="F87" s="368" t="s">
        <v>127</v>
      </c>
      <c r="G87" s="341"/>
      <c r="H87" s="368" t="s">
        <v>214</v>
      </c>
      <c r="I87" s="341"/>
      <c r="J87" s="369">
        <v>8500</v>
      </c>
      <c r="K87" s="367"/>
      <c r="L87" s="368" t="s">
        <v>212</v>
      </c>
      <c r="M87" s="367"/>
      <c r="N87" s="367" t="s">
        <v>55</v>
      </c>
      <c r="O87" s="341"/>
      <c r="P87" s="341">
        <v>2010</v>
      </c>
      <c r="Q87" s="351" t="s">
        <v>81</v>
      </c>
      <c r="R87" s="367">
        <v>2</v>
      </c>
      <c r="S87" s="371">
        <v>0</v>
      </c>
      <c r="T87" s="371">
        <v>106790.51</v>
      </c>
      <c r="U87" s="367"/>
      <c r="V87" s="372">
        <v>2</v>
      </c>
      <c r="W87" s="371">
        <v>0</v>
      </c>
      <c r="X87" s="371">
        <v>113837</v>
      </c>
      <c r="Y87" s="341"/>
      <c r="Z87" s="371">
        <v>142944</v>
      </c>
      <c r="AA87" s="372">
        <v>47648</v>
      </c>
      <c r="AB87" s="367"/>
      <c r="AC87" s="371">
        <v>0</v>
      </c>
      <c r="AD87" s="371">
        <v>152699</v>
      </c>
      <c r="AE87" s="372">
        <v>53478</v>
      </c>
      <c r="AF87" s="373"/>
      <c r="AG87" s="371">
        <v>0</v>
      </c>
      <c r="AH87" s="371">
        <v>132699</v>
      </c>
      <c r="AI87" s="372">
        <v>46717</v>
      </c>
      <c r="AJ87" s="351" t="s">
        <v>692</v>
      </c>
      <c r="AK87" s="351"/>
      <c r="AL87" s="351" t="s">
        <v>215</v>
      </c>
      <c r="AN87" s="371">
        <v>0</v>
      </c>
      <c r="AO87" s="371">
        <v>129558</v>
      </c>
      <c r="AP87" s="372">
        <v>44535</v>
      </c>
      <c r="AQ87" s="373"/>
      <c r="AR87" s="371">
        <v>0</v>
      </c>
      <c r="AS87" s="371">
        <v>159278</v>
      </c>
      <c r="AT87" s="372">
        <v>50493</v>
      </c>
      <c r="AU87" s="367"/>
      <c r="AV87" s="377">
        <v>0</v>
      </c>
      <c r="AW87" s="377">
        <v>187993</v>
      </c>
      <c r="AX87" s="378">
        <v>59690</v>
      </c>
      <c r="AY87" s="352"/>
      <c r="AZ87" s="377">
        <v>0</v>
      </c>
      <c r="BA87" s="377">
        <v>210754</v>
      </c>
      <c r="BB87" s="378">
        <v>67105</v>
      </c>
      <c r="BC87" s="378"/>
      <c r="BD87" s="379" t="s">
        <v>713</v>
      </c>
    </row>
    <row r="88" spans="1:56" ht="15" customHeight="1" x14ac:dyDescent="0.2">
      <c r="A88" s="341"/>
      <c r="B88" s="412"/>
      <c r="C88" s="341"/>
      <c r="D88" s="367">
        <v>242</v>
      </c>
      <c r="E88" s="341"/>
      <c r="F88" s="368" t="s">
        <v>216</v>
      </c>
      <c r="G88" s="341"/>
      <c r="H88" s="368" t="s">
        <v>217</v>
      </c>
      <c r="I88" s="341"/>
      <c r="J88" s="369">
        <v>2</v>
      </c>
      <c r="K88" s="367"/>
      <c r="L88" s="368" t="s">
        <v>218</v>
      </c>
      <c r="M88" s="367"/>
      <c r="N88" s="367" t="s">
        <v>55</v>
      </c>
      <c r="O88" s="341"/>
      <c r="P88" s="341">
        <v>2010</v>
      </c>
      <c r="Q88" s="351">
        <v>904</v>
      </c>
      <c r="R88" s="367">
        <v>595</v>
      </c>
      <c r="S88" s="371">
        <v>0</v>
      </c>
      <c r="T88" s="371">
        <v>1190</v>
      </c>
      <c r="U88" s="367"/>
      <c r="V88" s="372">
        <v>295</v>
      </c>
      <c r="W88" s="371">
        <v>0</v>
      </c>
      <c r="X88" s="371">
        <v>590</v>
      </c>
      <c r="Y88" s="341"/>
      <c r="Z88" s="371">
        <v>882</v>
      </c>
      <c r="AA88" s="372">
        <v>441</v>
      </c>
      <c r="AB88" s="367"/>
      <c r="AC88" s="371">
        <v>0</v>
      </c>
      <c r="AD88" s="371">
        <v>156</v>
      </c>
      <c r="AE88" s="372">
        <v>78</v>
      </c>
      <c r="AF88" s="373"/>
      <c r="AG88" s="371">
        <v>0</v>
      </c>
      <c r="AH88" s="371">
        <v>86</v>
      </c>
      <c r="AI88" s="372">
        <v>43</v>
      </c>
      <c r="AJ88" s="351" t="s">
        <v>219</v>
      </c>
      <c r="AK88" s="351"/>
      <c r="AL88" s="351" t="s">
        <v>220</v>
      </c>
      <c r="AN88" s="371">
        <v>0</v>
      </c>
      <c r="AO88" s="371">
        <v>50</v>
      </c>
      <c r="AP88" s="372">
        <v>25</v>
      </c>
      <c r="AQ88" s="373"/>
      <c r="AR88" s="371">
        <v>0</v>
      </c>
      <c r="AS88" s="371">
        <v>58</v>
      </c>
      <c r="AT88" s="372">
        <v>29</v>
      </c>
      <c r="AU88" s="367"/>
      <c r="AV88" s="371">
        <v>0</v>
      </c>
      <c r="AW88" s="371">
        <v>54</v>
      </c>
      <c r="AX88" s="372">
        <v>27</v>
      </c>
      <c r="AY88" s="367"/>
      <c r="AZ88" s="371">
        <v>0</v>
      </c>
      <c r="BA88" s="371">
        <v>64</v>
      </c>
      <c r="BB88" s="372">
        <v>32</v>
      </c>
      <c r="BC88" s="372"/>
      <c r="BD88" s="376" t="s">
        <v>713</v>
      </c>
    </row>
    <row r="89" spans="1:56" ht="15" customHeight="1" x14ac:dyDescent="0.2">
      <c r="A89" s="341"/>
      <c r="B89" s="412"/>
      <c r="C89" s="341"/>
      <c r="D89" s="367">
        <v>242</v>
      </c>
      <c r="E89" s="341"/>
      <c r="F89" s="368" t="s">
        <v>221</v>
      </c>
      <c r="G89" s="341"/>
      <c r="H89" s="368" t="s">
        <v>53</v>
      </c>
      <c r="I89" s="341"/>
      <c r="J89" s="369">
        <v>3</v>
      </c>
      <c r="K89" s="367"/>
      <c r="L89" s="368" t="s">
        <v>222</v>
      </c>
      <c r="M89" s="367"/>
      <c r="N89" s="367" t="s">
        <v>55</v>
      </c>
      <c r="O89" s="341"/>
      <c r="P89" s="341"/>
      <c r="Q89" s="351">
        <v>904</v>
      </c>
      <c r="R89" s="367">
        <v>1060</v>
      </c>
      <c r="S89" s="371">
        <v>0</v>
      </c>
      <c r="T89" s="371">
        <v>3837</v>
      </c>
      <c r="U89" s="367"/>
      <c r="V89" s="372">
        <v>971</v>
      </c>
      <c r="W89" s="371">
        <v>0</v>
      </c>
      <c r="X89" s="371">
        <v>3081</v>
      </c>
      <c r="Y89" s="341"/>
      <c r="Z89" s="371">
        <v>3468</v>
      </c>
      <c r="AA89" s="372">
        <v>1156</v>
      </c>
      <c r="AB89" s="367"/>
      <c r="AC89" s="371">
        <v>0</v>
      </c>
      <c r="AD89" s="371">
        <v>3120</v>
      </c>
      <c r="AE89" s="372">
        <v>1040</v>
      </c>
      <c r="AF89" s="373"/>
      <c r="AG89" s="371">
        <v>0</v>
      </c>
      <c r="AH89" s="371">
        <v>2421</v>
      </c>
      <c r="AI89" s="372">
        <v>807</v>
      </c>
      <c r="AK89" s="351"/>
      <c r="AN89" s="371">
        <v>0</v>
      </c>
      <c r="AO89" s="371">
        <v>2400</v>
      </c>
      <c r="AP89" s="372">
        <v>800</v>
      </c>
      <c r="AQ89" s="373"/>
      <c r="AR89" s="371">
        <v>0</v>
      </c>
      <c r="AS89" s="371">
        <v>2361</v>
      </c>
      <c r="AT89" s="372">
        <v>787</v>
      </c>
      <c r="AU89" s="352"/>
      <c r="AV89" s="377">
        <v>0</v>
      </c>
      <c r="AW89" s="377">
        <v>2559</v>
      </c>
      <c r="AX89" s="378">
        <v>853</v>
      </c>
      <c r="AY89" s="352"/>
      <c r="AZ89" s="377">
        <v>0</v>
      </c>
      <c r="BA89" s="377">
        <v>2846</v>
      </c>
      <c r="BB89" s="378">
        <v>949</v>
      </c>
      <c r="BC89" s="378"/>
      <c r="BD89" s="379" t="s">
        <v>713</v>
      </c>
    </row>
    <row r="90" spans="1:56" ht="15" customHeight="1" x14ac:dyDescent="0.2">
      <c r="A90" s="341"/>
      <c r="B90" s="412"/>
      <c r="C90" s="341"/>
      <c r="D90" s="367">
        <v>242</v>
      </c>
      <c r="E90" s="341"/>
      <c r="F90" s="368" t="s">
        <v>223</v>
      </c>
      <c r="G90" s="341"/>
      <c r="H90" s="368" t="s">
        <v>907</v>
      </c>
      <c r="I90" s="341"/>
      <c r="J90" s="369" t="s">
        <v>908</v>
      </c>
      <c r="K90" s="367"/>
      <c r="L90" s="368" t="s">
        <v>225</v>
      </c>
      <c r="M90" s="367"/>
      <c r="N90" s="367" t="s">
        <v>55</v>
      </c>
      <c r="O90" s="341"/>
      <c r="P90" s="341"/>
      <c r="Q90" s="351">
        <v>904</v>
      </c>
      <c r="R90" s="367"/>
      <c r="S90" s="371">
        <v>0</v>
      </c>
      <c r="T90" s="371">
        <v>3262</v>
      </c>
      <c r="U90" s="367"/>
      <c r="V90" s="372"/>
      <c r="W90" s="371">
        <v>0</v>
      </c>
      <c r="X90" s="371">
        <v>2932</v>
      </c>
      <c r="Y90" s="341"/>
      <c r="Z90" s="371">
        <v>3724</v>
      </c>
      <c r="AA90" s="372">
        <v>24830</v>
      </c>
      <c r="AB90" s="367"/>
      <c r="AC90" s="371">
        <v>0</v>
      </c>
      <c r="AD90" s="371">
        <v>3096</v>
      </c>
      <c r="AE90" s="372">
        <v>20640</v>
      </c>
      <c r="AF90" s="373"/>
      <c r="AG90" s="371">
        <v>0</v>
      </c>
      <c r="AH90" s="371">
        <v>3936</v>
      </c>
      <c r="AI90" s="372">
        <v>26240</v>
      </c>
      <c r="AK90" s="351"/>
      <c r="AN90" s="371">
        <v>0</v>
      </c>
      <c r="AO90" s="371">
        <v>4493</v>
      </c>
      <c r="AP90" s="372">
        <v>29954</v>
      </c>
      <c r="AQ90" s="373"/>
      <c r="AR90" s="371">
        <v>0</v>
      </c>
      <c r="AS90" s="371">
        <v>5391</v>
      </c>
      <c r="AT90" s="372">
        <v>35938</v>
      </c>
      <c r="AU90" s="367"/>
      <c r="AV90" s="371">
        <v>0</v>
      </c>
      <c r="AW90" s="371">
        <v>6069</v>
      </c>
      <c r="AX90" s="372">
        <v>40457</v>
      </c>
      <c r="AY90" s="367"/>
      <c r="AZ90" s="371">
        <v>0</v>
      </c>
      <c r="BA90" s="371">
        <v>4694</v>
      </c>
      <c r="BB90" s="372">
        <v>31293</v>
      </c>
      <c r="BC90" s="372"/>
      <c r="BD90" s="376" t="s">
        <v>713</v>
      </c>
    </row>
    <row r="91" spans="1:56" ht="15" customHeight="1" x14ac:dyDescent="0.2">
      <c r="A91" s="341"/>
      <c r="B91" s="412"/>
      <c r="C91" s="341"/>
      <c r="D91" s="367">
        <v>242</v>
      </c>
      <c r="E91" s="341"/>
      <c r="F91" s="368" t="s">
        <v>226</v>
      </c>
      <c r="G91" s="341"/>
      <c r="H91" s="368" t="s">
        <v>53</v>
      </c>
      <c r="I91" s="341"/>
      <c r="J91" s="369">
        <v>5</v>
      </c>
      <c r="K91" s="367"/>
      <c r="L91" s="368" t="s">
        <v>227</v>
      </c>
      <c r="M91" s="367"/>
      <c r="N91" s="367" t="s">
        <v>55</v>
      </c>
      <c r="O91" s="341"/>
      <c r="P91" s="341"/>
      <c r="Q91" s="351">
        <v>904</v>
      </c>
      <c r="R91" s="367">
        <v>750</v>
      </c>
      <c r="S91" s="371">
        <v>0</v>
      </c>
      <c r="T91" s="371">
        <v>3749</v>
      </c>
      <c r="U91" s="367"/>
      <c r="V91" s="372">
        <v>971</v>
      </c>
      <c r="W91" s="371">
        <v>0</v>
      </c>
      <c r="X91" s="371">
        <v>947</v>
      </c>
      <c r="Y91" s="341"/>
      <c r="Z91" s="371">
        <v>3135</v>
      </c>
      <c r="AA91" s="372">
        <v>627</v>
      </c>
      <c r="AB91" s="367"/>
      <c r="AC91" s="371">
        <v>0</v>
      </c>
      <c r="AD91" s="371">
        <v>1960</v>
      </c>
      <c r="AE91" s="372">
        <v>392</v>
      </c>
      <c r="AF91" s="373"/>
      <c r="AG91" s="371">
        <v>0</v>
      </c>
      <c r="AH91" s="371">
        <v>796</v>
      </c>
      <c r="AI91" s="372">
        <v>159</v>
      </c>
      <c r="AJ91" s="351" t="s">
        <v>692</v>
      </c>
      <c r="AK91" s="351"/>
      <c r="AN91" s="371">
        <v>0</v>
      </c>
      <c r="AO91" s="371">
        <v>560</v>
      </c>
      <c r="AP91" s="372">
        <v>112</v>
      </c>
      <c r="AQ91" s="373"/>
      <c r="AR91" s="371">
        <v>0</v>
      </c>
      <c r="AS91" s="371">
        <v>95</v>
      </c>
      <c r="AT91" s="372">
        <v>19</v>
      </c>
      <c r="AU91" s="352"/>
      <c r="AV91" s="377">
        <v>0</v>
      </c>
      <c r="AW91" s="377">
        <v>25</v>
      </c>
      <c r="AX91" s="378">
        <v>5</v>
      </c>
      <c r="AY91" s="352"/>
      <c r="AZ91" s="377">
        <v>0</v>
      </c>
      <c r="BA91" s="377">
        <v>45</v>
      </c>
      <c r="BB91" s="378">
        <v>9</v>
      </c>
      <c r="BC91" s="378"/>
      <c r="BD91" s="379" t="s">
        <v>713</v>
      </c>
    </row>
    <row r="92" spans="1:56" ht="15" customHeight="1" x14ac:dyDescent="0.2">
      <c r="A92" s="341"/>
      <c r="B92" s="412" t="s">
        <v>228</v>
      </c>
      <c r="C92" s="341"/>
      <c r="D92" s="367">
        <v>243</v>
      </c>
      <c r="E92" s="341"/>
      <c r="F92" s="368" t="s">
        <v>903</v>
      </c>
      <c r="G92" s="341"/>
      <c r="H92" s="368" t="s">
        <v>53</v>
      </c>
      <c r="I92" s="341"/>
      <c r="J92" s="369" t="s">
        <v>209</v>
      </c>
      <c r="K92" s="367"/>
      <c r="L92" s="368" t="s">
        <v>229</v>
      </c>
      <c r="M92" s="367"/>
      <c r="N92" s="367" t="s">
        <v>55</v>
      </c>
      <c r="O92" s="341"/>
      <c r="P92" s="341"/>
      <c r="Q92" s="351">
        <v>904.10799999999995</v>
      </c>
      <c r="R92" s="375">
        <v>1111</v>
      </c>
      <c r="S92" s="371">
        <v>0</v>
      </c>
      <c r="T92" s="371">
        <v>58478.34</v>
      </c>
      <c r="U92" s="367"/>
      <c r="V92" s="372">
        <v>1212</v>
      </c>
      <c r="W92" s="371">
        <v>0</v>
      </c>
      <c r="X92" s="371">
        <v>65340.34</v>
      </c>
      <c r="Y92" s="341"/>
      <c r="Z92" s="371">
        <v>63855</v>
      </c>
      <c r="AA92" s="372"/>
      <c r="AB92" s="367"/>
      <c r="AC92" s="371">
        <v>0</v>
      </c>
      <c r="AD92" s="397">
        <v>59778</v>
      </c>
      <c r="AE92" s="372">
        <v>1838</v>
      </c>
      <c r="AF92" s="398"/>
      <c r="AG92" s="371">
        <v>0</v>
      </c>
      <c r="AH92" s="371">
        <v>64681</v>
      </c>
      <c r="AI92" s="372">
        <v>1964</v>
      </c>
      <c r="AJ92" s="351" t="s">
        <v>611</v>
      </c>
      <c r="AK92" s="351"/>
      <c r="AL92" s="351" t="s">
        <v>210</v>
      </c>
      <c r="AN92" s="371">
        <v>0</v>
      </c>
      <c r="AO92" s="397">
        <v>67634</v>
      </c>
      <c r="AP92" s="372">
        <v>1853</v>
      </c>
      <c r="AQ92" s="398"/>
      <c r="AR92" s="371">
        <v>0</v>
      </c>
      <c r="AS92" s="371">
        <v>69560</v>
      </c>
      <c r="AT92" s="372">
        <v>1755</v>
      </c>
      <c r="AU92" s="399"/>
      <c r="AV92" s="371">
        <v>0</v>
      </c>
      <c r="AW92" s="371">
        <v>68406</v>
      </c>
      <c r="AX92" s="372">
        <v>1652</v>
      </c>
      <c r="AY92" s="399"/>
      <c r="AZ92" s="371">
        <v>0</v>
      </c>
      <c r="BA92" s="371">
        <v>69356</v>
      </c>
      <c r="BB92" s="372">
        <v>1453</v>
      </c>
      <c r="BC92" s="372"/>
      <c r="BD92" s="376" t="s">
        <v>707</v>
      </c>
    </row>
    <row r="93" spans="1:56" ht="15" customHeight="1" x14ac:dyDescent="0.2">
      <c r="A93" s="341"/>
      <c r="B93" s="412"/>
      <c r="C93" s="341"/>
      <c r="D93" s="367">
        <v>243</v>
      </c>
      <c r="E93" s="341"/>
      <c r="F93" s="368" t="s">
        <v>230</v>
      </c>
      <c r="G93" s="341"/>
      <c r="H93" s="368" t="s">
        <v>909</v>
      </c>
      <c r="I93" s="341"/>
      <c r="J93" s="369">
        <v>0.25</v>
      </c>
      <c r="K93" s="367"/>
      <c r="L93" s="368" t="s">
        <v>231</v>
      </c>
      <c r="M93" s="367"/>
      <c r="N93" s="367" t="s">
        <v>55</v>
      </c>
      <c r="O93" s="341"/>
      <c r="P93" s="341"/>
      <c r="Q93" s="351">
        <v>904</v>
      </c>
      <c r="R93" s="375">
        <v>2802</v>
      </c>
      <c r="S93" s="371">
        <v>0</v>
      </c>
      <c r="T93" s="371">
        <v>700.5</v>
      </c>
      <c r="U93" s="367"/>
      <c r="V93" s="372">
        <v>3667</v>
      </c>
      <c r="W93" s="371">
        <v>0</v>
      </c>
      <c r="X93" s="371">
        <v>916</v>
      </c>
      <c r="Y93" s="341"/>
      <c r="Z93" s="371">
        <v>791</v>
      </c>
      <c r="AA93" s="372">
        <v>3164</v>
      </c>
      <c r="AB93" s="367"/>
      <c r="AC93" s="371">
        <v>0</v>
      </c>
      <c r="AD93" s="371">
        <v>789</v>
      </c>
      <c r="AE93" s="372">
        <v>3156</v>
      </c>
      <c r="AF93" s="373"/>
      <c r="AG93" s="371">
        <v>0</v>
      </c>
      <c r="AH93" s="371">
        <v>762</v>
      </c>
      <c r="AI93" s="372">
        <v>3048</v>
      </c>
      <c r="AJ93" s="351" t="s">
        <v>692</v>
      </c>
      <c r="AK93" s="351"/>
      <c r="AL93" s="351" t="s">
        <v>232</v>
      </c>
      <c r="AN93" s="371">
        <v>0</v>
      </c>
      <c r="AO93" s="371">
        <v>1054</v>
      </c>
      <c r="AP93" s="372">
        <v>4216</v>
      </c>
      <c r="AQ93" s="373"/>
      <c r="AR93" s="371">
        <v>0</v>
      </c>
      <c r="AS93" s="371">
        <v>1174</v>
      </c>
      <c r="AT93" s="372">
        <v>4696</v>
      </c>
      <c r="AU93" s="385"/>
      <c r="AV93" s="377">
        <v>0</v>
      </c>
      <c r="AW93" s="377">
        <v>1172</v>
      </c>
      <c r="AX93" s="378">
        <v>4688</v>
      </c>
      <c r="AY93" s="385"/>
      <c r="AZ93" s="377">
        <v>0</v>
      </c>
      <c r="BA93" s="377">
        <v>1152</v>
      </c>
      <c r="BB93" s="378">
        <v>4608</v>
      </c>
      <c r="BC93" s="378"/>
      <c r="BD93" s="379" t="s">
        <v>713</v>
      </c>
    </row>
    <row r="94" spans="1:56" ht="15" customHeight="1" x14ac:dyDescent="0.2">
      <c r="A94" s="341"/>
      <c r="B94" s="412"/>
      <c r="C94" s="341"/>
      <c r="D94" s="367">
        <v>243</v>
      </c>
      <c r="E94" s="341"/>
      <c r="F94" s="368" t="s">
        <v>211</v>
      </c>
      <c r="G94" s="341"/>
      <c r="H94" s="368" t="s">
        <v>904</v>
      </c>
      <c r="I94" s="341"/>
      <c r="J94" s="369" t="s">
        <v>252</v>
      </c>
      <c r="K94" s="367"/>
      <c r="L94" s="368" t="s">
        <v>233</v>
      </c>
      <c r="M94" s="367"/>
      <c r="N94" s="367" t="s">
        <v>55</v>
      </c>
      <c r="O94" s="341"/>
      <c r="P94" s="341">
        <v>2010</v>
      </c>
      <c r="Q94" s="351">
        <v>904</v>
      </c>
      <c r="R94" s="367">
        <v>5</v>
      </c>
      <c r="S94" s="371">
        <v>0</v>
      </c>
      <c r="T94" s="371">
        <v>25432.22</v>
      </c>
      <c r="U94" s="367"/>
      <c r="V94" s="372">
        <v>5</v>
      </c>
      <c r="W94" s="371">
        <v>0</v>
      </c>
      <c r="X94" s="371">
        <v>26202</v>
      </c>
      <c r="Y94" s="341"/>
      <c r="Z94" s="371">
        <v>27456</v>
      </c>
      <c r="AA94" s="372">
        <v>5</v>
      </c>
      <c r="AB94" s="367"/>
      <c r="AC94" s="371">
        <v>0</v>
      </c>
      <c r="AD94" s="371">
        <v>26810</v>
      </c>
      <c r="AE94" s="372">
        <v>5</v>
      </c>
      <c r="AF94" s="373"/>
      <c r="AG94" s="371">
        <v>0</v>
      </c>
      <c r="AH94" s="371">
        <v>28614</v>
      </c>
      <c r="AI94" s="372">
        <v>5</v>
      </c>
      <c r="AJ94" s="351" t="s">
        <v>692</v>
      </c>
      <c r="AK94" s="351"/>
      <c r="AL94" s="351" t="s">
        <v>213</v>
      </c>
      <c r="AN94" s="371">
        <v>0</v>
      </c>
      <c r="AO94" s="371">
        <v>31099</v>
      </c>
      <c r="AP94" s="372">
        <v>5</v>
      </c>
      <c r="AQ94" s="373"/>
      <c r="AR94" s="371">
        <v>0</v>
      </c>
      <c r="AS94" s="371">
        <v>24443</v>
      </c>
      <c r="AT94" s="372">
        <v>5</v>
      </c>
      <c r="AU94" s="367"/>
      <c r="AV94" s="371">
        <v>0</v>
      </c>
      <c r="AW94" s="371">
        <v>12877</v>
      </c>
      <c r="AX94" s="372">
        <v>3</v>
      </c>
      <c r="AY94" s="367"/>
      <c r="AZ94" s="371">
        <v>0</v>
      </c>
      <c r="BA94" s="371">
        <v>19792</v>
      </c>
      <c r="BB94" s="372">
        <v>5</v>
      </c>
      <c r="BC94" s="372"/>
      <c r="BD94" s="376" t="s">
        <v>713</v>
      </c>
    </row>
    <row r="95" spans="1:56" ht="15" customHeight="1" x14ac:dyDescent="0.2">
      <c r="A95" s="341"/>
      <c r="B95" s="412"/>
      <c r="C95" s="341"/>
      <c r="D95" s="367">
        <v>243</v>
      </c>
      <c r="E95" s="341"/>
      <c r="F95" s="368" t="s">
        <v>910</v>
      </c>
      <c r="G95" s="341"/>
      <c r="H95" s="368" t="s">
        <v>234</v>
      </c>
      <c r="I95" s="341"/>
      <c r="J95" s="369">
        <v>36</v>
      </c>
      <c r="K95" s="367"/>
      <c r="L95" s="368" t="s">
        <v>235</v>
      </c>
      <c r="M95" s="367"/>
      <c r="N95" s="367" t="s">
        <v>55</v>
      </c>
      <c r="O95" s="341"/>
      <c r="P95" s="341"/>
      <c r="Q95" s="351">
        <v>904</v>
      </c>
      <c r="R95" s="367">
        <v>1</v>
      </c>
      <c r="S95" s="371">
        <v>0</v>
      </c>
      <c r="T95" s="371">
        <v>144</v>
      </c>
      <c r="U95" s="367"/>
      <c r="V95" s="372">
        <v>1</v>
      </c>
      <c r="W95" s="371">
        <v>0</v>
      </c>
      <c r="X95" s="371">
        <v>72</v>
      </c>
      <c r="Y95" s="341"/>
      <c r="Z95" s="371">
        <v>0</v>
      </c>
      <c r="AA95" s="372">
        <v>0</v>
      </c>
      <c r="AB95" s="367"/>
      <c r="AC95" s="371">
        <v>0</v>
      </c>
      <c r="AD95" s="371">
        <v>0</v>
      </c>
      <c r="AE95" s="372">
        <v>0</v>
      </c>
      <c r="AF95" s="373"/>
      <c r="AG95" s="371">
        <v>0</v>
      </c>
      <c r="AH95" s="371">
        <v>0</v>
      </c>
      <c r="AI95" s="372">
        <v>0</v>
      </c>
      <c r="AJ95" s="351" t="s">
        <v>219</v>
      </c>
      <c r="AK95" s="351"/>
      <c r="AL95" s="351" t="s">
        <v>220</v>
      </c>
      <c r="AN95" s="371">
        <v>0</v>
      </c>
      <c r="AO95" s="371">
        <v>0</v>
      </c>
      <c r="AP95" s="372">
        <v>0</v>
      </c>
      <c r="AQ95" s="373"/>
      <c r="AR95" s="371">
        <v>0</v>
      </c>
      <c r="AS95" s="371">
        <v>0</v>
      </c>
      <c r="AT95" s="372">
        <v>0</v>
      </c>
      <c r="AU95" s="400"/>
      <c r="AV95" s="387" t="s">
        <v>302</v>
      </c>
      <c r="AW95" s="387" t="s">
        <v>302</v>
      </c>
      <c r="AX95" s="389" t="s">
        <v>302</v>
      </c>
      <c r="AY95" s="401"/>
      <c r="AZ95" s="387" t="s">
        <v>302</v>
      </c>
      <c r="BA95" s="387" t="s">
        <v>302</v>
      </c>
      <c r="BB95" s="389" t="s">
        <v>302</v>
      </c>
      <c r="BC95" s="389"/>
      <c r="BD95" s="379" t="s">
        <v>713</v>
      </c>
    </row>
    <row r="96" spans="1:56" ht="15" customHeight="1" x14ac:dyDescent="0.2">
      <c r="A96" s="341"/>
      <c r="B96" s="412"/>
      <c r="C96" s="341"/>
      <c r="D96" s="367">
        <v>243</v>
      </c>
      <c r="E96" s="341"/>
      <c r="F96" s="368" t="s">
        <v>216</v>
      </c>
      <c r="G96" s="341"/>
      <c r="H96" s="368" t="s">
        <v>53</v>
      </c>
      <c r="I96" s="341"/>
      <c r="J96" s="369">
        <v>2</v>
      </c>
      <c r="K96" s="367"/>
      <c r="L96" s="368" t="s">
        <v>218</v>
      </c>
      <c r="M96" s="367"/>
      <c r="N96" s="367" t="s">
        <v>55</v>
      </c>
      <c r="O96" s="341"/>
      <c r="P96" s="341"/>
      <c r="Q96" s="351">
        <v>904</v>
      </c>
      <c r="R96" s="367"/>
      <c r="S96" s="371"/>
      <c r="T96" s="371"/>
      <c r="U96" s="367"/>
      <c r="V96" s="372">
        <v>123</v>
      </c>
      <c r="W96" s="371">
        <v>0</v>
      </c>
      <c r="X96" s="371">
        <v>0</v>
      </c>
      <c r="Y96" s="341"/>
      <c r="Z96" s="371">
        <v>222</v>
      </c>
      <c r="AA96" s="372">
        <v>111</v>
      </c>
      <c r="AB96" s="367"/>
      <c r="AC96" s="371">
        <v>0</v>
      </c>
      <c r="AD96" s="371">
        <v>174</v>
      </c>
      <c r="AE96" s="372">
        <v>87</v>
      </c>
      <c r="AF96" s="373"/>
      <c r="AG96" s="371">
        <v>0</v>
      </c>
      <c r="AH96" s="371">
        <v>172</v>
      </c>
      <c r="AI96" s="372">
        <v>86</v>
      </c>
      <c r="AJ96" s="351" t="s">
        <v>219</v>
      </c>
      <c r="AK96" s="351"/>
      <c r="AN96" s="371">
        <v>0</v>
      </c>
      <c r="AO96" s="371">
        <v>172</v>
      </c>
      <c r="AP96" s="372">
        <v>86</v>
      </c>
      <c r="AQ96" s="373"/>
      <c r="AR96" s="371">
        <v>0</v>
      </c>
      <c r="AS96" s="371">
        <v>208</v>
      </c>
      <c r="AT96" s="372">
        <v>104</v>
      </c>
      <c r="AU96" s="399"/>
      <c r="AV96" s="371">
        <v>0</v>
      </c>
      <c r="AW96" s="371">
        <v>288</v>
      </c>
      <c r="AX96" s="372">
        <v>144</v>
      </c>
      <c r="AY96" s="399"/>
      <c r="AZ96" s="371">
        <v>0</v>
      </c>
      <c r="BA96" s="371">
        <v>308</v>
      </c>
      <c r="BB96" s="372">
        <v>154</v>
      </c>
      <c r="BC96" s="372"/>
      <c r="BD96" s="376" t="s">
        <v>713</v>
      </c>
    </row>
    <row r="97" spans="1:56" ht="15" customHeight="1" x14ac:dyDescent="0.2">
      <c r="A97" s="341"/>
      <c r="B97" s="412"/>
      <c r="C97" s="341"/>
      <c r="D97" s="367">
        <v>243</v>
      </c>
      <c r="E97" s="341"/>
      <c r="F97" s="368" t="s">
        <v>216</v>
      </c>
      <c r="G97" s="341"/>
      <c r="H97" s="368" t="s">
        <v>217</v>
      </c>
      <c r="I97" s="341"/>
      <c r="J97" s="369">
        <v>2</v>
      </c>
      <c r="K97" s="367"/>
      <c r="L97" s="368" t="s">
        <v>218</v>
      </c>
      <c r="M97" s="367"/>
      <c r="N97" s="367" t="s">
        <v>55</v>
      </c>
      <c r="O97" s="341"/>
      <c r="P97" s="341"/>
      <c r="Q97" s="351">
        <v>904</v>
      </c>
      <c r="R97" s="367">
        <v>571</v>
      </c>
      <c r="S97" s="371">
        <v>0</v>
      </c>
      <c r="T97" s="371">
        <v>1142</v>
      </c>
      <c r="U97" s="367"/>
      <c r="V97" s="372">
        <v>123</v>
      </c>
      <c r="W97" s="371">
        <v>0</v>
      </c>
      <c r="X97" s="371">
        <v>0</v>
      </c>
      <c r="Y97" s="341"/>
      <c r="Z97" s="371">
        <v>1194</v>
      </c>
      <c r="AA97" s="372">
        <v>597</v>
      </c>
      <c r="AB97" s="367"/>
      <c r="AC97" s="371">
        <v>0</v>
      </c>
      <c r="AD97" s="371">
        <v>988</v>
      </c>
      <c r="AE97" s="372">
        <v>494</v>
      </c>
      <c r="AF97" s="373"/>
      <c r="AG97" s="371">
        <v>0</v>
      </c>
      <c r="AH97" s="371">
        <v>910</v>
      </c>
      <c r="AI97" s="372">
        <v>455</v>
      </c>
      <c r="AJ97" s="351" t="s">
        <v>219</v>
      </c>
      <c r="AK97" s="351"/>
      <c r="AL97" s="351" t="s">
        <v>220</v>
      </c>
      <c r="AN97" s="371">
        <v>0</v>
      </c>
      <c r="AO97" s="371">
        <v>1124</v>
      </c>
      <c r="AP97" s="372">
        <v>562</v>
      </c>
      <c r="AQ97" s="373"/>
      <c r="AR97" s="371">
        <v>0</v>
      </c>
      <c r="AS97" s="371">
        <v>1072</v>
      </c>
      <c r="AT97" s="372">
        <v>536</v>
      </c>
      <c r="AU97" s="400"/>
      <c r="AV97" s="377">
        <v>0</v>
      </c>
      <c r="AW97" s="377">
        <v>1022</v>
      </c>
      <c r="AX97" s="378">
        <v>511</v>
      </c>
      <c r="AY97" s="400"/>
      <c r="AZ97" s="377">
        <v>0</v>
      </c>
      <c r="BA97" s="377">
        <v>922</v>
      </c>
      <c r="BB97" s="378">
        <v>461</v>
      </c>
      <c r="BC97" s="378"/>
      <c r="BD97" s="379" t="s">
        <v>713</v>
      </c>
    </row>
    <row r="98" spans="1:56" ht="15" customHeight="1" x14ac:dyDescent="0.2">
      <c r="A98" s="341"/>
      <c r="B98" s="412"/>
      <c r="C98" s="341"/>
      <c r="D98" s="367">
        <v>243</v>
      </c>
      <c r="E98" s="341"/>
      <c r="F98" s="368" t="s">
        <v>221</v>
      </c>
      <c r="G98" s="341"/>
      <c r="H98" s="368" t="s">
        <v>53</v>
      </c>
      <c r="I98" s="341"/>
      <c r="J98" s="369" t="s">
        <v>720</v>
      </c>
      <c r="K98" s="367"/>
      <c r="L98" s="368"/>
      <c r="M98" s="367"/>
      <c r="N98" s="367" t="s">
        <v>55</v>
      </c>
      <c r="O98" s="341"/>
      <c r="P98" s="341"/>
      <c r="Q98" s="351">
        <v>904</v>
      </c>
      <c r="R98" s="375">
        <v>2512</v>
      </c>
      <c r="S98" s="371"/>
      <c r="T98" s="371">
        <v>7536</v>
      </c>
      <c r="U98" s="367"/>
      <c r="V98" s="372">
        <v>2513</v>
      </c>
      <c r="W98" s="371">
        <v>0</v>
      </c>
      <c r="X98" s="371">
        <v>7541.71</v>
      </c>
      <c r="Y98" s="341"/>
      <c r="Z98" s="371">
        <v>5801</v>
      </c>
      <c r="AA98" s="372">
        <v>1933</v>
      </c>
      <c r="AB98" s="367"/>
      <c r="AC98" s="371">
        <v>0</v>
      </c>
      <c r="AD98" s="371">
        <v>4499</v>
      </c>
      <c r="AE98" s="372">
        <v>1499.6666666666667</v>
      </c>
      <c r="AF98" s="373"/>
      <c r="AG98" s="371">
        <v>0</v>
      </c>
      <c r="AH98" s="371">
        <v>4309</v>
      </c>
      <c r="AI98" s="372">
        <v>1436.3333333333333</v>
      </c>
      <c r="AJ98" s="351" t="s">
        <v>692</v>
      </c>
      <c r="AK98" s="351"/>
      <c r="AN98" s="371">
        <v>0</v>
      </c>
      <c r="AO98" s="371">
        <v>4197</v>
      </c>
      <c r="AP98" s="372">
        <v>1399</v>
      </c>
      <c r="AQ98" s="373"/>
      <c r="AR98" s="371">
        <v>0</v>
      </c>
      <c r="AS98" s="371">
        <v>3691</v>
      </c>
      <c r="AT98" s="372">
        <v>1230</v>
      </c>
      <c r="AU98" s="399"/>
      <c r="AV98" s="371">
        <v>0</v>
      </c>
      <c r="AW98" s="371">
        <v>3806</v>
      </c>
      <c r="AX98" s="372">
        <v>1269</v>
      </c>
      <c r="AY98" s="399"/>
      <c r="AZ98" s="371">
        <v>0</v>
      </c>
      <c r="BA98" s="371">
        <v>4080</v>
      </c>
      <c r="BB98" s="372">
        <v>1360</v>
      </c>
      <c r="BC98" s="372"/>
      <c r="BD98" s="376" t="s">
        <v>713</v>
      </c>
    </row>
    <row r="99" spans="1:56" ht="15" customHeight="1" x14ac:dyDescent="0.2">
      <c r="A99" s="341"/>
      <c r="B99" s="412"/>
      <c r="C99" s="341"/>
      <c r="D99" s="367">
        <v>243</v>
      </c>
      <c r="E99" s="341"/>
      <c r="F99" s="368" t="s">
        <v>223</v>
      </c>
      <c r="G99" s="341"/>
      <c r="H99" s="368" t="s">
        <v>907</v>
      </c>
      <c r="I99" s="341"/>
      <c r="J99" s="369" t="s">
        <v>908</v>
      </c>
      <c r="K99" s="367"/>
      <c r="L99" s="368" t="s">
        <v>225</v>
      </c>
      <c r="M99" s="367"/>
      <c r="N99" s="367" t="s">
        <v>55</v>
      </c>
      <c r="O99" s="341"/>
      <c r="P99" s="341"/>
      <c r="Q99" s="351">
        <v>904</v>
      </c>
      <c r="R99" s="367"/>
      <c r="S99" s="371">
        <v>0</v>
      </c>
      <c r="T99" s="371">
        <v>3618.05</v>
      </c>
      <c r="U99" s="367"/>
      <c r="V99" s="372"/>
      <c r="W99" s="371">
        <v>0</v>
      </c>
      <c r="X99" s="371">
        <v>3853.5</v>
      </c>
      <c r="Y99" s="341"/>
      <c r="Z99" s="371">
        <v>3388</v>
      </c>
      <c r="AA99" s="372"/>
      <c r="AB99" s="367"/>
      <c r="AC99" s="371">
        <v>0</v>
      </c>
      <c r="AD99" s="371">
        <v>2528</v>
      </c>
      <c r="AE99" s="372">
        <v>16853.333333333336</v>
      </c>
      <c r="AF99" s="373"/>
      <c r="AG99" s="371">
        <v>0</v>
      </c>
      <c r="AH99" s="371">
        <v>3384</v>
      </c>
      <c r="AI99" s="372">
        <v>22560</v>
      </c>
      <c r="AJ99" s="351" t="s">
        <v>692</v>
      </c>
      <c r="AK99" s="351"/>
      <c r="AN99" s="371">
        <v>0</v>
      </c>
      <c r="AO99" s="371">
        <v>2878</v>
      </c>
      <c r="AP99" s="372">
        <v>1853</v>
      </c>
      <c r="AQ99" s="373"/>
      <c r="AR99" s="371">
        <v>0</v>
      </c>
      <c r="AS99" s="371">
        <v>2681</v>
      </c>
      <c r="AT99" s="372">
        <v>1755</v>
      </c>
      <c r="AU99" s="400"/>
      <c r="AV99" s="377">
        <v>0</v>
      </c>
      <c r="AW99" s="377">
        <v>2507</v>
      </c>
      <c r="AX99" s="378">
        <v>1652</v>
      </c>
      <c r="AY99" s="400"/>
      <c r="AZ99" s="377">
        <v>0</v>
      </c>
      <c r="BA99" s="377">
        <v>2367</v>
      </c>
      <c r="BB99" s="378">
        <v>1453</v>
      </c>
      <c r="BC99" s="378"/>
      <c r="BD99" s="379" t="s">
        <v>713</v>
      </c>
    </row>
    <row r="100" spans="1:56" ht="15" customHeight="1" x14ac:dyDescent="0.2">
      <c r="A100" s="341"/>
      <c r="B100" s="412"/>
      <c r="C100" s="341"/>
      <c r="D100" s="367">
        <v>243</v>
      </c>
      <c r="E100" s="341"/>
      <c r="F100" s="368" t="s">
        <v>226</v>
      </c>
      <c r="G100" s="341"/>
      <c r="H100" s="368" t="s">
        <v>53</v>
      </c>
      <c r="I100" s="341"/>
      <c r="J100" s="369">
        <v>5</v>
      </c>
      <c r="K100" s="367"/>
      <c r="L100" s="368" t="s">
        <v>227</v>
      </c>
      <c r="M100" s="367"/>
      <c r="N100" s="367" t="s">
        <v>55</v>
      </c>
      <c r="O100" s="341"/>
      <c r="P100" s="341"/>
      <c r="Q100" s="351">
        <v>904</v>
      </c>
      <c r="R100" s="367">
        <v>827</v>
      </c>
      <c r="S100" s="371">
        <v>0</v>
      </c>
      <c r="T100" s="371">
        <v>4135.6899999999996</v>
      </c>
      <c r="U100" s="367"/>
      <c r="V100" s="372">
        <v>986</v>
      </c>
      <c r="W100" s="371">
        <v>0</v>
      </c>
      <c r="X100" s="371">
        <v>4933</v>
      </c>
      <c r="Y100" s="341"/>
      <c r="Z100" s="371">
        <v>4681</v>
      </c>
      <c r="AA100" s="372">
        <v>936</v>
      </c>
      <c r="AB100" s="367"/>
      <c r="AC100" s="371">
        <v>0</v>
      </c>
      <c r="AD100" s="382">
        <v>4035</v>
      </c>
      <c r="AE100" s="372">
        <v>807</v>
      </c>
      <c r="AF100" s="402"/>
      <c r="AG100" s="371">
        <v>0</v>
      </c>
      <c r="AH100" s="371">
        <v>780</v>
      </c>
      <c r="AI100" s="372">
        <v>156</v>
      </c>
      <c r="AJ100" s="351" t="s">
        <v>219</v>
      </c>
      <c r="AK100" s="351"/>
      <c r="AN100" s="371">
        <v>0</v>
      </c>
      <c r="AO100" s="382">
        <v>855</v>
      </c>
      <c r="AP100" s="372">
        <v>171</v>
      </c>
      <c r="AQ100" s="402"/>
      <c r="AR100" s="371">
        <v>0</v>
      </c>
      <c r="AS100" s="371">
        <v>387</v>
      </c>
      <c r="AT100" s="372">
        <v>77</v>
      </c>
      <c r="AU100" s="367"/>
      <c r="AV100" s="380" t="s">
        <v>302</v>
      </c>
      <c r="AW100" s="380" t="s">
        <v>302</v>
      </c>
      <c r="AX100" s="388" t="s">
        <v>302</v>
      </c>
      <c r="AY100" s="396"/>
      <c r="AZ100" s="380" t="s">
        <v>302</v>
      </c>
      <c r="BA100" s="380" t="s">
        <v>302</v>
      </c>
      <c r="BB100" s="388" t="s">
        <v>302</v>
      </c>
      <c r="BC100" s="388"/>
      <c r="BD100" s="376" t="s">
        <v>713</v>
      </c>
    </row>
    <row r="101" spans="1:56" ht="15" customHeight="1" x14ac:dyDescent="0.2">
      <c r="A101" s="341"/>
      <c r="B101" s="412" t="s">
        <v>236</v>
      </c>
      <c r="C101" s="341"/>
      <c r="D101" s="367">
        <v>244</v>
      </c>
      <c r="E101" s="341"/>
      <c r="F101" s="368" t="s">
        <v>216</v>
      </c>
      <c r="G101" s="341"/>
      <c r="H101" s="368" t="s">
        <v>217</v>
      </c>
      <c r="I101" s="341"/>
      <c r="J101" s="369">
        <v>2</v>
      </c>
      <c r="K101" s="367"/>
      <c r="L101" s="368" t="s">
        <v>218</v>
      </c>
      <c r="M101" s="367"/>
      <c r="N101" s="367" t="s">
        <v>55</v>
      </c>
      <c r="O101" s="341"/>
      <c r="P101" s="341"/>
      <c r="Q101" s="351">
        <v>904</v>
      </c>
      <c r="R101" s="367">
        <v>367</v>
      </c>
      <c r="S101" s="371">
        <v>0</v>
      </c>
      <c r="T101" s="371">
        <v>734</v>
      </c>
      <c r="U101" s="367"/>
      <c r="V101" s="372">
        <v>465</v>
      </c>
      <c r="W101" s="371">
        <v>0</v>
      </c>
      <c r="X101" s="371">
        <v>930</v>
      </c>
      <c r="Y101" s="341"/>
      <c r="Z101" s="371">
        <v>660</v>
      </c>
      <c r="AA101" s="372">
        <v>330</v>
      </c>
      <c r="AB101" s="367"/>
      <c r="AC101" s="371">
        <v>0</v>
      </c>
      <c r="AD101" s="371">
        <v>706</v>
      </c>
      <c r="AE101" s="372">
        <v>353</v>
      </c>
      <c r="AF101" s="373"/>
      <c r="AG101" s="371">
        <v>0</v>
      </c>
      <c r="AH101" s="371">
        <v>542</v>
      </c>
      <c r="AI101" s="372">
        <v>271</v>
      </c>
      <c r="AJ101" s="351" t="s">
        <v>219</v>
      </c>
      <c r="AK101" s="351"/>
      <c r="AN101" s="371">
        <v>0</v>
      </c>
      <c r="AO101" s="371">
        <v>602</v>
      </c>
      <c r="AP101" s="372">
        <v>301</v>
      </c>
      <c r="AQ101" s="373"/>
      <c r="AR101" s="371">
        <v>0</v>
      </c>
      <c r="AS101" s="371">
        <v>584</v>
      </c>
      <c r="AT101" s="372">
        <v>292</v>
      </c>
      <c r="AU101" s="352"/>
      <c r="AV101" s="377">
        <v>0</v>
      </c>
      <c r="AW101" s="377">
        <v>690</v>
      </c>
      <c r="AX101" s="378">
        <v>345</v>
      </c>
      <c r="AY101" s="352"/>
      <c r="AZ101" s="377">
        <v>0</v>
      </c>
      <c r="BA101" s="377">
        <v>608</v>
      </c>
      <c r="BB101" s="378">
        <v>304</v>
      </c>
      <c r="BC101" s="378"/>
      <c r="BD101" s="379" t="s">
        <v>713</v>
      </c>
    </row>
    <row r="102" spans="1:56" ht="15" customHeight="1" x14ac:dyDescent="0.2">
      <c r="A102" s="341"/>
      <c r="B102" s="412"/>
      <c r="C102" s="341"/>
      <c r="D102" s="367">
        <v>244</v>
      </c>
      <c r="E102" s="341"/>
      <c r="F102" s="368" t="s">
        <v>903</v>
      </c>
      <c r="G102" s="341"/>
      <c r="H102" s="368" t="s">
        <v>53</v>
      </c>
      <c r="I102" s="341"/>
      <c r="J102" s="369" t="s">
        <v>209</v>
      </c>
      <c r="K102" s="367"/>
      <c r="L102" s="368" t="s">
        <v>229</v>
      </c>
      <c r="M102" s="367"/>
      <c r="N102" s="367" t="s">
        <v>55</v>
      </c>
      <c r="O102" s="341"/>
      <c r="P102" s="341"/>
      <c r="Q102" s="351">
        <v>904</v>
      </c>
      <c r="R102" s="367"/>
      <c r="S102" s="371"/>
      <c r="T102" s="371">
        <v>21456.44</v>
      </c>
      <c r="U102" s="367"/>
      <c r="V102" s="372"/>
      <c r="W102" s="371">
        <v>0</v>
      </c>
      <c r="X102" s="371">
        <v>27056</v>
      </c>
      <c r="Y102" s="341"/>
      <c r="Z102" s="371">
        <v>28553</v>
      </c>
      <c r="AA102" s="372"/>
      <c r="AB102" s="367"/>
      <c r="AC102" s="371">
        <v>0</v>
      </c>
      <c r="AD102" s="371">
        <v>30688</v>
      </c>
      <c r="AE102" s="372">
        <v>6533</v>
      </c>
      <c r="AF102" s="373"/>
      <c r="AG102" s="371">
        <v>0</v>
      </c>
      <c r="AH102" s="371">
        <v>33297</v>
      </c>
      <c r="AI102" s="372">
        <v>6513</v>
      </c>
      <c r="AJ102" s="351" t="s">
        <v>611</v>
      </c>
      <c r="AK102" s="351"/>
      <c r="AN102" s="371">
        <v>0</v>
      </c>
      <c r="AO102" s="371">
        <v>36112</v>
      </c>
      <c r="AP102" s="372">
        <v>6367</v>
      </c>
      <c r="AQ102" s="373"/>
      <c r="AR102" s="371">
        <v>0</v>
      </c>
      <c r="AS102" s="371">
        <v>39979</v>
      </c>
      <c r="AT102" s="372">
        <v>6528</v>
      </c>
      <c r="AU102" s="367"/>
      <c r="AV102" s="371">
        <v>0</v>
      </c>
      <c r="AW102" s="371">
        <v>50887</v>
      </c>
      <c r="AX102" s="372">
        <v>6730</v>
      </c>
      <c r="AY102" s="367"/>
      <c r="AZ102" s="371">
        <v>0</v>
      </c>
      <c r="BA102" s="371">
        <v>51071</v>
      </c>
      <c r="BB102" s="372">
        <v>6412</v>
      </c>
      <c r="BC102" s="372"/>
      <c r="BD102" s="376" t="s">
        <v>707</v>
      </c>
    </row>
    <row r="103" spans="1:56" ht="15" customHeight="1" x14ac:dyDescent="0.2">
      <c r="A103" s="341"/>
      <c r="B103" s="412"/>
      <c r="C103" s="341"/>
      <c r="D103" s="367">
        <v>244</v>
      </c>
      <c r="E103" s="341"/>
      <c r="F103" s="368" t="s">
        <v>221</v>
      </c>
      <c r="G103" s="341"/>
      <c r="H103" s="368" t="s">
        <v>53</v>
      </c>
      <c r="I103" s="341"/>
      <c r="J103" s="369" t="s">
        <v>222</v>
      </c>
      <c r="K103" s="367"/>
      <c r="L103" s="368"/>
      <c r="M103" s="367"/>
      <c r="N103" s="367" t="s">
        <v>55</v>
      </c>
      <c r="O103" s="341"/>
      <c r="P103" s="341"/>
      <c r="Q103" s="351">
        <v>904</v>
      </c>
      <c r="R103" s="375">
        <v>1867</v>
      </c>
      <c r="S103" s="371"/>
      <c r="T103" s="371">
        <v>5602.4</v>
      </c>
      <c r="U103" s="367"/>
      <c r="V103" s="372">
        <v>1869</v>
      </c>
      <c r="W103" s="371">
        <v>0</v>
      </c>
      <c r="X103" s="371">
        <v>5604</v>
      </c>
      <c r="Y103" s="341"/>
      <c r="Z103" s="371">
        <v>5355</v>
      </c>
      <c r="AA103" s="372">
        <v>1785</v>
      </c>
      <c r="AB103" s="367"/>
      <c r="AC103" s="371">
        <v>0</v>
      </c>
      <c r="AD103" s="371">
        <v>4812</v>
      </c>
      <c r="AE103" s="372">
        <v>1604</v>
      </c>
      <c r="AF103" s="373"/>
      <c r="AG103" s="371">
        <v>0</v>
      </c>
      <c r="AH103" s="371">
        <v>4743</v>
      </c>
      <c r="AI103" s="372">
        <v>1581</v>
      </c>
      <c r="AK103" s="351"/>
      <c r="AN103" s="371">
        <v>0</v>
      </c>
      <c r="AO103" s="371">
        <v>3717</v>
      </c>
      <c r="AP103" s="372">
        <v>1239</v>
      </c>
      <c r="AQ103" s="373"/>
      <c r="AR103" s="371">
        <v>0</v>
      </c>
      <c r="AS103" s="371">
        <v>4239</v>
      </c>
      <c r="AT103" s="372">
        <v>1413</v>
      </c>
      <c r="AU103" s="352"/>
      <c r="AV103" s="377">
        <v>0</v>
      </c>
      <c r="AW103" s="377">
        <v>4284</v>
      </c>
      <c r="AX103" s="378">
        <v>1428</v>
      </c>
      <c r="AY103" s="352"/>
      <c r="AZ103" s="377">
        <v>0</v>
      </c>
      <c r="BA103" s="377">
        <v>2760</v>
      </c>
      <c r="BB103" s="378">
        <v>920</v>
      </c>
      <c r="BC103" s="378"/>
      <c r="BD103" s="379" t="s">
        <v>713</v>
      </c>
    </row>
    <row r="104" spans="1:56" ht="15" customHeight="1" x14ac:dyDescent="0.2">
      <c r="A104" s="341"/>
      <c r="B104" s="412"/>
      <c r="C104" s="341"/>
      <c r="D104" s="367">
        <v>244</v>
      </c>
      <c r="E104" s="341"/>
      <c r="F104" s="368" t="s">
        <v>223</v>
      </c>
      <c r="G104" s="341"/>
      <c r="H104" s="368" t="s">
        <v>907</v>
      </c>
      <c r="I104" s="341"/>
      <c r="J104" s="369" t="s">
        <v>908</v>
      </c>
      <c r="K104" s="367"/>
      <c r="L104" s="368" t="s">
        <v>225</v>
      </c>
      <c r="M104" s="367"/>
      <c r="N104" s="367" t="s">
        <v>55</v>
      </c>
      <c r="O104" s="341"/>
      <c r="P104" s="341"/>
      <c r="Q104" s="351">
        <v>904</v>
      </c>
      <c r="R104" s="367"/>
      <c r="S104" s="371">
        <v>0</v>
      </c>
      <c r="T104" s="371">
        <v>1800.67</v>
      </c>
      <c r="U104" s="367"/>
      <c r="V104" s="372">
        <v>8191</v>
      </c>
      <c r="W104" s="371">
        <v>0</v>
      </c>
      <c r="X104" s="371">
        <v>1229</v>
      </c>
      <c r="Y104" s="341"/>
      <c r="Z104" s="371">
        <v>9955</v>
      </c>
      <c r="AA104" s="372">
        <v>944</v>
      </c>
      <c r="AB104" s="367"/>
      <c r="AC104" s="371">
        <v>0</v>
      </c>
      <c r="AD104" s="371">
        <v>13655</v>
      </c>
      <c r="AE104" s="372">
        <v>856</v>
      </c>
      <c r="AF104" s="373"/>
      <c r="AG104" s="371">
        <v>0</v>
      </c>
      <c r="AH104" s="371">
        <v>11565</v>
      </c>
      <c r="AI104" s="372">
        <v>817</v>
      </c>
      <c r="AK104" s="351"/>
      <c r="AN104" s="371">
        <v>0</v>
      </c>
      <c r="AO104" s="371">
        <v>11660</v>
      </c>
      <c r="AP104" s="372">
        <v>677</v>
      </c>
      <c r="AQ104" s="373"/>
      <c r="AR104" s="371">
        <v>0</v>
      </c>
      <c r="AS104" s="371">
        <v>13879</v>
      </c>
      <c r="AT104" s="372">
        <v>712</v>
      </c>
      <c r="AU104" s="367"/>
      <c r="AV104" s="371">
        <v>0</v>
      </c>
      <c r="AW104" s="371">
        <v>10180</v>
      </c>
      <c r="AX104" s="372">
        <v>621</v>
      </c>
      <c r="AY104" s="367"/>
      <c r="AZ104" s="371">
        <v>0</v>
      </c>
      <c r="BA104" s="371">
        <v>11136</v>
      </c>
      <c r="BB104" s="372">
        <v>639</v>
      </c>
      <c r="BC104" s="372"/>
      <c r="BD104" s="376" t="s">
        <v>713</v>
      </c>
    </row>
    <row r="105" spans="1:56" ht="15" customHeight="1" x14ac:dyDescent="0.2">
      <c r="A105" s="341"/>
      <c r="B105" s="412"/>
      <c r="C105" s="341"/>
      <c r="D105" s="367">
        <v>244</v>
      </c>
      <c r="E105" s="341"/>
      <c r="F105" s="368" t="s">
        <v>226</v>
      </c>
      <c r="G105" s="341"/>
      <c r="H105" s="368" t="s">
        <v>53</v>
      </c>
      <c r="I105" s="341"/>
      <c r="J105" s="369">
        <v>5</v>
      </c>
      <c r="K105" s="367"/>
      <c r="L105" s="368" t="s">
        <v>227</v>
      </c>
      <c r="M105" s="367"/>
      <c r="N105" s="367" t="s">
        <v>55</v>
      </c>
      <c r="O105" s="341"/>
      <c r="P105" s="341"/>
      <c r="Q105" s="351">
        <v>904</v>
      </c>
      <c r="R105" s="375">
        <v>1223</v>
      </c>
      <c r="S105" s="371">
        <v>0</v>
      </c>
      <c r="T105" s="371">
        <v>6115.09</v>
      </c>
      <c r="U105" s="367"/>
      <c r="V105" s="372">
        <v>594</v>
      </c>
      <c r="W105" s="371">
        <v>0</v>
      </c>
      <c r="X105" s="371">
        <v>2970</v>
      </c>
      <c r="Y105" s="341"/>
      <c r="Z105" s="371">
        <v>2795</v>
      </c>
      <c r="AA105" s="372">
        <v>559</v>
      </c>
      <c r="AB105" s="367"/>
      <c r="AC105" s="371">
        <v>0</v>
      </c>
      <c r="AD105" s="371">
        <v>2680</v>
      </c>
      <c r="AE105" s="372">
        <v>536</v>
      </c>
      <c r="AF105" s="373"/>
      <c r="AG105" s="371">
        <v>0</v>
      </c>
      <c r="AH105" s="371">
        <v>290</v>
      </c>
      <c r="AI105" s="372"/>
      <c r="AJ105" s="351" t="s">
        <v>692</v>
      </c>
      <c r="AK105" s="351"/>
      <c r="AN105" s="371">
        <v>0</v>
      </c>
      <c r="AO105" s="371">
        <v>10</v>
      </c>
      <c r="AP105" s="372">
        <v>2</v>
      </c>
      <c r="AQ105" s="373"/>
      <c r="AR105" s="371">
        <v>0</v>
      </c>
      <c r="AS105" s="371">
        <v>0</v>
      </c>
      <c r="AT105" s="372">
        <v>0</v>
      </c>
      <c r="AU105" s="352"/>
      <c r="AV105" s="377">
        <v>0</v>
      </c>
      <c r="AW105" s="377">
        <v>0</v>
      </c>
      <c r="AX105" s="378">
        <v>0</v>
      </c>
      <c r="AY105" s="352"/>
      <c r="AZ105" s="377">
        <v>0</v>
      </c>
      <c r="BA105" s="377">
        <v>0</v>
      </c>
      <c r="BB105" s="378">
        <v>0</v>
      </c>
      <c r="BC105" s="378"/>
      <c r="BD105" s="379" t="s">
        <v>713</v>
      </c>
    </row>
    <row r="106" spans="1:56" ht="15" customHeight="1" x14ac:dyDescent="0.2">
      <c r="A106" s="341"/>
      <c r="B106" s="412" t="s">
        <v>237</v>
      </c>
      <c r="C106" s="341"/>
      <c r="D106" s="367">
        <v>245</v>
      </c>
      <c r="E106" s="341"/>
      <c r="F106" s="368" t="s">
        <v>903</v>
      </c>
      <c r="G106" s="341"/>
      <c r="H106" s="368" t="s">
        <v>53</v>
      </c>
      <c r="I106" s="341"/>
      <c r="J106" s="369" t="s">
        <v>209</v>
      </c>
      <c r="K106" s="367"/>
      <c r="L106" s="368" t="s">
        <v>229</v>
      </c>
      <c r="M106" s="367"/>
      <c r="N106" s="367" t="s">
        <v>55</v>
      </c>
      <c r="O106" s="341"/>
      <c r="P106" s="341"/>
      <c r="Q106" s="351">
        <v>904</v>
      </c>
      <c r="R106" s="367"/>
      <c r="S106" s="371">
        <v>0</v>
      </c>
      <c r="T106" s="371">
        <v>48608</v>
      </c>
      <c r="U106" s="367"/>
      <c r="V106" s="372"/>
      <c r="W106" s="371">
        <v>0</v>
      </c>
      <c r="X106" s="371">
        <v>60493</v>
      </c>
      <c r="Y106" s="341"/>
      <c r="Z106" s="371">
        <v>59641.04</v>
      </c>
      <c r="AA106" s="372">
        <v>0</v>
      </c>
      <c r="AB106" s="367"/>
      <c r="AC106" s="371">
        <v>0</v>
      </c>
      <c r="AD106" s="371">
        <v>60319</v>
      </c>
      <c r="AE106" s="372">
        <v>2720</v>
      </c>
      <c r="AF106" s="373"/>
      <c r="AG106" s="371">
        <v>0</v>
      </c>
      <c r="AH106" s="371">
        <v>68276</v>
      </c>
      <c r="AI106" s="372">
        <v>2964</v>
      </c>
      <c r="AJ106" s="351" t="s">
        <v>611</v>
      </c>
      <c r="AK106" s="351"/>
      <c r="AL106" s="351" t="s">
        <v>210</v>
      </c>
      <c r="AN106" s="371">
        <v>0</v>
      </c>
      <c r="AO106" s="371">
        <v>70180</v>
      </c>
      <c r="AP106" s="372">
        <v>3637</v>
      </c>
      <c r="AQ106" s="373"/>
      <c r="AR106" s="371">
        <v>0</v>
      </c>
      <c r="AS106" s="371">
        <v>79891.929999999993</v>
      </c>
      <c r="AT106" s="372">
        <v>3753</v>
      </c>
      <c r="AU106" s="367"/>
      <c r="AV106" s="371">
        <v>0</v>
      </c>
      <c r="AW106" s="371">
        <v>77677.149999999994</v>
      </c>
      <c r="AX106" s="372">
        <v>2756</v>
      </c>
      <c r="AY106" s="367"/>
      <c r="AZ106" s="371">
        <v>0</v>
      </c>
      <c r="BA106" s="371">
        <v>78772.399999999994</v>
      </c>
      <c r="BB106" s="372">
        <v>3672</v>
      </c>
      <c r="BC106" s="372"/>
      <c r="BD106" s="376" t="s">
        <v>707</v>
      </c>
    </row>
    <row r="107" spans="1:56" ht="24" customHeight="1" x14ac:dyDescent="0.2">
      <c r="A107" s="341"/>
      <c r="B107" s="412"/>
      <c r="C107" s="341"/>
      <c r="D107" s="367"/>
      <c r="E107" s="341"/>
      <c r="F107" s="368" t="s">
        <v>245</v>
      </c>
      <c r="G107" s="341"/>
      <c r="H107" s="368" t="s">
        <v>53</v>
      </c>
      <c r="I107" s="341"/>
      <c r="J107" s="369" t="s">
        <v>911</v>
      </c>
      <c r="K107" s="367"/>
      <c r="L107" s="368"/>
      <c r="M107" s="367"/>
      <c r="N107" s="367"/>
      <c r="O107" s="341"/>
      <c r="P107" s="341"/>
      <c r="Q107" s="351"/>
      <c r="R107" s="367"/>
      <c r="S107" s="371"/>
      <c r="T107" s="371"/>
      <c r="U107" s="367"/>
      <c r="V107" s="372"/>
      <c r="W107" s="371"/>
      <c r="X107" s="371"/>
      <c r="Y107" s="341"/>
      <c r="Z107" s="371"/>
      <c r="AA107" s="372"/>
      <c r="AB107" s="367"/>
      <c r="AC107" s="371"/>
      <c r="AD107" s="371"/>
      <c r="AE107" s="372"/>
      <c r="AF107" s="373"/>
      <c r="AG107" s="371"/>
      <c r="AH107" s="371"/>
      <c r="AI107" s="372"/>
      <c r="AK107" s="351"/>
      <c r="AN107" s="371">
        <v>0</v>
      </c>
      <c r="AO107" s="371">
        <v>0</v>
      </c>
      <c r="AP107" s="372">
        <v>0</v>
      </c>
      <c r="AQ107" s="373"/>
      <c r="AR107" s="371">
        <v>0</v>
      </c>
      <c r="AS107" s="371">
        <v>0</v>
      </c>
      <c r="AT107" s="372">
        <v>0</v>
      </c>
      <c r="AU107" s="352"/>
      <c r="AV107" s="377">
        <v>0</v>
      </c>
      <c r="AW107" s="377">
        <v>0</v>
      </c>
      <c r="AX107" s="378"/>
      <c r="AY107" s="352"/>
      <c r="AZ107" s="377">
        <v>0</v>
      </c>
      <c r="BA107" s="387" t="s">
        <v>912</v>
      </c>
      <c r="BB107" s="378">
        <v>87</v>
      </c>
      <c r="BC107" s="378"/>
      <c r="BD107" s="386" t="s">
        <v>713</v>
      </c>
    </row>
    <row r="108" spans="1:56" ht="15" customHeight="1" x14ac:dyDescent="0.2">
      <c r="A108" s="341"/>
      <c r="B108" s="412"/>
      <c r="C108" s="341"/>
      <c r="D108" s="367">
        <v>245</v>
      </c>
      <c r="E108" s="341"/>
      <c r="F108" s="368" t="s">
        <v>221</v>
      </c>
      <c r="G108" s="341"/>
      <c r="H108" s="368" t="s">
        <v>53</v>
      </c>
      <c r="I108" s="341"/>
      <c r="J108" s="369">
        <v>3</v>
      </c>
      <c r="K108" s="367"/>
      <c r="L108" s="368" t="s">
        <v>238</v>
      </c>
      <c r="M108" s="367"/>
      <c r="N108" s="367" t="s">
        <v>55</v>
      </c>
      <c r="O108" s="341"/>
      <c r="P108" s="341"/>
      <c r="Q108" s="351">
        <v>904</v>
      </c>
      <c r="R108" s="367"/>
      <c r="S108" s="371">
        <v>0</v>
      </c>
      <c r="T108" s="371">
        <v>8119.63</v>
      </c>
      <c r="U108" s="367"/>
      <c r="V108" s="372"/>
      <c r="W108" s="371">
        <v>0</v>
      </c>
      <c r="X108" s="371">
        <v>5862</v>
      </c>
      <c r="Y108" s="341"/>
      <c r="Z108" s="371">
        <v>5788</v>
      </c>
      <c r="AA108" s="372">
        <v>1929</v>
      </c>
      <c r="AB108" s="367"/>
      <c r="AC108" s="371">
        <v>0</v>
      </c>
      <c r="AD108" s="371">
        <v>6456</v>
      </c>
      <c r="AE108" s="372">
        <v>2152</v>
      </c>
      <c r="AF108" s="373"/>
      <c r="AG108" s="371">
        <v>0</v>
      </c>
      <c r="AH108" s="371">
        <v>5799</v>
      </c>
      <c r="AI108" s="372">
        <v>1933</v>
      </c>
      <c r="AJ108" s="351" t="s">
        <v>612</v>
      </c>
      <c r="AK108" s="351"/>
      <c r="AN108" s="371">
        <v>0</v>
      </c>
      <c r="AO108" s="371">
        <v>5976</v>
      </c>
      <c r="AP108" s="372">
        <v>1992</v>
      </c>
      <c r="AQ108" s="373"/>
      <c r="AR108" s="371">
        <v>0</v>
      </c>
      <c r="AS108" s="371">
        <v>6456</v>
      </c>
      <c r="AT108" s="372">
        <v>2152</v>
      </c>
      <c r="AU108" s="367"/>
      <c r="AV108" s="371">
        <v>0</v>
      </c>
      <c r="AW108" s="371">
        <v>6391.92</v>
      </c>
      <c r="AX108" s="372">
        <v>2130</v>
      </c>
      <c r="AY108" s="367"/>
      <c r="AZ108" s="371">
        <v>0</v>
      </c>
      <c r="BA108" s="371">
        <v>5595</v>
      </c>
      <c r="BB108" s="372">
        <v>1865</v>
      </c>
      <c r="BC108" s="372"/>
      <c r="BD108" s="376" t="s">
        <v>713</v>
      </c>
    </row>
    <row r="109" spans="1:56" ht="15" customHeight="1" x14ac:dyDescent="0.2">
      <c r="A109" s="341"/>
      <c r="B109" s="412"/>
      <c r="C109" s="341"/>
      <c r="D109" s="367">
        <v>245</v>
      </c>
      <c r="E109" s="341"/>
      <c r="F109" s="368" t="s">
        <v>216</v>
      </c>
      <c r="G109" s="341"/>
      <c r="H109" s="368" t="s">
        <v>217</v>
      </c>
      <c r="I109" s="341"/>
      <c r="J109" s="369">
        <v>2</v>
      </c>
      <c r="K109" s="367"/>
      <c r="L109" s="368" t="s">
        <v>218</v>
      </c>
      <c r="M109" s="367"/>
      <c r="N109" s="367" t="s">
        <v>55</v>
      </c>
      <c r="O109" s="341"/>
      <c r="P109" s="341"/>
      <c r="Q109" s="351">
        <v>904</v>
      </c>
      <c r="R109" s="367">
        <v>818</v>
      </c>
      <c r="S109" s="371">
        <v>0</v>
      </c>
      <c r="T109" s="371">
        <v>1636</v>
      </c>
      <c r="U109" s="367"/>
      <c r="V109" s="372">
        <v>1318</v>
      </c>
      <c r="W109" s="371">
        <v>0</v>
      </c>
      <c r="X109" s="371">
        <v>2636</v>
      </c>
      <c r="Y109" s="341"/>
      <c r="Z109" s="371">
        <v>2094</v>
      </c>
      <c r="AA109" s="372">
        <v>1047</v>
      </c>
      <c r="AB109" s="367"/>
      <c r="AC109" s="371">
        <v>0</v>
      </c>
      <c r="AD109" s="371">
        <v>1982</v>
      </c>
      <c r="AE109" s="372">
        <v>991</v>
      </c>
      <c r="AF109" s="373"/>
      <c r="AG109" s="371">
        <v>0</v>
      </c>
      <c r="AH109" s="371">
        <v>2120</v>
      </c>
      <c r="AI109" s="372">
        <v>1060</v>
      </c>
      <c r="AJ109" s="351" t="s">
        <v>239</v>
      </c>
      <c r="AK109" s="351"/>
      <c r="AN109" s="371">
        <v>0</v>
      </c>
      <c r="AO109" s="371">
        <v>2086</v>
      </c>
      <c r="AP109" s="372">
        <v>1043</v>
      </c>
      <c r="AQ109" s="373"/>
      <c r="AR109" s="371">
        <v>0</v>
      </c>
      <c r="AS109" s="371">
        <v>2122</v>
      </c>
      <c r="AT109" s="372">
        <v>1061</v>
      </c>
      <c r="AU109" s="367"/>
      <c r="AV109" s="371">
        <v>0</v>
      </c>
      <c r="AW109" s="371">
        <v>2124</v>
      </c>
      <c r="AX109" s="372">
        <v>1062</v>
      </c>
      <c r="AY109" s="367"/>
      <c r="AZ109" s="371">
        <v>0</v>
      </c>
      <c r="BA109" s="371">
        <v>2260</v>
      </c>
      <c r="BB109" s="372">
        <v>1130</v>
      </c>
      <c r="BC109" s="372"/>
      <c r="BD109" s="376" t="s">
        <v>713</v>
      </c>
    </row>
    <row r="110" spans="1:56" ht="15" customHeight="1" x14ac:dyDescent="0.2">
      <c r="A110" s="341"/>
      <c r="B110" s="412"/>
      <c r="C110" s="341"/>
      <c r="D110" s="367">
        <v>245</v>
      </c>
      <c r="E110" s="341"/>
      <c r="F110" s="368" t="s">
        <v>223</v>
      </c>
      <c r="G110" s="341"/>
      <c r="H110" s="368" t="s">
        <v>907</v>
      </c>
      <c r="I110" s="341"/>
      <c r="J110" s="369" t="s">
        <v>908</v>
      </c>
      <c r="K110" s="367"/>
      <c r="L110" s="368" t="s">
        <v>225</v>
      </c>
      <c r="M110" s="367"/>
      <c r="N110" s="367" t="s">
        <v>55</v>
      </c>
      <c r="O110" s="341"/>
      <c r="P110" s="341"/>
      <c r="Q110" s="351">
        <v>904</v>
      </c>
      <c r="R110" s="375">
        <v>18582</v>
      </c>
      <c r="S110" s="371">
        <v>0</v>
      </c>
      <c r="T110" s="371">
        <v>2787.36</v>
      </c>
      <c r="U110" s="367"/>
      <c r="V110" s="372"/>
      <c r="W110" s="371">
        <v>0</v>
      </c>
      <c r="X110" s="371">
        <v>2238.4899999999998</v>
      </c>
      <c r="Y110" s="341"/>
      <c r="Z110" s="371">
        <v>2129</v>
      </c>
      <c r="AA110" s="372">
        <v>14193</v>
      </c>
      <c r="AB110" s="367"/>
      <c r="AC110" s="371">
        <v>0</v>
      </c>
      <c r="AD110" s="371">
        <v>2199</v>
      </c>
      <c r="AE110" s="372">
        <v>14660</v>
      </c>
      <c r="AF110" s="373"/>
      <c r="AG110" s="371">
        <v>0</v>
      </c>
      <c r="AH110" s="371">
        <v>1634</v>
      </c>
      <c r="AI110" s="372">
        <v>10893</v>
      </c>
      <c r="AJ110" s="351" t="s">
        <v>692</v>
      </c>
      <c r="AK110" s="351"/>
      <c r="AN110" s="371">
        <v>0</v>
      </c>
      <c r="AO110" s="371">
        <v>1480.8</v>
      </c>
      <c r="AP110" s="372">
        <v>9872</v>
      </c>
      <c r="AQ110" s="373"/>
      <c r="AR110" s="371">
        <v>0</v>
      </c>
      <c r="AS110" s="371">
        <v>1873.05</v>
      </c>
      <c r="AT110" s="372">
        <v>12487</v>
      </c>
      <c r="AU110" s="352"/>
      <c r="AV110" s="377">
        <v>0</v>
      </c>
      <c r="AW110" s="377">
        <v>2232.19</v>
      </c>
      <c r="AX110" s="378">
        <v>14881</v>
      </c>
      <c r="AY110" s="352"/>
      <c r="AZ110" s="377">
        <v>0</v>
      </c>
      <c r="BA110" s="377">
        <v>2047.83</v>
      </c>
      <c r="BB110" s="378">
        <v>13652</v>
      </c>
      <c r="BC110" s="378"/>
      <c r="BD110" s="379" t="s">
        <v>713</v>
      </c>
    </row>
    <row r="111" spans="1:56" ht="15" customHeight="1" x14ac:dyDescent="0.2">
      <c r="A111" s="341"/>
      <c r="B111" s="412"/>
      <c r="C111" s="341"/>
      <c r="D111" s="367">
        <v>245</v>
      </c>
      <c r="E111" s="341"/>
      <c r="F111" s="368" t="s">
        <v>226</v>
      </c>
      <c r="G111" s="341"/>
      <c r="H111" s="368" t="s">
        <v>53</v>
      </c>
      <c r="I111" s="341"/>
      <c r="J111" s="369">
        <v>5</v>
      </c>
      <c r="K111" s="367"/>
      <c r="L111" s="368" t="s">
        <v>227</v>
      </c>
      <c r="M111" s="367"/>
      <c r="N111" s="367" t="s">
        <v>55</v>
      </c>
      <c r="O111" s="341"/>
      <c r="P111" s="341"/>
      <c r="Q111" s="351">
        <v>904</v>
      </c>
      <c r="R111" s="367">
        <v>177</v>
      </c>
      <c r="S111" s="371">
        <v>0</v>
      </c>
      <c r="T111" s="371">
        <v>885</v>
      </c>
      <c r="U111" s="367"/>
      <c r="V111" s="372"/>
      <c r="W111" s="371">
        <v>0</v>
      </c>
      <c r="X111" s="371">
        <v>4093.68</v>
      </c>
      <c r="Y111" s="341"/>
      <c r="Z111" s="371">
        <v>12393</v>
      </c>
      <c r="AA111" s="372">
        <v>2479</v>
      </c>
      <c r="AB111" s="367"/>
      <c r="AC111" s="371">
        <v>0</v>
      </c>
      <c r="AD111" s="371">
        <v>14271</v>
      </c>
      <c r="AE111" s="372">
        <v>2854</v>
      </c>
      <c r="AF111" s="373"/>
      <c r="AG111" s="371">
        <v>0</v>
      </c>
      <c r="AH111" s="371">
        <v>6000</v>
      </c>
      <c r="AI111" s="372">
        <v>1200</v>
      </c>
      <c r="AJ111" s="351" t="s">
        <v>692</v>
      </c>
      <c r="AK111" s="351"/>
      <c r="AN111" s="371">
        <v>0</v>
      </c>
      <c r="AO111" s="371">
        <v>3570</v>
      </c>
      <c r="AP111" s="372">
        <v>714</v>
      </c>
      <c r="AQ111" s="373"/>
      <c r="AR111" s="371">
        <v>0</v>
      </c>
      <c r="AS111" s="371">
        <v>3260</v>
      </c>
      <c r="AT111" s="372">
        <v>652</v>
      </c>
      <c r="AU111" s="367"/>
      <c r="AV111" s="371">
        <v>0</v>
      </c>
      <c r="AW111" s="371">
        <v>3355</v>
      </c>
      <c r="AX111" s="372">
        <v>671</v>
      </c>
      <c r="AY111" s="367"/>
      <c r="AZ111" s="371">
        <v>0</v>
      </c>
      <c r="BA111" s="371">
        <v>2810</v>
      </c>
      <c r="BB111" s="372">
        <v>562</v>
      </c>
      <c r="BC111" s="372"/>
      <c r="BD111" s="376" t="s">
        <v>713</v>
      </c>
    </row>
    <row r="112" spans="1:56" ht="15" customHeight="1" x14ac:dyDescent="0.2">
      <c r="A112" s="341"/>
      <c r="B112" s="412" t="s">
        <v>240</v>
      </c>
      <c r="C112" s="341"/>
      <c r="D112" s="367">
        <v>246</v>
      </c>
      <c r="E112" s="341"/>
      <c r="F112" s="368" t="s">
        <v>903</v>
      </c>
      <c r="G112" s="341"/>
      <c r="H112" s="368" t="s">
        <v>53</v>
      </c>
      <c r="I112" s="341"/>
      <c r="J112" s="369" t="s">
        <v>209</v>
      </c>
      <c r="K112" s="367"/>
      <c r="L112" s="368" t="s">
        <v>229</v>
      </c>
      <c r="M112" s="367"/>
      <c r="N112" s="367" t="s">
        <v>55</v>
      </c>
      <c r="O112" s="341"/>
      <c r="P112" s="341"/>
      <c r="Q112" s="351">
        <v>904</v>
      </c>
      <c r="R112" s="367">
        <v>974</v>
      </c>
      <c r="S112" s="371">
        <v>0</v>
      </c>
      <c r="T112" s="371">
        <v>40543</v>
      </c>
      <c r="U112" s="367"/>
      <c r="V112" s="372">
        <v>1035</v>
      </c>
      <c r="W112" s="371">
        <v>0</v>
      </c>
      <c r="X112" s="371">
        <v>46447</v>
      </c>
      <c r="Y112" s="341"/>
      <c r="Z112" s="371">
        <v>43414</v>
      </c>
      <c r="AA112" s="372">
        <v>1002</v>
      </c>
      <c r="AB112" s="367"/>
      <c r="AC112" s="371">
        <v>0</v>
      </c>
      <c r="AD112" s="371">
        <v>43696</v>
      </c>
      <c r="AE112" s="372">
        <v>1797</v>
      </c>
      <c r="AF112" s="373"/>
      <c r="AG112" s="371">
        <v>0</v>
      </c>
      <c r="AH112" s="371">
        <v>44010</v>
      </c>
      <c r="AI112" s="372">
        <v>1691</v>
      </c>
      <c r="AJ112" s="351" t="s">
        <v>611</v>
      </c>
      <c r="AK112" s="351"/>
      <c r="AL112" s="351" t="s">
        <v>210</v>
      </c>
      <c r="AN112" s="371">
        <v>0</v>
      </c>
      <c r="AO112" s="371">
        <v>43550</v>
      </c>
      <c r="AP112" s="372">
        <v>1683</v>
      </c>
      <c r="AQ112" s="373"/>
      <c r="AR112" s="371">
        <v>0</v>
      </c>
      <c r="AS112" s="371">
        <v>52539</v>
      </c>
      <c r="AT112" s="372">
        <v>1833</v>
      </c>
      <c r="AU112" s="352"/>
      <c r="AV112" s="377">
        <v>0</v>
      </c>
      <c r="AW112" s="377">
        <v>61582</v>
      </c>
      <c r="AX112" s="378">
        <v>1973</v>
      </c>
      <c r="AY112" s="352"/>
      <c r="AZ112" s="377">
        <v>0</v>
      </c>
      <c r="BA112" s="377">
        <v>70596</v>
      </c>
      <c r="BB112" s="378">
        <v>2183</v>
      </c>
      <c r="BC112" s="378"/>
      <c r="BD112" s="379" t="s">
        <v>707</v>
      </c>
    </row>
    <row r="113" spans="1:56" ht="15" customHeight="1" x14ac:dyDescent="0.2">
      <c r="A113" s="341"/>
      <c r="B113" s="412"/>
      <c r="C113" s="341"/>
      <c r="D113" s="367">
        <v>246</v>
      </c>
      <c r="E113" s="341"/>
      <c r="F113" s="368" t="s">
        <v>221</v>
      </c>
      <c r="G113" s="341"/>
      <c r="H113" s="368" t="s">
        <v>53</v>
      </c>
      <c r="I113" s="341"/>
      <c r="J113" s="369">
        <v>3</v>
      </c>
      <c r="K113" s="367"/>
      <c r="L113" s="368" t="s">
        <v>222</v>
      </c>
      <c r="M113" s="367"/>
      <c r="N113" s="367" t="s">
        <v>55</v>
      </c>
      <c r="O113" s="341"/>
      <c r="P113" s="341"/>
      <c r="Q113" s="351">
        <v>904</v>
      </c>
      <c r="R113" s="375">
        <v>2302</v>
      </c>
      <c r="S113" s="371"/>
      <c r="T113" s="371">
        <v>6906</v>
      </c>
      <c r="U113" s="367"/>
      <c r="V113" s="372">
        <v>2599</v>
      </c>
      <c r="W113" s="371">
        <v>0</v>
      </c>
      <c r="X113" s="371">
        <v>7797</v>
      </c>
      <c r="Y113" s="341"/>
      <c r="Z113" s="371">
        <v>5535</v>
      </c>
      <c r="AA113" s="372">
        <v>1845</v>
      </c>
      <c r="AB113" s="367"/>
      <c r="AC113" s="371">
        <v>0</v>
      </c>
      <c r="AD113" s="371">
        <v>5630</v>
      </c>
      <c r="AE113" s="372">
        <v>1876</v>
      </c>
      <c r="AF113" s="373"/>
      <c r="AG113" s="371">
        <v>0</v>
      </c>
      <c r="AH113" s="371">
        <v>5523</v>
      </c>
      <c r="AI113" s="372">
        <v>1841</v>
      </c>
      <c r="AJ113" s="351" t="s">
        <v>241</v>
      </c>
      <c r="AK113" s="351"/>
      <c r="AN113" s="371">
        <v>0</v>
      </c>
      <c r="AO113" s="371">
        <v>4959</v>
      </c>
      <c r="AP113" s="372">
        <v>1653</v>
      </c>
      <c r="AQ113" s="373"/>
      <c r="AR113" s="371">
        <v>0</v>
      </c>
      <c r="AS113" s="371">
        <v>4230</v>
      </c>
      <c r="AT113" s="372">
        <v>1410</v>
      </c>
      <c r="AU113" s="367"/>
      <c r="AV113" s="371">
        <v>0</v>
      </c>
      <c r="AW113" s="371">
        <v>4890</v>
      </c>
      <c r="AX113" s="372">
        <v>1630</v>
      </c>
      <c r="AY113" s="367"/>
      <c r="AZ113" s="371">
        <v>0</v>
      </c>
      <c r="BA113" s="371">
        <v>5508</v>
      </c>
      <c r="BB113" s="372">
        <v>1836</v>
      </c>
      <c r="BC113" s="372"/>
      <c r="BD113" s="376" t="s">
        <v>713</v>
      </c>
    </row>
    <row r="114" spans="1:56" ht="15" customHeight="1" x14ac:dyDescent="0.2">
      <c r="A114" s="341"/>
      <c r="B114" s="412"/>
      <c r="C114" s="341"/>
      <c r="D114" s="367">
        <v>246</v>
      </c>
      <c r="E114" s="341"/>
      <c r="F114" s="368" t="s">
        <v>216</v>
      </c>
      <c r="G114" s="341"/>
      <c r="H114" s="368" t="s">
        <v>217</v>
      </c>
      <c r="I114" s="341"/>
      <c r="J114" s="369">
        <v>2</v>
      </c>
      <c r="K114" s="367"/>
      <c r="L114" s="368" t="s">
        <v>218</v>
      </c>
      <c r="M114" s="367"/>
      <c r="N114" s="367" t="s">
        <v>55</v>
      </c>
      <c r="O114" s="341"/>
      <c r="P114" s="341"/>
      <c r="Q114" s="351">
        <v>904</v>
      </c>
      <c r="R114" s="367">
        <v>584</v>
      </c>
      <c r="S114" s="371">
        <v>0</v>
      </c>
      <c r="T114" s="371">
        <v>1168</v>
      </c>
      <c r="U114" s="367"/>
      <c r="V114" s="372">
        <v>971</v>
      </c>
      <c r="W114" s="371">
        <v>0</v>
      </c>
      <c r="X114" s="371">
        <v>1942</v>
      </c>
      <c r="Y114" s="341"/>
      <c r="Z114" s="371">
        <v>1548</v>
      </c>
      <c r="AA114" s="372">
        <v>774</v>
      </c>
      <c r="AB114" s="367"/>
      <c r="AC114" s="371">
        <v>0</v>
      </c>
      <c r="AD114" s="371">
        <v>1374</v>
      </c>
      <c r="AE114" s="372">
        <v>687</v>
      </c>
      <c r="AF114" s="373"/>
      <c r="AG114" s="371">
        <v>0</v>
      </c>
      <c r="AH114" s="371">
        <v>1104</v>
      </c>
      <c r="AI114" s="372">
        <v>552</v>
      </c>
      <c r="AJ114" s="351" t="s">
        <v>242</v>
      </c>
      <c r="AK114" s="351"/>
      <c r="AL114" s="351" t="s">
        <v>220</v>
      </c>
      <c r="AN114" s="371">
        <v>0</v>
      </c>
      <c r="AO114" s="371">
        <v>1290</v>
      </c>
      <c r="AP114" s="372">
        <v>645</v>
      </c>
      <c r="AQ114" s="373"/>
      <c r="AR114" s="371">
        <v>0</v>
      </c>
      <c r="AS114" s="371">
        <v>1556</v>
      </c>
      <c r="AT114" s="372">
        <v>778</v>
      </c>
      <c r="AU114" s="352"/>
      <c r="AV114" s="377">
        <v>0</v>
      </c>
      <c r="AW114" s="377">
        <v>1736</v>
      </c>
      <c r="AX114" s="378">
        <v>868</v>
      </c>
      <c r="AY114" s="352"/>
      <c r="AZ114" s="377">
        <v>0</v>
      </c>
      <c r="BA114" s="377">
        <v>1824</v>
      </c>
      <c r="BB114" s="378">
        <v>972</v>
      </c>
      <c r="BC114" s="378"/>
      <c r="BD114" s="379" t="s">
        <v>713</v>
      </c>
    </row>
    <row r="115" spans="1:56" ht="15" customHeight="1" x14ac:dyDescent="0.2">
      <c r="A115" s="341"/>
      <c r="B115" s="412"/>
      <c r="C115" s="341"/>
      <c r="D115" s="367">
        <v>246</v>
      </c>
      <c r="E115" s="341"/>
      <c r="F115" s="368" t="s">
        <v>216</v>
      </c>
      <c r="G115" s="341"/>
      <c r="H115" s="368" t="s">
        <v>913</v>
      </c>
      <c r="I115" s="341"/>
      <c r="J115" s="369">
        <v>2</v>
      </c>
      <c r="K115" s="367"/>
      <c r="L115" s="368" t="s">
        <v>218</v>
      </c>
      <c r="M115" s="367"/>
      <c r="N115" s="367" t="s">
        <v>55</v>
      </c>
      <c r="O115" s="341"/>
      <c r="P115" s="341"/>
      <c r="Q115" s="351">
        <v>904</v>
      </c>
      <c r="R115" s="367">
        <v>0</v>
      </c>
      <c r="S115" s="371">
        <v>0</v>
      </c>
      <c r="T115" s="371">
        <v>0</v>
      </c>
      <c r="U115" s="367"/>
      <c r="V115" s="372">
        <v>166</v>
      </c>
      <c r="W115" s="371">
        <v>0</v>
      </c>
      <c r="X115" s="371">
        <v>322</v>
      </c>
      <c r="Y115" s="341"/>
      <c r="Z115" s="371">
        <v>198</v>
      </c>
      <c r="AA115" s="372">
        <v>99</v>
      </c>
      <c r="AB115" s="367"/>
      <c r="AC115" s="371">
        <v>0</v>
      </c>
      <c r="AD115" s="371">
        <v>232</v>
      </c>
      <c r="AE115" s="372">
        <v>116</v>
      </c>
      <c r="AF115" s="373"/>
      <c r="AG115" s="371">
        <v>0</v>
      </c>
      <c r="AH115" s="371">
        <v>222</v>
      </c>
      <c r="AI115" s="372">
        <v>111</v>
      </c>
      <c r="AJ115" s="351" t="s">
        <v>219</v>
      </c>
      <c r="AK115" s="351"/>
      <c r="AL115" s="351" t="s">
        <v>243</v>
      </c>
      <c r="AN115" s="371">
        <v>0</v>
      </c>
      <c r="AO115" s="371">
        <v>244</v>
      </c>
      <c r="AP115" s="372">
        <v>122</v>
      </c>
      <c r="AQ115" s="373"/>
      <c r="AR115" s="371">
        <v>0</v>
      </c>
      <c r="AS115" s="371">
        <v>216</v>
      </c>
      <c r="AT115" s="372">
        <v>108</v>
      </c>
      <c r="AU115" s="367"/>
      <c r="AV115" s="371">
        <v>0</v>
      </c>
      <c r="AW115" s="371">
        <v>264</v>
      </c>
      <c r="AX115" s="372">
        <v>132</v>
      </c>
      <c r="AY115" s="367"/>
      <c r="AZ115" s="371">
        <v>0</v>
      </c>
      <c r="BA115" s="371">
        <v>350</v>
      </c>
      <c r="BB115" s="372">
        <v>175</v>
      </c>
      <c r="BC115" s="372"/>
      <c r="BD115" s="376" t="s">
        <v>713</v>
      </c>
    </row>
    <row r="116" spans="1:56" ht="15" customHeight="1" x14ac:dyDescent="0.2">
      <c r="A116" s="341"/>
      <c r="B116" s="412"/>
      <c r="C116" s="341"/>
      <c r="D116" s="367">
        <v>246</v>
      </c>
      <c r="E116" s="341"/>
      <c r="F116" s="368" t="s">
        <v>223</v>
      </c>
      <c r="G116" s="341"/>
      <c r="H116" s="368" t="s">
        <v>907</v>
      </c>
      <c r="I116" s="341"/>
      <c r="J116" s="369" t="s">
        <v>224</v>
      </c>
      <c r="K116" s="367"/>
      <c r="L116" s="368" t="s">
        <v>225</v>
      </c>
      <c r="M116" s="367"/>
      <c r="N116" s="367" t="s">
        <v>55</v>
      </c>
      <c r="O116" s="341"/>
      <c r="P116" s="341"/>
      <c r="Q116" s="351">
        <v>904</v>
      </c>
      <c r="R116" s="367">
        <v>7</v>
      </c>
      <c r="S116" s="371">
        <v>0</v>
      </c>
      <c r="T116" s="371">
        <v>910</v>
      </c>
      <c r="U116" s="367"/>
      <c r="V116" s="372">
        <v>0</v>
      </c>
      <c r="W116" s="371">
        <v>0</v>
      </c>
      <c r="X116" s="371">
        <v>0</v>
      </c>
      <c r="Y116" s="341"/>
      <c r="Z116" s="371">
        <v>714.05</v>
      </c>
      <c r="AA116" s="372">
        <v>4760</v>
      </c>
      <c r="AB116" s="367"/>
      <c r="AC116" s="371">
        <v>0</v>
      </c>
      <c r="AD116" s="371">
        <v>387.25</v>
      </c>
      <c r="AE116" s="372">
        <v>2580</v>
      </c>
      <c r="AF116" s="373"/>
      <c r="AG116" s="371">
        <v>0</v>
      </c>
      <c r="AH116" s="371">
        <v>342.1</v>
      </c>
      <c r="AI116" s="372">
        <v>2280</v>
      </c>
      <c r="AJ116" s="351" t="s">
        <v>692</v>
      </c>
      <c r="AK116" s="351"/>
      <c r="AN116" s="371">
        <v>0</v>
      </c>
      <c r="AO116" s="371">
        <v>575</v>
      </c>
      <c r="AP116" s="372">
        <v>3831</v>
      </c>
      <c r="AQ116" s="373"/>
      <c r="AR116" s="371">
        <v>0</v>
      </c>
      <c r="AS116" s="371">
        <v>460</v>
      </c>
      <c r="AT116" s="372">
        <v>3070</v>
      </c>
      <c r="AU116" s="352"/>
      <c r="AV116" s="377">
        <v>0</v>
      </c>
      <c r="AW116" s="377">
        <v>272</v>
      </c>
      <c r="AX116" s="378">
        <v>1813</v>
      </c>
      <c r="AY116" s="352"/>
      <c r="AZ116" s="377">
        <v>0</v>
      </c>
      <c r="BA116" s="377">
        <v>91</v>
      </c>
      <c r="BB116" s="378">
        <v>607</v>
      </c>
      <c r="BC116" s="378"/>
      <c r="BD116" s="379" t="s">
        <v>713</v>
      </c>
    </row>
    <row r="117" spans="1:56" ht="15" customHeight="1" x14ac:dyDescent="0.2">
      <c r="A117" s="341"/>
      <c r="B117" s="412"/>
      <c r="C117" s="341"/>
      <c r="D117" s="367">
        <v>246</v>
      </c>
      <c r="E117" s="341"/>
      <c r="F117" s="368" t="s">
        <v>226</v>
      </c>
      <c r="G117" s="341"/>
      <c r="H117" s="368" t="s">
        <v>53</v>
      </c>
      <c r="I117" s="341"/>
      <c r="J117" s="369">
        <v>5</v>
      </c>
      <c r="K117" s="367"/>
      <c r="L117" s="368" t="s">
        <v>227</v>
      </c>
      <c r="M117" s="367"/>
      <c r="N117" s="367" t="s">
        <v>55</v>
      </c>
      <c r="O117" s="341"/>
      <c r="P117" s="341"/>
      <c r="Q117" s="351">
        <v>904</v>
      </c>
      <c r="R117" s="375">
        <v>2144</v>
      </c>
      <c r="S117" s="371">
        <v>0</v>
      </c>
      <c r="T117" s="371">
        <v>10721</v>
      </c>
      <c r="U117" s="367"/>
      <c r="V117" s="372">
        <v>2043</v>
      </c>
      <c r="W117" s="371">
        <v>0</v>
      </c>
      <c r="X117" s="371">
        <v>10215</v>
      </c>
      <c r="Y117" s="341"/>
      <c r="Z117" s="371">
        <v>7480</v>
      </c>
      <c r="AA117" s="372">
        <v>1496</v>
      </c>
      <c r="AB117" s="367"/>
      <c r="AC117" s="371">
        <v>0</v>
      </c>
      <c r="AD117" s="371">
        <v>6650</v>
      </c>
      <c r="AE117" s="372">
        <v>1330</v>
      </c>
      <c r="AF117" s="373"/>
      <c r="AG117" s="371">
        <v>0</v>
      </c>
      <c r="AH117" s="371">
        <v>1430</v>
      </c>
      <c r="AI117" s="372">
        <v>286</v>
      </c>
      <c r="AJ117" s="351" t="s">
        <v>692</v>
      </c>
      <c r="AK117" s="351"/>
      <c r="AN117" s="371">
        <v>0</v>
      </c>
      <c r="AO117" s="371">
        <v>1225</v>
      </c>
      <c r="AP117" s="372">
        <v>245</v>
      </c>
      <c r="AQ117" s="373"/>
      <c r="AR117" s="371">
        <v>0</v>
      </c>
      <c r="AS117" s="371">
        <v>1095</v>
      </c>
      <c r="AT117" s="372">
        <v>219</v>
      </c>
      <c r="AU117" s="367"/>
      <c r="AV117" s="371">
        <v>0</v>
      </c>
      <c r="AW117" s="371">
        <v>1350</v>
      </c>
      <c r="AX117" s="372">
        <v>270</v>
      </c>
      <c r="AY117" s="367"/>
      <c r="AZ117" s="371">
        <v>0</v>
      </c>
      <c r="BA117" s="371">
        <v>1615</v>
      </c>
      <c r="BB117" s="372">
        <v>323</v>
      </c>
      <c r="BC117" s="372"/>
      <c r="BD117" s="376" t="s">
        <v>713</v>
      </c>
    </row>
    <row r="118" spans="1:56" ht="15" customHeight="1" x14ac:dyDescent="0.2">
      <c r="A118" s="341"/>
      <c r="B118" s="412"/>
      <c r="C118" s="341"/>
      <c r="D118" s="367">
        <v>246</v>
      </c>
      <c r="E118" s="341"/>
      <c r="F118" s="368" t="s">
        <v>697</v>
      </c>
      <c r="G118" s="341"/>
      <c r="H118" s="368" t="s">
        <v>605</v>
      </c>
      <c r="I118" s="341"/>
      <c r="J118" s="369">
        <v>0.11</v>
      </c>
      <c r="K118" s="367"/>
      <c r="L118" s="368" t="s">
        <v>606</v>
      </c>
      <c r="M118" s="367"/>
      <c r="N118" s="367" t="s">
        <v>55</v>
      </c>
      <c r="O118" s="341"/>
      <c r="P118" s="341"/>
      <c r="Q118" s="351">
        <v>904</v>
      </c>
      <c r="R118" s="375"/>
      <c r="S118" s="371"/>
      <c r="T118" s="371"/>
      <c r="U118" s="367"/>
      <c r="V118" s="372">
        <v>6901</v>
      </c>
      <c r="W118" s="371">
        <v>0</v>
      </c>
      <c r="X118" s="371">
        <v>759.11</v>
      </c>
      <c r="Y118" s="341"/>
      <c r="Z118" s="371">
        <v>8261</v>
      </c>
      <c r="AA118" s="372">
        <v>80598</v>
      </c>
      <c r="AB118" s="367"/>
      <c r="AC118" s="371">
        <v>0</v>
      </c>
      <c r="AD118" s="371">
        <v>10852.1</v>
      </c>
      <c r="AE118" s="372">
        <v>106510</v>
      </c>
      <c r="AF118" s="373"/>
      <c r="AG118" s="371">
        <v>0</v>
      </c>
      <c r="AH118" s="371">
        <v>16969.59</v>
      </c>
      <c r="AI118" s="372">
        <v>154269</v>
      </c>
      <c r="AJ118" s="351" t="s">
        <v>219</v>
      </c>
      <c r="AK118" s="351"/>
      <c r="AN118" s="371">
        <v>0</v>
      </c>
      <c r="AO118" s="371">
        <v>20456</v>
      </c>
      <c r="AP118" s="372">
        <v>185967</v>
      </c>
      <c r="AQ118" s="373"/>
      <c r="AR118" s="371">
        <v>0</v>
      </c>
      <c r="AS118" s="371">
        <v>24482</v>
      </c>
      <c r="AT118" s="372">
        <v>222570</v>
      </c>
      <c r="AU118" s="352"/>
      <c r="AV118" s="377">
        <v>0</v>
      </c>
      <c r="AW118" s="377">
        <v>23052</v>
      </c>
      <c r="AX118" s="378">
        <v>209561</v>
      </c>
      <c r="AY118" s="352"/>
      <c r="AZ118" s="377">
        <v>0</v>
      </c>
      <c r="BA118" s="377">
        <v>25367</v>
      </c>
      <c r="BB118" s="378">
        <v>230609</v>
      </c>
      <c r="BC118" s="378"/>
      <c r="BD118" s="379" t="s">
        <v>713</v>
      </c>
    </row>
    <row r="119" spans="1:56" ht="15" customHeight="1" x14ac:dyDescent="0.2">
      <c r="A119" s="341"/>
      <c r="B119" s="412"/>
      <c r="C119" s="341"/>
      <c r="D119" s="367">
        <v>243</v>
      </c>
      <c r="E119" s="341"/>
      <c r="F119" s="368" t="s">
        <v>211</v>
      </c>
      <c r="G119" s="341"/>
      <c r="H119" s="368" t="s">
        <v>904</v>
      </c>
      <c r="I119" s="341"/>
      <c r="J119" s="369" t="s">
        <v>252</v>
      </c>
      <c r="K119" s="367"/>
      <c r="L119" s="368" t="s">
        <v>233</v>
      </c>
      <c r="M119" s="367"/>
      <c r="N119" s="367" t="s">
        <v>55</v>
      </c>
      <c r="O119" s="341"/>
      <c r="P119" s="341">
        <v>2010</v>
      </c>
      <c r="Q119" s="351">
        <v>904</v>
      </c>
      <c r="R119" s="367">
        <v>5</v>
      </c>
      <c r="S119" s="371">
        <v>0</v>
      </c>
      <c r="T119" s="371">
        <v>25432.22</v>
      </c>
      <c r="U119" s="367"/>
      <c r="V119" s="372">
        <v>5</v>
      </c>
      <c r="W119" s="371">
        <v>0</v>
      </c>
      <c r="X119" s="371">
        <v>26202</v>
      </c>
      <c r="Y119" s="341"/>
      <c r="Z119" s="371"/>
      <c r="AA119" s="372"/>
      <c r="AB119" s="367"/>
      <c r="AC119" s="371"/>
      <c r="AD119" s="371"/>
      <c r="AE119" s="372"/>
      <c r="AF119" s="373"/>
      <c r="AG119" s="371"/>
      <c r="AH119" s="371"/>
      <c r="AI119" s="372"/>
      <c r="AJ119" s="351" t="s">
        <v>692</v>
      </c>
      <c r="AK119" s="351"/>
      <c r="AL119" s="351" t="s">
        <v>213</v>
      </c>
      <c r="AN119" s="371">
        <v>0</v>
      </c>
      <c r="AO119" s="371">
        <v>0</v>
      </c>
      <c r="AP119" s="372">
        <v>0</v>
      </c>
      <c r="AQ119" s="373">
        <v>0</v>
      </c>
      <c r="AR119" s="371">
        <v>0</v>
      </c>
      <c r="AS119" s="371">
        <v>7727</v>
      </c>
      <c r="AT119" s="372">
        <v>3</v>
      </c>
      <c r="AU119" s="367"/>
      <c r="AV119" s="371">
        <v>0</v>
      </c>
      <c r="AW119" s="371">
        <v>16996</v>
      </c>
      <c r="AX119" s="372">
        <v>5</v>
      </c>
      <c r="AY119" s="367"/>
      <c r="AZ119" s="371">
        <v>0</v>
      </c>
      <c r="BA119" s="371">
        <v>29307</v>
      </c>
      <c r="BB119" s="372">
        <v>5</v>
      </c>
      <c r="BC119" s="372"/>
      <c r="BD119" s="376" t="s">
        <v>713</v>
      </c>
    </row>
    <row r="120" spans="1:56" ht="15" customHeight="1" x14ac:dyDescent="0.2">
      <c r="A120" s="341"/>
      <c r="B120" s="412" t="s">
        <v>244</v>
      </c>
      <c r="C120" s="341"/>
      <c r="D120" s="367">
        <v>247</v>
      </c>
      <c r="E120" s="341"/>
      <c r="F120" s="368" t="s">
        <v>245</v>
      </c>
      <c r="G120" s="341"/>
      <c r="H120" s="368" t="s">
        <v>53</v>
      </c>
      <c r="I120" s="341"/>
      <c r="J120" s="369" t="s">
        <v>911</v>
      </c>
      <c r="K120" s="367"/>
      <c r="L120" s="368" t="s">
        <v>212</v>
      </c>
      <c r="M120" s="367"/>
      <c r="N120" s="367" t="s">
        <v>55</v>
      </c>
      <c r="O120" s="341"/>
      <c r="P120" s="341"/>
      <c r="Q120" s="351">
        <v>904</v>
      </c>
      <c r="R120" s="367"/>
      <c r="S120" s="371">
        <v>0</v>
      </c>
      <c r="T120" s="371">
        <v>152702.30000000002</v>
      </c>
      <c r="U120" s="367"/>
      <c r="V120" s="372"/>
      <c r="W120" s="371">
        <v>0</v>
      </c>
      <c r="X120" s="371">
        <v>176334</v>
      </c>
      <c r="Y120" s="341"/>
      <c r="Z120" s="371">
        <v>172644</v>
      </c>
      <c r="AA120" s="372"/>
      <c r="AB120" s="367"/>
      <c r="AC120" s="371">
        <v>0</v>
      </c>
      <c r="AD120" s="371">
        <v>169369</v>
      </c>
      <c r="AE120" s="372">
        <v>1852</v>
      </c>
      <c r="AF120" s="373"/>
      <c r="AG120" s="371">
        <v>0</v>
      </c>
      <c r="AH120" s="371">
        <v>120033</v>
      </c>
      <c r="AI120" s="372">
        <v>1368</v>
      </c>
      <c r="AJ120" s="351" t="s">
        <v>246</v>
      </c>
      <c r="AK120" s="351"/>
      <c r="AN120" s="371">
        <v>130713.06</v>
      </c>
      <c r="AO120" s="371">
        <v>82138.710000000006</v>
      </c>
      <c r="AP120" s="372">
        <v>57</v>
      </c>
      <c r="AQ120" s="373"/>
      <c r="AR120" s="371">
        <v>92411.72</v>
      </c>
      <c r="AS120" s="371">
        <v>57690.18</v>
      </c>
      <c r="AT120" s="372">
        <v>53</v>
      </c>
      <c r="AU120" s="352"/>
      <c r="AV120" s="377">
        <v>51789</v>
      </c>
      <c r="AW120" s="377">
        <v>23352</v>
      </c>
      <c r="AX120" s="378">
        <v>26</v>
      </c>
      <c r="AY120" s="352"/>
      <c r="AZ120" s="377">
        <v>61804</v>
      </c>
      <c r="BA120" s="377">
        <v>44361</v>
      </c>
      <c r="BB120" s="378">
        <v>25</v>
      </c>
      <c r="BC120" s="378"/>
      <c r="BD120" s="379" t="s">
        <v>713</v>
      </c>
    </row>
    <row r="121" spans="1:56" ht="15" customHeight="1" x14ac:dyDescent="0.2">
      <c r="A121" s="341"/>
      <c r="B121" s="412"/>
      <c r="C121" s="341"/>
      <c r="D121" s="367">
        <v>247</v>
      </c>
      <c r="E121" s="341"/>
      <c r="F121" s="368" t="s">
        <v>903</v>
      </c>
      <c r="G121" s="341"/>
      <c r="H121" s="368" t="s">
        <v>53</v>
      </c>
      <c r="I121" s="341"/>
      <c r="J121" s="369" t="s">
        <v>209</v>
      </c>
      <c r="K121" s="367"/>
      <c r="L121" s="368" t="s">
        <v>229</v>
      </c>
      <c r="M121" s="367"/>
      <c r="N121" s="367" t="s">
        <v>55</v>
      </c>
      <c r="O121" s="341"/>
      <c r="P121" s="341"/>
      <c r="Q121" s="351">
        <v>904</v>
      </c>
      <c r="R121" s="367"/>
      <c r="S121" s="371">
        <v>0</v>
      </c>
      <c r="T121" s="371">
        <v>26725.46</v>
      </c>
      <c r="U121" s="367"/>
      <c r="V121" s="372"/>
      <c r="W121" s="371">
        <v>0</v>
      </c>
      <c r="X121" s="371">
        <v>32965</v>
      </c>
      <c r="Y121" s="341"/>
      <c r="Z121" s="371">
        <v>20810</v>
      </c>
      <c r="AA121" s="372"/>
      <c r="AB121" s="367"/>
      <c r="AC121" s="371">
        <v>0</v>
      </c>
      <c r="AD121" s="371">
        <v>17694</v>
      </c>
      <c r="AE121" s="372">
        <v>1210</v>
      </c>
      <c r="AF121" s="373"/>
      <c r="AG121" s="371">
        <v>0</v>
      </c>
      <c r="AH121" s="371">
        <v>14347</v>
      </c>
      <c r="AI121" s="372">
        <v>1153</v>
      </c>
      <c r="AK121" s="351"/>
      <c r="AN121" s="371">
        <v>0</v>
      </c>
      <c r="AO121" s="371">
        <v>15735.94</v>
      </c>
      <c r="AP121" s="372">
        <v>1177</v>
      </c>
      <c r="AQ121" s="373"/>
      <c r="AR121" s="371">
        <v>0</v>
      </c>
      <c r="AS121" s="371">
        <v>15276.12</v>
      </c>
      <c r="AT121" s="372">
        <v>1165</v>
      </c>
      <c r="AU121" s="367"/>
      <c r="AV121" s="371">
        <v>0</v>
      </c>
      <c r="AW121" s="371">
        <v>38682</v>
      </c>
      <c r="AX121" s="372">
        <v>1333</v>
      </c>
      <c r="AY121" s="367"/>
      <c r="AZ121" s="371">
        <v>0</v>
      </c>
      <c r="BA121" s="371">
        <v>39997</v>
      </c>
      <c r="BB121" s="372">
        <v>1256</v>
      </c>
      <c r="BC121" s="372"/>
      <c r="BD121" s="376" t="s">
        <v>707</v>
      </c>
    </row>
    <row r="122" spans="1:56" ht="15" customHeight="1" x14ac:dyDescent="0.2">
      <c r="A122" s="341"/>
      <c r="B122" s="412"/>
      <c r="C122" s="341"/>
      <c r="D122" s="367">
        <v>247</v>
      </c>
      <c r="E122" s="341"/>
      <c r="F122" s="368" t="s">
        <v>221</v>
      </c>
      <c r="G122" s="341"/>
      <c r="H122" s="368" t="s">
        <v>53</v>
      </c>
      <c r="I122" s="341"/>
      <c r="J122" s="369" t="s">
        <v>720</v>
      </c>
      <c r="K122" s="367"/>
      <c r="L122" s="368" t="s">
        <v>607</v>
      </c>
      <c r="M122" s="367"/>
      <c r="N122" s="367" t="s">
        <v>55</v>
      </c>
      <c r="O122" s="341"/>
      <c r="P122" s="341"/>
      <c r="Q122" s="351">
        <v>904</v>
      </c>
      <c r="R122" s="375">
        <v>1029</v>
      </c>
      <c r="S122" s="371"/>
      <c r="T122" s="371">
        <v>3088.37</v>
      </c>
      <c r="U122" s="367"/>
      <c r="V122" s="372">
        <v>948</v>
      </c>
      <c r="W122" s="371">
        <v>0</v>
      </c>
      <c r="X122" s="371">
        <v>2844</v>
      </c>
      <c r="Y122" s="341"/>
      <c r="Z122" s="371">
        <v>2899</v>
      </c>
      <c r="AA122" s="372">
        <v>966</v>
      </c>
      <c r="AB122" s="367"/>
      <c r="AC122" s="371">
        <v>0</v>
      </c>
      <c r="AD122" s="371">
        <v>3114</v>
      </c>
      <c r="AE122" s="372">
        <v>1038</v>
      </c>
      <c r="AF122" s="373"/>
      <c r="AG122" s="371">
        <v>0</v>
      </c>
      <c r="AH122" s="371">
        <v>2661</v>
      </c>
      <c r="AI122" s="372">
        <v>887</v>
      </c>
      <c r="AK122" s="351"/>
      <c r="AN122" s="371">
        <v>0</v>
      </c>
      <c r="AO122" s="371">
        <v>2438</v>
      </c>
      <c r="AP122" s="372">
        <v>813</v>
      </c>
      <c r="AQ122" s="373"/>
      <c r="AR122" s="371">
        <v>0</v>
      </c>
      <c r="AS122" s="371">
        <v>2128.77</v>
      </c>
      <c r="AT122" s="372">
        <v>710</v>
      </c>
      <c r="AU122" s="352"/>
      <c r="AV122" s="377">
        <v>0</v>
      </c>
      <c r="AW122" s="377">
        <v>2278</v>
      </c>
      <c r="AX122" s="378">
        <v>759</v>
      </c>
      <c r="AY122" s="352"/>
      <c r="AZ122" s="377">
        <v>0</v>
      </c>
      <c r="BA122" s="377">
        <v>2276</v>
      </c>
      <c r="BB122" s="378">
        <v>759</v>
      </c>
      <c r="BC122" s="378"/>
      <c r="BD122" s="379" t="s">
        <v>713</v>
      </c>
    </row>
    <row r="123" spans="1:56" ht="15" customHeight="1" x14ac:dyDescent="0.2">
      <c r="A123" s="341"/>
      <c r="B123" s="412"/>
      <c r="C123" s="341"/>
      <c r="D123" s="367">
        <v>247</v>
      </c>
      <c r="E123" s="341"/>
      <c r="F123" s="368" t="s">
        <v>223</v>
      </c>
      <c r="G123" s="341"/>
      <c r="H123" s="368" t="s">
        <v>907</v>
      </c>
      <c r="I123" s="341"/>
      <c r="J123" s="369" t="s">
        <v>908</v>
      </c>
      <c r="K123" s="367"/>
      <c r="L123" s="368" t="s">
        <v>225</v>
      </c>
      <c r="M123" s="367"/>
      <c r="N123" s="367" t="s">
        <v>55</v>
      </c>
      <c r="O123" s="341"/>
      <c r="P123" s="341"/>
      <c r="Q123" s="351">
        <v>904</v>
      </c>
      <c r="R123" s="367"/>
      <c r="S123" s="371">
        <v>0</v>
      </c>
      <c r="T123" s="371">
        <f>1281.92+273.48</f>
        <v>1555.4</v>
      </c>
      <c r="U123" s="367"/>
      <c r="V123" s="372"/>
      <c r="W123" s="371">
        <v>0</v>
      </c>
      <c r="X123" s="371">
        <v>378</v>
      </c>
      <c r="Y123" s="341"/>
      <c r="Z123" s="371">
        <v>527</v>
      </c>
      <c r="AA123" s="372"/>
      <c r="AB123" s="367"/>
      <c r="AC123" s="371">
        <v>0</v>
      </c>
      <c r="AD123" s="371">
        <v>501</v>
      </c>
      <c r="AE123" s="372">
        <v>1978</v>
      </c>
      <c r="AF123" s="373"/>
      <c r="AG123" s="371">
        <v>0</v>
      </c>
      <c r="AH123" s="371">
        <v>479</v>
      </c>
      <c r="AI123" s="372">
        <v>506</v>
      </c>
      <c r="AJ123" s="351" t="s">
        <v>692</v>
      </c>
      <c r="AK123" s="351"/>
      <c r="AN123" s="371">
        <v>0</v>
      </c>
      <c r="AO123" s="371">
        <v>404.2</v>
      </c>
      <c r="AP123" s="372">
        <v>2695</v>
      </c>
      <c r="AQ123" s="373"/>
      <c r="AR123" s="371">
        <v>0</v>
      </c>
      <c r="AS123" s="371">
        <v>323.19</v>
      </c>
      <c r="AT123" s="372">
        <v>2154</v>
      </c>
      <c r="AU123" s="367"/>
      <c r="AV123" s="371">
        <v>0</v>
      </c>
      <c r="AW123" s="371">
        <v>323</v>
      </c>
      <c r="AX123" s="372">
        <v>2153</v>
      </c>
      <c r="AY123" s="367"/>
      <c r="AZ123" s="371">
        <v>0</v>
      </c>
      <c r="BA123" s="371">
        <v>253</v>
      </c>
      <c r="BB123" s="372">
        <v>1688</v>
      </c>
      <c r="BC123" s="372"/>
      <c r="BD123" s="376" t="s">
        <v>713</v>
      </c>
    </row>
    <row r="124" spans="1:56" ht="15" customHeight="1" x14ac:dyDescent="0.2">
      <c r="A124" s="341"/>
      <c r="B124" s="412"/>
      <c r="C124" s="341"/>
      <c r="D124" s="367">
        <v>247</v>
      </c>
      <c r="E124" s="341"/>
      <c r="F124" s="368" t="s">
        <v>226</v>
      </c>
      <c r="G124" s="341"/>
      <c r="H124" s="368" t="s">
        <v>53</v>
      </c>
      <c r="I124" s="341"/>
      <c r="J124" s="369">
        <v>5</v>
      </c>
      <c r="K124" s="367"/>
      <c r="L124" s="368" t="s">
        <v>227</v>
      </c>
      <c r="M124" s="367"/>
      <c r="N124" s="367" t="s">
        <v>55</v>
      </c>
      <c r="O124" s="341"/>
      <c r="P124" s="341"/>
      <c r="Q124" s="351">
        <v>904</v>
      </c>
      <c r="R124" s="367">
        <v>789</v>
      </c>
      <c r="S124" s="371">
        <v>0</v>
      </c>
      <c r="T124" s="371">
        <v>3942.7</v>
      </c>
      <c r="U124" s="367"/>
      <c r="V124" s="372">
        <v>783</v>
      </c>
      <c r="W124" s="371">
        <v>0</v>
      </c>
      <c r="X124" s="371">
        <v>3916</v>
      </c>
      <c r="Y124" s="341"/>
      <c r="Z124" s="371">
        <v>3000</v>
      </c>
      <c r="AA124" s="372">
        <v>600</v>
      </c>
      <c r="AB124" s="367"/>
      <c r="AC124" s="371">
        <v>0</v>
      </c>
      <c r="AD124" s="371">
        <v>1213</v>
      </c>
      <c r="AE124" s="372">
        <v>242</v>
      </c>
      <c r="AF124" s="373"/>
      <c r="AG124" s="371">
        <v>0</v>
      </c>
      <c r="AH124" s="371">
        <v>801</v>
      </c>
      <c r="AI124" s="372">
        <v>160</v>
      </c>
      <c r="AJ124" s="351" t="s">
        <v>692</v>
      </c>
      <c r="AK124" s="351"/>
      <c r="AN124" s="371">
        <v>0</v>
      </c>
      <c r="AO124" s="371">
        <v>484</v>
      </c>
      <c r="AP124" s="372">
        <v>97</v>
      </c>
      <c r="AQ124" s="373"/>
      <c r="AR124" s="371">
        <v>0</v>
      </c>
      <c r="AS124" s="371">
        <v>476.06</v>
      </c>
      <c r="AT124" s="403">
        <v>95</v>
      </c>
      <c r="AU124" s="352"/>
      <c r="AV124" s="377">
        <v>0</v>
      </c>
      <c r="AW124" s="377">
        <v>250</v>
      </c>
      <c r="AX124" s="378">
        <v>50</v>
      </c>
      <c r="AY124" s="352"/>
      <c r="AZ124" s="377">
        <v>0</v>
      </c>
      <c r="BA124" s="377">
        <v>135</v>
      </c>
      <c r="BB124" s="378">
        <v>27</v>
      </c>
      <c r="BC124" s="378"/>
      <c r="BD124" s="379" t="s">
        <v>713</v>
      </c>
    </row>
    <row r="125" spans="1:56" ht="15" customHeight="1" x14ac:dyDescent="0.2">
      <c r="A125" s="341"/>
      <c r="B125" s="412"/>
      <c r="C125" s="341"/>
      <c r="D125" s="367">
        <v>247</v>
      </c>
      <c r="E125" s="341"/>
      <c r="F125" s="368" t="s">
        <v>216</v>
      </c>
      <c r="G125" s="341"/>
      <c r="H125" s="368" t="s">
        <v>217</v>
      </c>
      <c r="I125" s="341"/>
      <c r="J125" s="369">
        <v>2</v>
      </c>
      <c r="K125" s="367"/>
      <c r="L125" s="368" t="s">
        <v>218</v>
      </c>
      <c r="M125" s="367"/>
      <c r="N125" s="367" t="s">
        <v>55</v>
      </c>
      <c r="O125" s="341"/>
      <c r="P125" s="341"/>
      <c r="Q125" s="351">
        <v>904</v>
      </c>
      <c r="R125" s="367"/>
      <c r="S125" s="371"/>
      <c r="T125" s="371">
        <v>596.5</v>
      </c>
      <c r="U125" s="367"/>
      <c r="V125" s="372"/>
      <c r="W125" s="371">
        <v>0</v>
      </c>
      <c r="X125" s="371">
        <v>820</v>
      </c>
      <c r="Y125" s="341"/>
      <c r="Z125" s="371">
        <v>828</v>
      </c>
      <c r="AA125" s="372">
        <v>414</v>
      </c>
      <c r="AB125" s="367"/>
      <c r="AC125" s="371">
        <v>0</v>
      </c>
      <c r="AD125" s="371">
        <v>894</v>
      </c>
      <c r="AE125" s="372">
        <v>447</v>
      </c>
      <c r="AF125" s="373"/>
      <c r="AG125" s="371">
        <v>0</v>
      </c>
      <c r="AH125" s="371">
        <v>788</v>
      </c>
      <c r="AI125" s="372">
        <v>394</v>
      </c>
      <c r="AJ125" s="351" t="s">
        <v>219</v>
      </c>
      <c r="AK125" s="351"/>
      <c r="AL125" s="351" t="s">
        <v>220</v>
      </c>
      <c r="AN125" s="371">
        <v>0</v>
      </c>
      <c r="AO125" s="371">
        <v>662</v>
      </c>
      <c r="AP125" s="372">
        <v>331</v>
      </c>
      <c r="AQ125" s="373"/>
      <c r="AR125" s="371">
        <v>0</v>
      </c>
      <c r="AS125" s="371">
        <v>744</v>
      </c>
      <c r="AT125" s="372">
        <v>372</v>
      </c>
      <c r="AU125" s="367"/>
      <c r="AV125" s="371">
        <v>0</v>
      </c>
      <c r="AW125" s="371">
        <v>798</v>
      </c>
      <c r="AX125" s="372">
        <v>399</v>
      </c>
      <c r="AY125" s="367"/>
      <c r="AZ125" s="371">
        <v>0</v>
      </c>
      <c r="BA125" s="371">
        <v>754</v>
      </c>
      <c r="BB125" s="372">
        <v>377</v>
      </c>
      <c r="BC125" s="372"/>
      <c r="BD125" s="376" t="s">
        <v>713</v>
      </c>
    </row>
    <row r="126" spans="1:56" ht="15" customHeight="1" x14ac:dyDescent="0.2">
      <c r="A126" s="341"/>
      <c r="B126" s="429"/>
      <c r="C126" s="341"/>
      <c r="D126" s="367"/>
      <c r="E126" s="341"/>
      <c r="F126" s="368" t="s">
        <v>216</v>
      </c>
      <c r="G126" s="341"/>
      <c r="H126" s="368" t="s">
        <v>53</v>
      </c>
      <c r="I126" s="341"/>
      <c r="J126" s="369">
        <v>2</v>
      </c>
      <c r="K126" s="367"/>
      <c r="L126" s="368"/>
      <c r="M126" s="367"/>
      <c r="N126" s="367"/>
      <c r="O126" s="341"/>
      <c r="P126" s="341"/>
      <c r="Q126" s="351"/>
      <c r="R126" s="367"/>
      <c r="S126" s="371"/>
      <c r="T126" s="371"/>
      <c r="U126" s="367"/>
      <c r="V126" s="372"/>
      <c r="W126" s="371"/>
      <c r="X126" s="371"/>
      <c r="Y126" s="341"/>
      <c r="Z126" s="371">
        <v>104</v>
      </c>
      <c r="AA126" s="372">
        <v>52</v>
      </c>
      <c r="AB126" s="367"/>
      <c r="AC126" s="371">
        <v>0</v>
      </c>
      <c r="AD126" s="371">
        <v>164</v>
      </c>
      <c r="AE126" s="372">
        <v>82</v>
      </c>
      <c r="AF126" s="373"/>
      <c r="AG126" s="371">
        <v>0</v>
      </c>
      <c r="AH126" s="371">
        <v>210</v>
      </c>
      <c r="AI126" s="372">
        <v>105</v>
      </c>
      <c r="AJ126" s="351" t="s">
        <v>689</v>
      </c>
      <c r="AK126" s="351"/>
      <c r="AN126" s="371">
        <v>0</v>
      </c>
      <c r="AO126" s="371">
        <v>182</v>
      </c>
      <c r="AP126" s="372">
        <v>91</v>
      </c>
      <c r="AQ126" s="373"/>
      <c r="AR126" s="371">
        <v>0</v>
      </c>
      <c r="AS126" s="371">
        <v>122</v>
      </c>
      <c r="AT126" s="374">
        <v>61</v>
      </c>
      <c r="AU126" s="352"/>
      <c r="AV126" s="377">
        <v>0</v>
      </c>
      <c r="AW126" s="377">
        <v>146</v>
      </c>
      <c r="AX126" s="378">
        <v>73</v>
      </c>
      <c r="AY126" s="352"/>
      <c r="AZ126" s="377">
        <v>0</v>
      </c>
      <c r="BA126" s="377">
        <v>130</v>
      </c>
      <c r="BB126" s="378">
        <v>65</v>
      </c>
      <c r="BC126" s="378"/>
      <c r="BD126" s="379" t="s">
        <v>713</v>
      </c>
    </row>
    <row r="127" spans="1:56" ht="15" customHeight="1" x14ac:dyDescent="0.2">
      <c r="A127" s="341"/>
      <c r="B127" s="412" t="s">
        <v>247</v>
      </c>
      <c r="C127" s="341"/>
      <c r="D127" s="367">
        <v>248</v>
      </c>
      <c r="E127" s="341"/>
      <c r="F127" s="368" t="s">
        <v>248</v>
      </c>
      <c r="G127" s="341"/>
      <c r="H127" s="368" t="s">
        <v>914</v>
      </c>
      <c r="I127" s="341"/>
      <c r="J127" s="369"/>
      <c r="K127" s="367"/>
      <c r="L127" s="368"/>
      <c r="M127" s="367"/>
      <c r="N127" s="367" t="s">
        <v>55</v>
      </c>
      <c r="O127" s="341"/>
      <c r="P127" s="341"/>
      <c r="Q127" s="351">
        <v>904</v>
      </c>
      <c r="R127" s="367"/>
      <c r="S127" s="371">
        <v>0</v>
      </c>
      <c r="T127" s="371">
        <v>38564</v>
      </c>
      <c r="U127" s="367"/>
      <c r="V127" s="372"/>
      <c r="W127" s="371">
        <v>0</v>
      </c>
      <c r="X127" s="371">
        <v>27396</v>
      </c>
      <c r="Y127" s="341"/>
      <c r="Z127" s="371">
        <v>20418</v>
      </c>
      <c r="AA127" s="372"/>
      <c r="AB127" s="404"/>
      <c r="AC127" s="371"/>
      <c r="AD127" s="371">
        <v>21126</v>
      </c>
      <c r="AE127" s="372">
        <v>6000</v>
      </c>
      <c r="AF127" s="405"/>
      <c r="AG127" s="371"/>
      <c r="AH127" s="371">
        <v>21786</v>
      </c>
      <c r="AI127" s="372">
        <v>6000</v>
      </c>
      <c r="AK127" s="351"/>
      <c r="AN127" s="371">
        <v>0</v>
      </c>
      <c r="AO127" s="371">
        <v>21075</v>
      </c>
      <c r="AP127" s="372">
        <v>7025</v>
      </c>
      <c r="AQ127" s="405"/>
      <c r="AR127" s="371">
        <v>0</v>
      </c>
      <c r="AS127" s="371">
        <v>15000</v>
      </c>
      <c r="AT127" s="372">
        <v>5000</v>
      </c>
      <c r="AU127" s="367"/>
      <c r="AV127" s="371">
        <v>0</v>
      </c>
      <c r="AW127" s="371">
        <v>12000</v>
      </c>
      <c r="AX127" s="372">
        <v>4000</v>
      </c>
      <c r="AY127" s="367"/>
      <c r="AZ127" s="371">
        <v>0</v>
      </c>
      <c r="BA127" s="371">
        <v>21000</v>
      </c>
      <c r="BB127" s="372">
        <v>7000</v>
      </c>
      <c r="BC127" s="372"/>
      <c r="BD127" s="376" t="s">
        <v>713</v>
      </c>
    </row>
    <row r="128" spans="1:56" ht="15" customHeight="1" x14ac:dyDescent="0.2">
      <c r="A128" s="341"/>
      <c r="B128" s="412"/>
      <c r="C128" s="341"/>
      <c r="D128" s="367"/>
      <c r="E128" s="341"/>
      <c r="F128" s="368" t="s">
        <v>245</v>
      </c>
      <c r="G128" s="341"/>
      <c r="H128" s="368" t="s">
        <v>53</v>
      </c>
      <c r="I128" s="341"/>
      <c r="J128" s="369" t="s">
        <v>911</v>
      </c>
      <c r="K128" s="367"/>
      <c r="L128" s="368" t="s">
        <v>212</v>
      </c>
      <c r="M128" s="367"/>
      <c r="N128" s="367" t="s">
        <v>55</v>
      </c>
      <c r="O128" s="341"/>
      <c r="P128" s="341"/>
      <c r="Q128" s="351">
        <v>904</v>
      </c>
      <c r="R128" s="367"/>
      <c r="S128" s="371">
        <v>0</v>
      </c>
      <c r="T128" s="371">
        <v>152702.30000000002</v>
      </c>
      <c r="U128" s="367"/>
      <c r="V128" s="372"/>
      <c r="W128" s="371">
        <v>0</v>
      </c>
      <c r="X128" s="371">
        <v>176334</v>
      </c>
      <c r="Y128" s="341"/>
      <c r="Z128" s="371">
        <v>165971.67000000001</v>
      </c>
      <c r="AA128" s="372">
        <v>660</v>
      </c>
      <c r="AB128" s="404"/>
      <c r="AC128" s="371">
        <v>0</v>
      </c>
      <c r="AD128" s="371">
        <v>273781.28999999998</v>
      </c>
      <c r="AE128" s="372">
        <v>754</v>
      </c>
      <c r="AF128" s="405"/>
      <c r="AG128" s="371">
        <v>0</v>
      </c>
      <c r="AH128" s="371">
        <v>285570.18</v>
      </c>
      <c r="AI128" s="372">
        <v>795</v>
      </c>
      <c r="AJ128" s="351" t="s">
        <v>246</v>
      </c>
      <c r="AK128" s="351"/>
      <c r="AN128" s="371"/>
      <c r="AO128" s="371">
        <v>291537.27</v>
      </c>
      <c r="AP128" s="372">
        <v>1030</v>
      </c>
      <c r="AQ128" s="405"/>
      <c r="AR128" s="371">
        <v>0</v>
      </c>
      <c r="AS128" s="371">
        <v>181595.03</v>
      </c>
      <c r="AT128" s="372">
        <v>826</v>
      </c>
      <c r="AU128" s="352"/>
      <c r="AV128" s="377">
        <v>0</v>
      </c>
      <c r="AW128" s="377">
        <v>182741.13</v>
      </c>
      <c r="AX128" s="378">
        <v>720</v>
      </c>
      <c r="AY128" s="352"/>
      <c r="AZ128" s="377">
        <v>0</v>
      </c>
      <c r="BA128" s="377">
        <v>238580.11</v>
      </c>
      <c r="BB128" s="378">
        <v>720</v>
      </c>
      <c r="BC128" s="378"/>
      <c r="BD128" s="379" t="s">
        <v>713</v>
      </c>
    </row>
    <row r="129" spans="1:56" ht="15" customHeight="1" x14ac:dyDescent="0.2">
      <c r="A129" s="341"/>
      <c r="B129" s="412"/>
      <c r="C129" s="341"/>
      <c r="D129" s="367">
        <v>248</v>
      </c>
      <c r="E129" s="341"/>
      <c r="F129" s="368" t="s">
        <v>903</v>
      </c>
      <c r="G129" s="341"/>
      <c r="H129" s="368" t="s">
        <v>53</v>
      </c>
      <c r="I129" s="341"/>
      <c r="J129" s="369" t="s">
        <v>209</v>
      </c>
      <c r="K129" s="367"/>
      <c r="L129" s="368" t="s">
        <v>229</v>
      </c>
      <c r="M129" s="367"/>
      <c r="N129" s="367" t="s">
        <v>55</v>
      </c>
      <c r="O129" s="341"/>
      <c r="P129" s="341"/>
      <c r="Q129" s="351">
        <v>904</v>
      </c>
      <c r="R129" s="367"/>
      <c r="S129" s="371">
        <v>0</v>
      </c>
      <c r="T129" s="371">
        <v>46407</v>
      </c>
      <c r="U129" s="367"/>
      <c r="V129" s="372"/>
      <c r="W129" s="371">
        <v>0</v>
      </c>
      <c r="X129" s="371">
        <v>57071</v>
      </c>
      <c r="Y129" s="341"/>
      <c r="Z129" s="371">
        <v>54054.21</v>
      </c>
      <c r="AA129" s="372"/>
      <c r="AB129" s="404"/>
      <c r="AC129" s="371">
        <v>0</v>
      </c>
      <c r="AD129" s="371">
        <v>51985.919999999998</v>
      </c>
      <c r="AE129" s="372">
        <v>2240</v>
      </c>
      <c r="AF129" s="405"/>
      <c r="AG129" s="371">
        <v>0</v>
      </c>
      <c r="AH129" s="371">
        <v>49335.13</v>
      </c>
      <c r="AI129" s="372">
        <v>2045</v>
      </c>
      <c r="AK129" s="351"/>
      <c r="AN129" s="371">
        <v>0</v>
      </c>
      <c r="AO129" s="371">
        <v>57630</v>
      </c>
      <c r="AP129" s="372">
        <v>1837</v>
      </c>
      <c r="AQ129" s="405"/>
      <c r="AR129" s="371">
        <v>0</v>
      </c>
      <c r="AS129" s="371">
        <v>63882</v>
      </c>
      <c r="AT129" s="372">
        <v>2331</v>
      </c>
      <c r="AU129" s="367"/>
      <c r="AV129" s="371">
        <v>0</v>
      </c>
      <c r="AW129" s="371">
        <v>78967.06</v>
      </c>
      <c r="AX129" s="372">
        <v>2500</v>
      </c>
      <c r="AY129" s="367"/>
      <c r="AZ129" s="371">
        <v>0</v>
      </c>
      <c r="BA129" s="371">
        <v>74597.119999999995</v>
      </c>
      <c r="BB129" s="372">
        <v>2475</v>
      </c>
      <c r="BC129" s="372"/>
      <c r="BD129" s="376" t="s">
        <v>707</v>
      </c>
    </row>
    <row r="130" spans="1:56" ht="15" customHeight="1" x14ac:dyDescent="0.2">
      <c r="A130" s="341"/>
      <c r="B130" s="412"/>
      <c r="C130" s="341"/>
      <c r="D130" s="367">
        <v>248</v>
      </c>
      <c r="E130" s="341"/>
      <c r="F130" s="368" t="s">
        <v>223</v>
      </c>
      <c r="G130" s="341"/>
      <c r="H130" s="368" t="s">
        <v>53</v>
      </c>
      <c r="I130" s="341"/>
      <c r="J130" s="369" t="s">
        <v>908</v>
      </c>
      <c r="K130" s="367"/>
      <c r="L130" s="368" t="s">
        <v>225</v>
      </c>
      <c r="M130" s="367"/>
      <c r="N130" s="367" t="s">
        <v>55</v>
      </c>
      <c r="O130" s="341"/>
      <c r="P130" s="341"/>
      <c r="Q130" s="351">
        <v>904</v>
      </c>
      <c r="R130" s="367"/>
      <c r="S130" s="371"/>
      <c r="T130" s="371">
        <v>813</v>
      </c>
      <c r="U130" s="367"/>
      <c r="V130" s="372"/>
      <c r="W130" s="371">
        <v>0</v>
      </c>
      <c r="X130" s="371">
        <v>645</v>
      </c>
      <c r="Y130" s="341"/>
      <c r="Z130" s="371">
        <v>0</v>
      </c>
      <c r="AA130" s="372">
        <v>0</v>
      </c>
      <c r="AB130" s="404"/>
      <c r="AC130" s="371">
        <v>0</v>
      </c>
      <c r="AD130" s="371">
        <v>0</v>
      </c>
      <c r="AE130" s="372"/>
      <c r="AF130" s="405"/>
      <c r="AG130" s="371">
        <v>0</v>
      </c>
      <c r="AH130" s="371">
        <v>0</v>
      </c>
      <c r="AI130" s="372"/>
      <c r="AJ130" s="351" t="s">
        <v>692</v>
      </c>
      <c r="AK130" s="351"/>
      <c r="AN130" s="371">
        <v>0</v>
      </c>
      <c r="AO130" s="371">
        <v>0</v>
      </c>
      <c r="AP130" s="372">
        <v>0</v>
      </c>
      <c r="AQ130" s="405"/>
      <c r="AR130" s="371">
        <v>0</v>
      </c>
      <c r="AS130" s="371">
        <v>391</v>
      </c>
      <c r="AT130" s="372">
        <v>220</v>
      </c>
      <c r="AU130" s="352"/>
      <c r="AV130" s="377">
        <v>0</v>
      </c>
      <c r="AW130" s="377">
        <v>627.07000000000005</v>
      </c>
      <c r="AX130" s="378">
        <v>4180</v>
      </c>
      <c r="AY130" s="352"/>
      <c r="AZ130" s="377">
        <v>0</v>
      </c>
      <c r="BA130" s="377">
        <v>525.33000000000004</v>
      </c>
      <c r="BB130" s="378">
        <v>3502</v>
      </c>
      <c r="BC130" s="378"/>
      <c r="BD130" s="379" t="s">
        <v>713</v>
      </c>
    </row>
    <row r="131" spans="1:56" ht="15" customHeight="1" x14ac:dyDescent="0.2">
      <c r="A131" s="341"/>
      <c r="B131" s="412"/>
      <c r="C131" s="341"/>
      <c r="D131" s="367">
        <v>248</v>
      </c>
      <c r="E131" s="341"/>
      <c r="F131" s="368" t="s">
        <v>221</v>
      </c>
      <c r="G131" s="341"/>
      <c r="H131" s="368" t="s">
        <v>53</v>
      </c>
      <c r="I131" s="341"/>
      <c r="J131" s="369">
        <v>3</v>
      </c>
      <c r="K131" s="367"/>
      <c r="L131" s="368" t="s">
        <v>222</v>
      </c>
      <c r="M131" s="367"/>
      <c r="N131" s="367" t="s">
        <v>55</v>
      </c>
      <c r="O131" s="341"/>
      <c r="P131" s="341"/>
      <c r="Q131" s="351">
        <v>904</v>
      </c>
      <c r="R131" s="367"/>
      <c r="S131" s="371"/>
      <c r="T131" s="371">
        <v>4662</v>
      </c>
      <c r="U131" s="367"/>
      <c r="V131" s="372"/>
      <c r="W131" s="371">
        <v>0</v>
      </c>
      <c r="X131" s="371">
        <v>5740</v>
      </c>
      <c r="Y131" s="341"/>
      <c r="Z131" s="371">
        <v>5223.8</v>
      </c>
      <c r="AA131" s="372">
        <v>1741</v>
      </c>
      <c r="AB131" s="404"/>
      <c r="AC131" s="371">
        <v>0</v>
      </c>
      <c r="AD131" s="371">
        <v>5429.49</v>
      </c>
      <c r="AE131" s="372">
        <v>1809</v>
      </c>
      <c r="AF131" s="405"/>
      <c r="AG131" s="406">
        <v>0</v>
      </c>
      <c r="AH131" s="371">
        <v>5103</v>
      </c>
      <c r="AI131" s="372">
        <v>1701</v>
      </c>
      <c r="AJ131" s="351" t="s">
        <v>692</v>
      </c>
      <c r="AK131" s="351"/>
      <c r="AN131" s="371">
        <v>0</v>
      </c>
      <c r="AO131" s="371">
        <v>5373</v>
      </c>
      <c r="AP131" s="372">
        <v>1791</v>
      </c>
      <c r="AQ131" s="405"/>
      <c r="AR131" s="407">
        <v>0</v>
      </c>
      <c r="AS131" s="371">
        <v>5760</v>
      </c>
      <c r="AT131" s="372">
        <v>1920</v>
      </c>
      <c r="AU131" s="367"/>
      <c r="AV131" s="371">
        <v>0</v>
      </c>
      <c r="AW131" s="371">
        <v>5957.13</v>
      </c>
      <c r="AX131" s="372">
        <v>1985</v>
      </c>
      <c r="AY131" s="367"/>
      <c r="AZ131" s="371">
        <v>0</v>
      </c>
      <c r="BA131" s="371">
        <v>5310</v>
      </c>
      <c r="BB131" s="372">
        <v>1770</v>
      </c>
      <c r="BC131" s="372"/>
      <c r="BD131" s="376" t="s">
        <v>713</v>
      </c>
    </row>
    <row r="132" spans="1:56" ht="15" customHeight="1" x14ac:dyDescent="0.2">
      <c r="A132" s="341"/>
      <c r="B132" s="412"/>
      <c r="C132" s="341"/>
      <c r="D132" s="367">
        <v>248</v>
      </c>
      <c r="E132" s="341"/>
      <c r="F132" s="368" t="s">
        <v>216</v>
      </c>
      <c r="G132" s="341"/>
      <c r="H132" s="368" t="s">
        <v>53</v>
      </c>
      <c r="I132" s="341"/>
      <c r="J132" s="369">
        <v>2</v>
      </c>
      <c r="K132" s="367"/>
      <c r="L132" s="368" t="s">
        <v>218</v>
      </c>
      <c r="M132" s="367"/>
      <c r="N132" s="367" t="s">
        <v>55</v>
      </c>
      <c r="O132" s="341"/>
      <c r="P132" s="341"/>
      <c r="Q132" s="351">
        <v>904</v>
      </c>
      <c r="R132" s="367">
        <v>84</v>
      </c>
      <c r="S132" s="371"/>
      <c r="T132" s="371">
        <v>168</v>
      </c>
      <c r="U132" s="367"/>
      <c r="V132" s="372"/>
      <c r="W132" s="371">
        <v>0</v>
      </c>
      <c r="X132" s="371">
        <v>0</v>
      </c>
      <c r="Y132" s="341"/>
      <c r="Z132" s="371">
        <v>206</v>
      </c>
      <c r="AA132" s="372">
        <v>103</v>
      </c>
      <c r="AB132" s="404"/>
      <c r="AC132" s="371">
        <v>0</v>
      </c>
      <c r="AD132" s="371">
        <v>331</v>
      </c>
      <c r="AE132" s="372">
        <v>165</v>
      </c>
      <c r="AF132" s="405"/>
      <c r="AG132" s="406">
        <v>0</v>
      </c>
      <c r="AH132" s="371">
        <v>178</v>
      </c>
      <c r="AI132" s="372">
        <v>89</v>
      </c>
      <c r="AJ132" s="351" t="s">
        <v>219</v>
      </c>
      <c r="AK132" s="351"/>
      <c r="AL132" s="351" t="s">
        <v>608</v>
      </c>
      <c r="AN132" s="371">
        <v>0</v>
      </c>
      <c r="AO132" s="371">
        <v>380</v>
      </c>
      <c r="AP132" s="372">
        <v>190</v>
      </c>
      <c r="AQ132" s="405"/>
      <c r="AR132" s="407">
        <v>0</v>
      </c>
      <c r="AS132" s="371">
        <v>384</v>
      </c>
      <c r="AT132" s="372">
        <v>192</v>
      </c>
      <c r="AU132" s="352"/>
      <c r="AV132" s="377">
        <v>0</v>
      </c>
      <c r="AW132" s="377">
        <v>550</v>
      </c>
      <c r="AX132" s="378">
        <v>275</v>
      </c>
      <c r="AY132" s="352"/>
      <c r="AZ132" s="377">
        <v>0</v>
      </c>
      <c r="BA132" s="377">
        <v>552</v>
      </c>
      <c r="BB132" s="378">
        <v>276</v>
      </c>
      <c r="BC132" s="378"/>
      <c r="BD132" s="379" t="s">
        <v>713</v>
      </c>
    </row>
    <row r="133" spans="1:56" ht="15" customHeight="1" x14ac:dyDescent="0.2">
      <c r="A133" s="341"/>
      <c r="B133" s="412"/>
      <c r="C133" s="341"/>
      <c r="D133" s="367">
        <v>248</v>
      </c>
      <c r="E133" s="341"/>
      <c r="F133" s="368" t="s">
        <v>226</v>
      </c>
      <c r="G133" s="341"/>
      <c r="H133" s="368" t="s">
        <v>53</v>
      </c>
      <c r="I133" s="341"/>
      <c r="J133" s="369">
        <v>5</v>
      </c>
      <c r="K133" s="367"/>
      <c r="L133" s="368" t="s">
        <v>227</v>
      </c>
      <c r="M133" s="367"/>
      <c r="N133" s="367" t="s">
        <v>55</v>
      </c>
      <c r="O133" s="341"/>
      <c r="P133" s="341"/>
      <c r="Q133" s="351">
        <v>904</v>
      </c>
      <c r="R133" s="367">
        <v>23</v>
      </c>
      <c r="S133" s="371">
        <v>0</v>
      </c>
      <c r="T133" s="371">
        <v>114</v>
      </c>
      <c r="U133" s="367"/>
      <c r="V133" s="372">
        <v>24</v>
      </c>
      <c r="W133" s="371">
        <v>0</v>
      </c>
      <c r="X133" s="371">
        <v>122</v>
      </c>
      <c r="Y133" s="341"/>
      <c r="Z133" s="371">
        <v>182</v>
      </c>
      <c r="AA133" s="372">
        <v>36</v>
      </c>
      <c r="AB133" s="367"/>
      <c r="AC133" s="371">
        <v>0</v>
      </c>
      <c r="AD133" s="371">
        <v>101</v>
      </c>
      <c r="AE133" s="372">
        <v>20</v>
      </c>
      <c r="AF133" s="373"/>
      <c r="AG133" s="406">
        <v>0</v>
      </c>
      <c r="AH133" s="371">
        <v>297</v>
      </c>
      <c r="AI133" s="372">
        <v>59</v>
      </c>
      <c r="AJ133" s="351" t="s">
        <v>692</v>
      </c>
      <c r="AK133" s="351"/>
      <c r="AN133" s="371">
        <v>0</v>
      </c>
      <c r="AO133" s="371">
        <v>650</v>
      </c>
      <c r="AP133" s="372">
        <v>130</v>
      </c>
      <c r="AQ133" s="373"/>
      <c r="AR133" s="407">
        <v>0</v>
      </c>
      <c r="AS133" s="371">
        <v>770</v>
      </c>
      <c r="AT133" s="372">
        <v>154</v>
      </c>
      <c r="AU133" s="367"/>
      <c r="AV133" s="371">
        <v>0</v>
      </c>
      <c r="AW133" s="371">
        <v>465.65</v>
      </c>
      <c r="AX133" s="372">
        <v>93</v>
      </c>
      <c r="AY133" s="367"/>
      <c r="AZ133" s="371">
        <v>0</v>
      </c>
      <c r="BA133" s="371">
        <v>500</v>
      </c>
      <c r="BB133" s="372">
        <v>100</v>
      </c>
      <c r="BC133" s="372"/>
      <c r="BD133" s="376" t="s">
        <v>713</v>
      </c>
    </row>
    <row r="134" spans="1:56" ht="15" customHeight="1" x14ac:dyDescent="0.2">
      <c r="A134" s="341"/>
      <c r="B134" s="412" t="s">
        <v>249</v>
      </c>
      <c r="C134" s="341"/>
      <c r="D134" s="367">
        <v>249</v>
      </c>
      <c r="E134" s="341"/>
      <c r="F134" s="368" t="s">
        <v>216</v>
      </c>
      <c r="G134" s="341"/>
      <c r="H134" s="368" t="s">
        <v>217</v>
      </c>
      <c r="I134" s="341"/>
      <c r="J134" s="369">
        <v>2</v>
      </c>
      <c r="K134" s="367"/>
      <c r="L134" s="368" t="s">
        <v>218</v>
      </c>
      <c r="M134" s="367"/>
      <c r="N134" s="367" t="s">
        <v>55</v>
      </c>
      <c r="O134" s="341"/>
      <c r="P134" s="341"/>
      <c r="Q134" s="351">
        <v>904</v>
      </c>
      <c r="R134" s="367">
        <v>184</v>
      </c>
      <c r="S134" s="371"/>
      <c r="T134" s="371">
        <v>368</v>
      </c>
      <c r="U134" s="367"/>
      <c r="V134" s="372" t="s">
        <v>50</v>
      </c>
      <c r="W134" s="371">
        <v>0</v>
      </c>
      <c r="X134" s="371">
        <v>678</v>
      </c>
      <c r="Y134" s="341"/>
      <c r="Z134" s="371">
        <v>562</v>
      </c>
      <c r="AA134" s="372">
        <v>281</v>
      </c>
      <c r="AB134" s="367"/>
      <c r="AC134" s="371">
        <v>0</v>
      </c>
      <c r="AD134" s="371">
        <v>604</v>
      </c>
      <c r="AE134" s="372">
        <v>302</v>
      </c>
      <c r="AF134" s="373"/>
      <c r="AG134" s="371">
        <v>0</v>
      </c>
      <c r="AH134" s="371">
        <v>485</v>
      </c>
      <c r="AI134" s="372">
        <v>243</v>
      </c>
      <c r="AJ134" s="351" t="s">
        <v>219</v>
      </c>
      <c r="AK134" s="351"/>
      <c r="AL134" s="351" t="s">
        <v>220</v>
      </c>
      <c r="AN134" s="371">
        <v>0</v>
      </c>
      <c r="AO134" s="371">
        <v>1480</v>
      </c>
      <c r="AP134" s="372">
        <v>740</v>
      </c>
      <c r="AQ134" s="373"/>
      <c r="AR134" s="371">
        <v>0</v>
      </c>
      <c r="AS134" s="371">
        <v>1488</v>
      </c>
      <c r="AT134" s="372">
        <v>744</v>
      </c>
      <c r="AU134" s="352"/>
      <c r="AV134" s="377">
        <v>0</v>
      </c>
      <c r="AW134" s="377">
        <v>1540</v>
      </c>
      <c r="AX134" s="378">
        <v>770</v>
      </c>
      <c r="AY134" s="352"/>
      <c r="AZ134" s="377">
        <v>0</v>
      </c>
      <c r="BA134" s="377">
        <v>1588</v>
      </c>
      <c r="BB134" s="378">
        <v>794</v>
      </c>
      <c r="BC134" s="378"/>
      <c r="BD134" s="379" t="s">
        <v>713</v>
      </c>
    </row>
    <row r="135" spans="1:56" ht="15" customHeight="1" x14ac:dyDescent="0.2">
      <c r="A135" s="341"/>
      <c r="B135" s="412"/>
      <c r="C135" s="341"/>
      <c r="D135" s="367">
        <v>249</v>
      </c>
      <c r="E135" s="341"/>
      <c r="F135" s="368" t="s">
        <v>216</v>
      </c>
      <c r="G135" s="341"/>
      <c r="H135" s="368" t="s">
        <v>53</v>
      </c>
      <c r="I135" s="341"/>
      <c r="J135" s="369">
        <v>2</v>
      </c>
      <c r="K135" s="367"/>
      <c r="L135" s="368" t="s">
        <v>218</v>
      </c>
      <c r="M135" s="367"/>
      <c r="N135" s="367"/>
      <c r="O135" s="341"/>
      <c r="P135" s="341"/>
      <c r="Q135" s="351"/>
      <c r="R135" s="367"/>
      <c r="S135" s="371"/>
      <c r="T135" s="371"/>
      <c r="U135" s="367"/>
      <c r="V135" s="372">
        <v>15</v>
      </c>
      <c r="W135" s="371">
        <v>0</v>
      </c>
      <c r="X135" s="371">
        <v>30</v>
      </c>
      <c r="Y135" s="341"/>
      <c r="Z135" s="371">
        <v>24</v>
      </c>
      <c r="AA135" s="372">
        <v>12</v>
      </c>
      <c r="AB135" s="367"/>
      <c r="AC135" s="371">
        <v>0</v>
      </c>
      <c r="AD135" s="371">
        <v>36</v>
      </c>
      <c r="AE135" s="372">
        <v>18</v>
      </c>
      <c r="AF135" s="373"/>
      <c r="AG135" s="371">
        <v>0</v>
      </c>
      <c r="AH135" s="371">
        <v>48</v>
      </c>
      <c r="AI135" s="372">
        <v>24</v>
      </c>
      <c r="AK135" s="351"/>
      <c r="AN135" s="371">
        <v>0</v>
      </c>
      <c r="AO135" s="371">
        <v>42</v>
      </c>
      <c r="AP135" s="372">
        <v>21</v>
      </c>
      <c r="AQ135" s="373"/>
      <c r="AR135" s="371">
        <v>0</v>
      </c>
      <c r="AS135" s="371">
        <v>36</v>
      </c>
      <c r="AT135" s="372">
        <v>18</v>
      </c>
      <c r="AU135" s="367"/>
      <c r="AV135" s="371">
        <v>0</v>
      </c>
      <c r="AW135" s="371">
        <v>92</v>
      </c>
      <c r="AX135" s="372">
        <v>46</v>
      </c>
      <c r="AY135" s="367"/>
      <c r="AZ135" s="371">
        <v>0</v>
      </c>
      <c r="BA135" s="371">
        <v>50</v>
      </c>
      <c r="BB135" s="372">
        <v>25</v>
      </c>
      <c r="BC135" s="372"/>
      <c r="BD135" s="376" t="s">
        <v>713</v>
      </c>
    </row>
    <row r="136" spans="1:56" ht="15" customHeight="1" x14ac:dyDescent="0.2">
      <c r="A136" s="341"/>
      <c r="B136" s="412"/>
      <c r="C136" s="341"/>
      <c r="D136" s="367">
        <v>249</v>
      </c>
      <c r="E136" s="341"/>
      <c r="F136" s="368" t="s">
        <v>221</v>
      </c>
      <c r="G136" s="341"/>
      <c r="H136" s="368" t="s">
        <v>53</v>
      </c>
      <c r="I136" s="341"/>
      <c r="J136" s="369">
        <v>3</v>
      </c>
      <c r="K136" s="367"/>
      <c r="L136" s="368" t="s">
        <v>222</v>
      </c>
      <c r="M136" s="367"/>
      <c r="N136" s="367" t="s">
        <v>55</v>
      </c>
      <c r="O136" s="341"/>
      <c r="P136" s="341"/>
      <c r="Q136" s="351">
        <v>904</v>
      </c>
      <c r="R136" s="375">
        <v>1885</v>
      </c>
      <c r="S136" s="371"/>
      <c r="T136" s="371">
        <v>5655</v>
      </c>
      <c r="U136" s="367"/>
      <c r="V136" s="372">
        <v>1901</v>
      </c>
      <c r="W136" s="371">
        <v>0</v>
      </c>
      <c r="X136" s="371">
        <v>5703</v>
      </c>
      <c r="Y136" s="341"/>
      <c r="Z136" s="371">
        <v>7449</v>
      </c>
      <c r="AA136" s="372">
        <v>2483</v>
      </c>
      <c r="AB136" s="367"/>
      <c r="AC136" s="371">
        <v>0</v>
      </c>
      <c r="AD136" s="371">
        <v>8067</v>
      </c>
      <c r="AE136" s="372">
        <v>2689</v>
      </c>
      <c r="AF136" s="373"/>
      <c r="AG136" s="371">
        <v>0</v>
      </c>
      <c r="AH136" s="371">
        <v>9591</v>
      </c>
      <c r="AI136" s="372">
        <v>3197</v>
      </c>
      <c r="AK136" s="351"/>
      <c r="AN136" s="371">
        <v>0</v>
      </c>
      <c r="AO136" s="371">
        <v>13650</v>
      </c>
      <c r="AP136" s="372">
        <v>4550</v>
      </c>
      <c r="AQ136" s="373"/>
      <c r="AR136" s="371">
        <v>0</v>
      </c>
      <c r="AS136" s="371">
        <v>11145</v>
      </c>
      <c r="AT136" s="372">
        <v>3715</v>
      </c>
      <c r="AU136" s="352"/>
      <c r="AV136" s="377">
        <v>0</v>
      </c>
      <c r="AW136" s="377">
        <v>11659</v>
      </c>
      <c r="AX136" s="378">
        <v>3886</v>
      </c>
      <c r="AY136" s="352"/>
      <c r="AZ136" s="377">
        <v>0</v>
      </c>
      <c r="BA136" s="377">
        <v>10010</v>
      </c>
      <c r="BB136" s="378">
        <v>3337</v>
      </c>
      <c r="BC136" s="378"/>
      <c r="BD136" s="379" t="s">
        <v>713</v>
      </c>
    </row>
    <row r="137" spans="1:56" ht="15" customHeight="1" x14ac:dyDescent="0.2">
      <c r="A137" s="341"/>
      <c r="B137" s="412"/>
      <c r="C137" s="341"/>
      <c r="D137" s="367">
        <v>249</v>
      </c>
      <c r="E137" s="341"/>
      <c r="F137" s="368" t="s">
        <v>223</v>
      </c>
      <c r="G137" s="341"/>
      <c r="H137" s="368" t="s">
        <v>907</v>
      </c>
      <c r="I137" s="341"/>
      <c r="J137" s="369" t="s">
        <v>908</v>
      </c>
      <c r="K137" s="367"/>
      <c r="L137" s="368" t="s">
        <v>225</v>
      </c>
      <c r="M137" s="367"/>
      <c r="N137" s="367" t="s">
        <v>55</v>
      </c>
      <c r="O137" s="341"/>
      <c r="P137" s="341"/>
      <c r="Q137" s="351">
        <v>904</v>
      </c>
      <c r="R137" s="367"/>
      <c r="S137" s="371">
        <v>0</v>
      </c>
      <c r="T137" s="371">
        <v>1497</v>
      </c>
      <c r="U137" s="367"/>
      <c r="V137" s="372">
        <v>7035</v>
      </c>
      <c r="W137" s="371">
        <v>0</v>
      </c>
      <c r="X137" s="371">
        <v>1055</v>
      </c>
      <c r="Y137" s="341"/>
      <c r="Z137" s="371">
        <v>1849</v>
      </c>
      <c r="AA137" s="372"/>
      <c r="AB137" s="367"/>
      <c r="AC137" s="371">
        <v>0</v>
      </c>
      <c r="AD137" s="371">
        <v>2507</v>
      </c>
      <c r="AE137" s="372">
        <v>16713</v>
      </c>
      <c r="AF137" s="373"/>
      <c r="AG137" s="371">
        <v>0</v>
      </c>
      <c r="AH137" s="371">
        <v>3107</v>
      </c>
      <c r="AI137" s="372">
        <v>20713</v>
      </c>
      <c r="AK137" s="351"/>
      <c r="AN137" s="371">
        <v>0</v>
      </c>
      <c r="AO137" s="371">
        <v>1265</v>
      </c>
      <c r="AP137" s="372">
        <v>8433</v>
      </c>
      <c r="AQ137" s="373"/>
      <c r="AR137" s="371">
        <v>0</v>
      </c>
      <c r="AS137" s="371">
        <v>1435</v>
      </c>
      <c r="AT137" s="372">
        <v>9584</v>
      </c>
      <c r="AU137" s="367"/>
      <c r="AV137" s="371">
        <v>0</v>
      </c>
      <c r="AW137" s="371">
        <v>1406</v>
      </c>
      <c r="AX137" s="372">
        <v>9373</v>
      </c>
      <c r="AY137" s="367"/>
      <c r="AZ137" s="371">
        <v>0</v>
      </c>
      <c r="BA137" s="371">
        <v>1228</v>
      </c>
      <c r="BB137" s="372">
        <v>8187</v>
      </c>
      <c r="BC137" s="372"/>
      <c r="BD137" s="376" t="s">
        <v>713</v>
      </c>
    </row>
    <row r="138" spans="1:56" ht="15" customHeight="1" x14ac:dyDescent="0.2">
      <c r="A138" s="341"/>
      <c r="B138" s="412"/>
      <c r="C138" s="341"/>
      <c r="D138" s="367">
        <v>249</v>
      </c>
      <c r="E138" s="341"/>
      <c r="F138" s="368" t="s">
        <v>903</v>
      </c>
      <c r="G138" s="341"/>
      <c r="H138" s="368" t="s">
        <v>53</v>
      </c>
      <c r="I138" s="341"/>
      <c r="J138" s="369" t="s">
        <v>209</v>
      </c>
      <c r="K138" s="367"/>
      <c r="L138" s="368" t="s">
        <v>229</v>
      </c>
      <c r="M138" s="367"/>
      <c r="N138" s="367" t="s">
        <v>55</v>
      </c>
      <c r="O138" s="341"/>
      <c r="P138" s="341"/>
      <c r="Q138" s="351">
        <v>904</v>
      </c>
      <c r="R138" s="367"/>
      <c r="S138" s="371">
        <v>0</v>
      </c>
      <c r="T138" s="371">
        <v>29965</v>
      </c>
      <c r="U138" s="367"/>
      <c r="V138" s="372"/>
      <c r="W138" s="371">
        <v>0</v>
      </c>
      <c r="X138" s="371">
        <v>34570</v>
      </c>
      <c r="Y138" s="341"/>
      <c r="Z138" s="371">
        <v>31647</v>
      </c>
      <c r="AA138" s="372"/>
      <c r="AB138" s="367"/>
      <c r="AC138" s="371">
        <v>0</v>
      </c>
      <c r="AD138" s="371">
        <v>32379</v>
      </c>
      <c r="AE138" s="372">
        <v>1053</v>
      </c>
      <c r="AF138" s="373"/>
      <c r="AG138" s="371">
        <v>0</v>
      </c>
      <c r="AH138" s="371">
        <v>36474</v>
      </c>
      <c r="AI138" s="372">
        <v>1292</v>
      </c>
      <c r="AJ138" s="351" t="s">
        <v>609</v>
      </c>
      <c r="AK138" s="351"/>
      <c r="AN138" s="371">
        <v>0</v>
      </c>
      <c r="AO138" s="371">
        <v>37820</v>
      </c>
      <c r="AP138" s="372">
        <v>1453</v>
      </c>
      <c r="AQ138" s="373"/>
      <c r="AR138" s="371">
        <v>0</v>
      </c>
      <c r="AS138" s="371">
        <v>43295</v>
      </c>
      <c r="AT138" s="372">
        <v>1954</v>
      </c>
      <c r="AU138" s="352"/>
      <c r="AV138" s="377">
        <v>0</v>
      </c>
      <c r="AW138" s="377">
        <v>55131</v>
      </c>
      <c r="AX138" s="378">
        <v>1522</v>
      </c>
      <c r="AY138" s="352"/>
      <c r="AZ138" s="377">
        <v>0</v>
      </c>
      <c r="BA138" s="377">
        <v>58124</v>
      </c>
      <c r="BB138" s="378">
        <v>1485</v>
      </c>
      <c r="BC138" s="378"/>
      <c r="BD138" s="379" t="s">
        <v>707</v>
      </c>
    </row>
    <row r="139" spans="1:56" ht="15" customHeight="1" x14ac:dyDescent="0.2">
      <c r="A139" s="341"/>
      <c r="B139" s="412"/>
      <c r="C139" s="341"/>
      <c r="D139" s="367">
        <v>249</v>
      </c>
      <c r="E139" s="341"/>
      <c r="F139" s="368" t="s">
        <v>226</v>
      </c>
      <c r="G139" s="341"/>
      <c r="H139" s="368" t="s">
        <v>53</v>
      </c>
      <c r="I139" s="341"/>
      <c r="J139" s="369">
        <v>5</v>
      </c>
      <c r="K139" s="367"/>
      <c r="L139" s="368" t="s">
        <v>227</v>
      </c>
      <c r="M139" s="367"/>
      <c r="N139" s="367" t="s">
        <v>55</v>
      </c>
      <c r="O139" s="341"/>
      <c r="P139" s="341"/>
      <c r="Q139" s="351">
        <v>904</v>
      </c>
      <c r="R139" s="375">
        <v>1054</v>
      </c>
      <c r="S139" s="371">
        <v>0</v>
      </c>
      <c r="T139" s="371">
        <v>5270</v>
      </c>
      <c r="U139" s="367"/>
      <c r="V139" s="372">
        <v>1136</v>
      </c>
      <c r="W139" s="371">
        <v>0</v>
      </c>
      <c r="X139" s="371">
        <v>5680</v>
      </c>
      <c r="Y139" s="341"/>
      <c r="Z139" s="371">
        <v>3710</v>
      </c>
      <c r="AA139" s="372">
        <v>742</v>
      </c>
      <c r="AB139" s="367"/>
      <c r="AC139" s="371">
        <v>0</v>
      </c>
      <c r="AD139" s="371">
        <v>3950</v>
      </c>
      <c r="AE139" s="372">
        <v>790</v>
      </c>
      <c r="AF139" s="373"/>
      <c r="AG139" s="371">
        <v>0</v>
      </c>
      <c r="AH139" s="371"/>
      <c r="AI139" s="372">
        <v>0</v>
      </c>
      <c r="AJ139" s="351" t="s">
        <v>692</v>
      </c>
      <c r="AK139" s="351"/>
      <c r="AN139" s="371">
        <v>0</v>
      </c>
      <c r="AO139" s="371">
        <v>0</v>
      </c>
      <c r="AP139" s="372">
        <v>0</v>
      </c>
      <c r="AQ139" s="373"/>
      <c r="AR139" s="371">
        <v>0</v>
      </c>
      <c r="AS139" s="371">
        <v>0</v>
      </c>
      <c r="AT139" s="372">
        <v>0</v>
      </c>
      <c r="AU139" s="367"/>
      <c r="AV139" s="371">
        <v>0</v>
      </c>
      <c r="AW139" s="371">
        <v>0</v>
      </c>
      <c r="AX139" s="372">
        <v>0</v>
      </c>
      <c r="AY139" s="367"/>
      <c r="AZ139" s="371">
        <v>0</v>
      </c>
      <c r="BA139" s="371">
        <v>0</v>
      </c>
      <c r="BB139" s="372">
        <v>0</v>
      </c>
      <c r="BC139" s="372"/>
      <c r="BD139" s="376" t="s">
        <v>713</v>
      </c>
    </row>
    <row r="140" spans="1:56" ht="15" customHeight="1" x14ac:dyDescent="0.2">
      <c r="A140" s="341"/>
      <c r="B140" s="412"/>
      <c r="C140" s="341"/>
      <c r="D140" s="367">
        <v>249</v>
      </c>
      <c r="E140" s="341"/>
      <c r="F140" s="368" t="s">
        <v>610</v>
      </c>
      <c r="G140" s="341"/>
      <c r="H140" s="368" t="s">
        <v>53</v>
      </c>
      <c r="I140" s="341"/>
      <c r="J140" s="390">
        <v>0.11</v>
      </c>
      <c r="K140" s="367"/>
      <c r="L140" s="368" t="s">
        <v>227</v>
      </c>
      <c r="M140" s="367"/>
      <c r="N140" s="367" t="s">
        <v>55</v>
      </c>
      <c r="O140" s="341"/>
      <c r="P140" s="341"/>
      <c r="Q140" s="351">
        <v>904</v>
      </c>
      <c r="R140" s="375"/>
      <c r="S140" s="371">
        <v>0</v>
      </c>
      <c r="T140" s="371"/>
      <c r="U140" s="367"/>
      <c r="V140" s="372"/>
      <c r="W140" s="371">
        <v>0</v>
      </c>
      <c r="X140" s="371">
        <v>6680</v>
      </c>
      <c r="Y140" s="341"/>
      <c r="Z140" s="371">
        <v>6045</v>
      </c>
      <c r="AA140" s="372"/>
      <c r="AB140" s="367"/>
      <c r="AC140" s="371">
        <v>0</v>
      </c>
      <c r="AD140" s="371">
        <v>6701</v>
      </c>
      <c r="AE140" s="372">
        <v>81436</v>
      </c>
      <c r="AF140" s="373"/>
      <c r="AG140" s="371">
        <v>0</v>
      </c>
      <c r="AH140" s="371">
        <v>10247</v>
      </c>
      <c r="AI140" s="372">
        <v>127800</v>
      </c>
      <c r="AJ140" s="351" t="s">
        <v>219</v>
      </c>
      <c r="AK140" s="351"/>
      <c r="AN140" s="371">
        <v>0</v>
      </c>
      <c r="AO140" s="371">
        <v>15546</v>
      </c>
      <c r="AP140" s="372">
        <v>0</v>
      </c>
      <c r="AQ140" s="373"/>
      <c r="AR140" s="371">
        <v>0</v>
      </c>
      <c r="AS140" s="371">
        <v>18375</v>
      </c>
      <c r="AT140" s="372">
        <v>0</v>
      </c>
      <c r="AU140" s="352"/>
      <c r="AV140" s="377">
        <v>0</v>
      </c>
      <c r="AW140" s="377">
        <v>16974</v>
      </c>
      <c r="AX140" s="378">
        <v>154309</v>
      </c>
      <c r="AY140" s="352"/>
      <c r="AZ140" s="377">
        <v>0</v>
      </c>
      <c r="BA140" s="377">
        <v>21584</v>
      </c>
      <c r="BB140" s="378">
        <v>196218</v>
      </c>
      <c r="BC140" s="378"/>
      <c r="BD140" s="379" t="s">
        <v>713</v>
      </c>
    </row>
    <row r="141" spans="1:56" ht="15" customHeight="1" x14ac:dyDescent="0.2">
      <c r="A141" s="341"/>
      <c r="B141" s="412" t="s">
        <v>250</v>
      </c>
      <c r="C141" s="341"/>
      <c r="D141" s="367">
        <v>252</v>
      </c>
      <c r="E141" s="341"/>
      <c r="F141" s="368" t="s">
        <v>903</v>
      </c>
      <c r="G141" s="341"/>
      <c r="H141" s="368" t="s">
        <v>53</v>
      </c>
      <c r="I141" s="341"/>
      <c r="J141" s="369" t="s">
        <v>209</v>
      </c>
      <c r="K141" s="367"/>
      <c r="L141" s="368" t="s">
        <v>229</v>
      </c>
      <c r="M141" s="367">
        <v>0</v>
      </c>
      <c r="N141" s="367" t="s">
        <v>55</v>
      </c>
      <c r="O141" s="341"/>
      <c r="P141" s="341">
        <v>904.10799999999995</v>
      </c>
      <c r="Q141" s="351">
        <v>904</v>
      </c>
      <c r="R141" s="375">
        <v>1178</v>
      </c>
      <c r="S141" s="371">
        <v>0</v>
      </c>
      <c r="T141" s="371">
        <v>47981</v>
      </c>
      <c r="U141" s="367"/>
      <c r="V141" s="372">
        <v>1254</v>
      </c>
      <c r="W141" s="371">
        <v>0</v>
      </c>
      <c r="X141" s="371">
        <v>55957</v>
      </c>
      <c r="Y141" s="341"/>
      <c r="Z141" s="371">
        <v>58967.57</v>
      </c>
      <c r="AA141" s="372">
        <v>1221</v>
      </c>
      <c r="AB141" s="367"/>
      <c r="AC141" s="371">
        <v>0</v>
      </c>
      <c r="AD141" s="371">
        <v>69798.7</v>
      </c>
      <c r="AE141" s="372">
        <v>2385</v>
      </c>
      <c r="AF141" s="373"/>
      <c r="AG141" s="371">
        <v>0</v>
      </c>
      <c r="AH141" s="371">
        <v>76653.320000000007</v>
      </c>
      <c r="AI141" s="372">
        <v>2644</v>
      </c>
      <c r="AJ141" s="351" t="s">
        <v>611</v>
      </c>
      <c r="AK141" s="351"/>
      <c r="AN141" s="371">
        <v>0</v>
      </c>
      <c r="AO141" s="371">
        <v>78784.820000000007</v>
      </c>
      <c r="AP141" s="372">
        <v>2605</v>
      </c>
      <c r="AQ141" s="373"/>
      <c r="AR141" s="371">
        <v>0</v>
      </c>
      <c r="AS141" s="371">
        <v>91709.82</v>
      </c>
      <c r="AT141" s="372">
        <v>2488</v>
      </c>
      <c r="AU141" s="367"/>
      <c r="AV141" s="371">
        <v>0</v>
      </c>
      <c r="AW141" s="371">
        <v>93118.3</v>
      </c>
      <c r="AX141" s="372">
        <v>2456</v>
      </c>
      <c r="AY141" s="367"/>
      <c r="AZ141" s="371">
        <v>0</v>
      </c>
      <c r="BA141" s="371">
        <v>96932.47</v>
      </c>
      <c r="BB141" s="372">
        <v>2601</v>
      </c>
      <c r="BC141" s="372"/>
      <c r="BD141" s="376" t="s">
        <v>707</v>
      </c>
    </row>
    <row r="142" spans="1:56" ht="15" customHeight="1" x14ac:dyDescent="0.2">
      <c r="A142" s="341"/>
      <c r="B142" s="412"/>
      <c r="C142" s="341"/>
      <c r="D142" s="367">
        <v>252</v>
      </c>
      <c r="E142" s="341"/>
      <c r="F142" s="368" t="s">
        <v>251</v>
      </c>
      <c r="G142" s="341"/>
      <c r="H142" s="368" t="s">
        <v>53</v>
      </c>
      <c r="I142" s="341"/>
      <c r="J142" s="369" t="s">
        <v>252</v>
      </c>
      <c r="K142" s="367"/>
      <c r="L142" s="368" t="s">
        <v>253</v>
      </c>
      <c r="M142" s="367"/>
      <c r="N142" s="367" t="s">
        <v>55</v>
      </c>
      <c r="O142" s="341"/>
      <c r="P142" s="341">
        <v>904.80899999999997</v>
      </c>
      <c r="Q142" s="351">
        <v>904</v>
      </c>
      <c r="R142" s="367">
        <v>3</v>
      </c>
      <c r="S142" s="371">
        <v>0</v>
      </c>
      <c r="T142" s="371">
        <v>50</v>
      </c>
      <c r="U142" s="367"/>
      <c r="V142" s="372">
        <v>5</v>
      </c>
      <c r="W142" s="371">
        <v>0</v>
      </c>
      <c r="X142" s="371">
        <v>16543</v>
      </c>
      <c r="Y142" s="341"/>
      <c r="Z142" s="371">
        <v>18791</v>
      </c>
      <c r="AA142" s="372">
        <v>3</v>
      </c>
      <c r="AB142" s="367"/>
      <c r="AC142" s="371">
        <v>0</v>
      </c>
      <c r="AD142" s="371">
        <v>17503.28</v>
      </c>
      <c r="AE142" s="372">
        <v>6</v>
      </c>
      <c r="AF142" s="373"/>
      <c r="AG142" s="371">
        <v>0</v>
      </c>
      <c r="AH142" s="371">
        <v>9924.66</v>
      </c>
      <c r="AI142" s="372">
        <v>5</v>
      </c>
      <c r="AJ142" s="351" t="s">
        <v>254</v>
      </c>
      <c r="AK142" s="351"/>
      <c r="AN142" s="371">
        <v>0</v>
      </c>
      <c r="AO142" s="371">
        <v>3912.79</v>
      </c>
      <c r="AP142" s="372">
        <v>3</v>
      </c>
      <c r="AQ142" s="373"/>
      <c r="AR142" s="371">
        <v>0</v>
      </c>
      <c r="AS142" s="371">
        <v>0</v>
      </c>
      <c r="AT142" s="372">
        <v>0</v>
      </c>
      <c r="AU142" s="352"/>
      <c r="AV142" s="377">
        <v>0</v>
      </c>
      <c r="AW142" s="377">
        <v>0</v>
      </c>
      <c r="AX142" s="378">
        <v>0</v>
      </c>
      <c r="AY142" s="352"/>
      <c r="AZ142" s="377">
        <v>0</v>
      </c>
      <c r="BA142" s="377">
        <v>0</v>
      </c>
      <c r="BB142" s="378">
        <v>0</v>
      </c>
      <c r="BC142" s="378"/>
      <c r="BD142" s="379" t="s">
        <v>713</v>
      </c>
    </row>
    <row r="143" spans="1:56" ht="15" customHeight="1" x14ac:dyDescent="0.2">
      <c r="A143" s="341"/>
      <c r="B143" s="412"/>
      <c r="C143" s="341"/>
      <c r="D143" s="367">
        <v>252</v>
      </c>
      <c r="E143" s="341"/>
      <c r="F143" s="368" t="s">
        <v>216</v>
      </c>
      <c r="G143" s="341"/>
      <c r="H143" s="368" t="s">
        <v>217</v>
      </c>
      <c r="I143" s="341"/>
      <c r="J143" s="369">
        <v>2</v>
      </c>
      <c r="K143" s="367"/>
      <c r="L143" s="368" t="s">
        <v>218</v>
      </c>
      <c r="M143" s="367"/>
      <c r="N143" s="367" t="s">
        <v>55</v>
      </c>
      <c r="O143" s="341"/>
      <c r="P143" s="341"/>
      <c r="Q143" s="351">
        <v>904</v>
      </c>
      <c r="R143" s="367">
        <v>687</v>
      </c>
      <c r="S143" s="371">
        <v>0</v>
      </c>
      <c r="T143" s="371">
        <v>1374</v>
      </c>
      <c r="U143" s="367"/>
      <c r="V143" s="372">
        <v>1421</v>
      </c>
      <c r="W143" s="371">
        <v>0</v>
      </c>
      <c r="X143" s="371">
        <v>2842</v>
      </c>
      <c r="Y143" s="341"/>
      <c r="Z143" s="371">
        <v>1448</v>
      </c>
      <c r="AA143" s="372">
        <v>724</v>
      </c>
      <c r="AB143" s="367"/>
      <c r="AC143" s="371">
        <v>0</v>
      </c>
      <c r="AD143" s="371">
        <v>1808</v>
      </c>
      <c r="AE143" s="372">
        <v>904</v>
      </c>
      <c r="AF143" s="373"/>
      <c r="AG143" s="371">
        <v>0</v>
      </c>
      <c r="AH143" s="371">
        <v>1810</v>
      </c>
      <c r="AI143" s="372">
        <v>905</v>
      </c>
      <c r="AJ143" s="351" t="s">
        <v>219</v>
      </c>
      <c r="AK143" s="351"/>
      <c r="AL143" s="351" t="s">
        <v>220</v>
      </c>
      <c r="AN143" s="371">
        <v>0</v>
      </c>
      <c r="AO143" s="371">
        <v>1928</v>
      </c>
      <c r="AP143" s="372">
        <v>964</v>
      </c>
      <c r="AQ143" s="373"/>
      <c r="AR143" s="371">
        <v>0</v>
      </c>
      <c r="AS143" s="371">
        <v>1930</v>
      </c>
      <c r="AT143" s="372">
        <v>965</v>
      </c>
      <c r="AU143" s="367"/>
      <c r="AV143" s="371">
        <v>0</v>
      </c>
      <c r="AW143" s="371">
        <v>1804</v>
      </c>
      <c r="AX143" s="372">
        <v>902</v>
      </c>
      <c r="AY143" s="367"/>
      <c r="AZ143" s="371">
        <v>0</v>
      </c>
      <c r="BA143" s="371">
        <v>1958</v>
      </c>
      <c r="BB143" s="372">
        <v>979</v>
      </c>
      <c r="BC143" s="372"/>
      <c r="BD143" s="376" t="s">
        <v>713</v>
      </c>
    </row>
    <row r="144" spans="1:56" ht="15" customHeight="1" x14ac:dyDescent="0.2">
      <c r="A144" s="341"/>
      <c r="B144" s="412"/>
      <c r="C144" s="341"/>
      <c r="D144" s="367">
        <v>252</v>
      </c>
      <c r="E144" s="341"/>
      <c r="F144" s="368" t="s">
        <v>216</v>
      </c>
      <c r="G144" s="341"/>
      <c r="H144" s="368" t="s">
        <v>53</v>
      </c>
      <c r="I144" s="341"/>
      <c r="J144" s="369">
        <v>2</v>
      </c>
      <c r="K144" s="367"/>
      <c r="L144" s="368" t="s">
        <v>218</v>
      </c>
      <c r="M144" s="367"/>
      <c r="N144" s="367" t="s">
        <v>55</v>
      </c>
      <c r="O144" s="341"/>
      <c r="P144" s="341"/>
      <c r="Q144" s="351">
        <v>904</v>
      </c>
      <c r="R144" s="367">
        <v>31</v>
      </c>
      <c r="S144" s="371">
        <v>0</v>
      </c>
      <c r="T144" s="371">
        <v>62</v>
      </c>
      <c r="U144" s="367"/>
      <c r="V144" s="372">
        <v>116</v>
      </c>
      <c r="W144" s="371">
        <v>0</v>
      </c>
      <c r="X144" s="371">
        <v>232</v>
      </c>
      <c r="Y144" s="341"/>
      <c r="Z144" s="371">
        <v>182</v>
      </c>
      <c r="AA144" s="372">
        <v>91</v>
      </c>
      <c r="AB144" s="367"/>
      <c r="AC144" s="371">
        <v>0</v>
      </c>
      <c r="AD144" s="371">
        <v>303</v>
      </c>
      <c r="AE144" s="372">
        <v>150</v>
      </c>
      <c r="AF144" s="373"/>
      <c r="AG144" s="371">
        <v>0</v>
      </c>
      <c r="AH144" s="371">
        <v>287</v>
      </c>
      <c r="AI144" s="372">
        <v>144</v>
      </c>
      <c r="AJ144" s="351" t="s">
        <v>219</v>
      </c>
      <c r="AK144" s="351"/>
      <c r="AL144" s="351" t="s">
        <v>220</v>
      </c>
      <c r="AN144" s="371">
        <v>0</v>
      </c>
      <c r="AO144" s="371">
        <v>233.4</v>
      </c>
      <c r="AP144" s="372">
        <v>117</v>
      </c>
      <c r="AQ144" s="373"/>
      <c r="AR144" s="371">
        <v>0</v>
      </c>
      <c r="AS144" s="371">
        <v>362.1</v>
      </c>
      <c r="AT144" s="372">
        <v>181</v>
      </c>
      <c r="AU144" s="352"/>
      <c r="AV144" s="377">
        <v>0</v>
      </c>
      <c r="AW144" s="377">
        <v>338</v>
      </c>
      <c r="AX144" s="378">
        <v>169</v>
      </c>
      <c r="AY144" s="352"/>
      <c r="AZ144" s="377">
        <v>0</v>
      </c>
      <c r="BA144" s="377">
        <v>418</v>
      </c>
      <c r="BB144" s="378">
        <v>209</v>
      </c>
      <c r="BC144" s="378"/>
      <c r="BD144" s="379" t="s">
        <v>713</v>
      </c>
    </row>
    <row r="145" spans="1:56" ht="15" customHeight="1" x14ac:dyDescent="0.2">
      <c r="A145" s="341"/>
      <c r="B145" s="412"/>
      <c r="C145" s="341"/>
      <c r="D145" s="367">
        <v>252</v>
      </c>
      <c r="E145" s="341"/>
      <c r="F145" s="368" t="s">
        <v>223</v>
      </c>
      <c r="G145" s="341"/>
      <c r="H145" s="368" t="s">
        <v>907</v>
      </c>
      <c r="I145" s="341"/>
      <c r="J145" s="369" t="s">
        <v>908</v>
      </c>
      <c r="K145" s="367"/>
      <c r="L145" s="368" t="s">
        <v>225</v>
      </c>
      <c r="M145" s="367"/>
      <c r="N145" s="367" t="s">
        <v>55</v>
      </c>
      <c r="O145" s="341"/>
      <c r="P145" s="341"/>
      <c r="Q145" s="351">
        <v>904</v>
      </c>
      <c r="R145" s="367">
        <v>250</v>
      </c>
      <c r="S145" s="371">
        <v>0</v>
      </c>
      <c r="T145" s="371">
        <v>1873</v>
      </c>
      <c r="U145" s="367"/>
      <c r="V145" s="372">
        <v>250</v>
      </c>
      <c r="W145" s="371">
        <v>0</v>
      </c>
      <c r="X145" s="371">
        <v>1836</v>
      </c>
      <c r="Y145" s="341"/>
      <c r="Z145" s="371">
        <v>1920.78</v>
      </c>
      <c r="AA145" s="372">
        <v>250</v>
      </c>
      <c r="AB145" s="367"/>
      <c r="AC145" s="371">
        <v>0</v>
      </c>
      <c r="AD145" s="371">
        <v>1782.31</v>
      </c>
      <c r="AE145" s="372">
        <v>11880</v>
      </c>
      <c r="AF145" s="373"/>
      <c r="AG145" s="371">
        <v>0</v>
      </c>
      <c r="AH145" s="371">
        <v>1449.85</v>
      </c>
      <c r="AI145" s="372">
        <v>9667</v>
      </c>
      <c r="AJ145" s="351" t="s">
        <v>692</v>
      </c>
      <c r="AK145" s="351"/>
      <c r="AN145" s="371">
        <v>0</v>
      </c>
      <c r="AO145" s="371">
        <v>864.99</v>
      </c>
      <c r="AP145" s="372">
        <v>5766</v>
      </c>
      <c r="AQ145" s="373"/>
      <c r="AR145" s="371">
        <v>0</v>
      </c>
      <c r="AS145" s="371">
        <v>675.87</v>
      </c>
      <c r="AT145" s="372">
        <v>4507</v>
      </c>
      <c r="AU145" s="367"/>
      <c r="AV145" s="371">
        <v>0</v>
      </c>
      <c r="AW145" s="371">
        <v>318.87</v>
      </c>
      <c r="AX145" s="372">
        <v>2127</v>
      </c>
      <c r="AY145" s="367"/>
      <c r="AZ145" s="371">
        <v>0</v>
      </c>
      <c r="BA145" s="371">
        <v>868</v>
      </c>
      <c r="BB145" s="372">
        <v>5787</v>
      </c>
      <c r="BC145" s="372"/>
      <c r="BD145" s="376" t="s">
        <v>713</v>
      </c>
    </row>
    <row r="146" spans="1:56" ht="15" customHeight="1" x14ac:dyDescent="0.2">
      <c r="A146" s="341"/>
      <c r="B146" s="412"/>
      <c r="C146" s="341"/>
      <c r="D146" s="367">
        <v>252</v>
      </c>
      <c r="E146" s="341"/>
      <c r="F146" s="368" t="s">
        <v>221</v>
      </c>
      <c r="G146" s="341"/>
      <c r="H146" s="368" t="s">
        <v>53</v>
      </c>
      <c r="I146" s="341"/>
      <c r="J146" s="369">
        <v>3</v>
      </c>
      <c r="K146" s="367"/>
      <c r="L146" s="368" t="s">
        <v>222</v>
      </c>
      <c r="M146" s="367"/>
      <c r="N146" s="367" t="s">
        <v>55</v>
      </c>
      <c r="O146" s="341"/>
      <c r="P146" s="341"/>
      <c r="Q146" s="351">
        <v>904</v>
      </c>
      <c r="R146" s="367">
        <v>500</v>
      </c>
      <c r="S146" s="371">
        <v>0</v>
      </c>
      <c r="T146" s="371">
        <v>7402</v>
      </c>
      <c r="U146" s="367"/>
      <c r="V146" s="372">
        <v>500</v>
      </c>
      <c r="W146" s="371">
        <v>0</v>
      </c>
      <c r="X146" s="371">
        <v>7637</v>
      </c>
      <c r="Y146" s="341"/>
      <c r="Z146" s="371">
        <v>5599.99</v>
      </c>
      <c r="AA146" s="372">
        <v>500</v>
      </c>
      <c r="AB146" s="367"/>
      <c r="AC146" s="371">
        <v>0</v>
      </c>
      <c r="AD146" s="371">
        <v>4954.75</v>
      </c>
      <c r="AE146" s="372">
        <v>1652</v>
      </c>
      <c r="AF146" s="373"/>
      <c r="AG146" s="371">
        <v>0</v>
      </c>
      <c r="AH146" s="371">
        <v>5643.72</v>
      </c>
      <c r="AI146" s="372">
        <v>1881</v>
      </c>
      <c r="AJ146" s="351" t="s">
        <v>692</v>
      </c>
      <c r="AK146" s="351"/>
      <c r="AN146" s="371">
        <v>0</v>
      </c>
      <c r="AO146" s="371">
        <v>5576.5899999999992</v>
      </c>
      <c r="AP146" s="372">
        <v>1859</v>
      </c>
      <c r="AQ146" s="373"/>
      <c r="AR146" s="371">
        <v>0</v>
      </c>
      <c r="AS146" s="371">
        <v>5248.12</v>
      </c>
      <c r="AT146" s="372">
        <v>1749</v>
      </c>
      <c r="AU146" s="352"/>
      <c r="AV146" s="377">
        <v>0</v>
      </c>
      <c r="AW146" s="377">
        <v>4917.46</v>
      </c>
      <c r="AX146" s="378">
        <v>1639</v>
      </c>
      <c r="AY146" s="352"/>
      <c r="AZ146" s="377">
        <v>0</v>
      </c>
      <c r="BA146" s="377">
        <v>5056.8</v>
      </c>
      <c r="BB146" s="378">
        <v>1686</v>
      </c>
      <c r="BC146" s="378"/>
      <c r="BD146" s="379" t="s">
        <v>713</v>
      </c>
    </row>
    <row r="147" spans="1:56" ht="24" customHeight="1" x14ac:dyDescent="0.2">
      <c r="A147" s="341"/>
      <c r="B147" s="412"/>
      <c r="C147" s="341"/>
      <c r="D147" s="367">
        <v>252</v>
      </c>
      <c r="E147" s="341"/>
      <c r="F147" s="368" t="s">
        <v>610</v>
      </c>
      <c r="G147" s="341"/>
      <c r="H147" s="368" t="s">
        <v>53</v>
      </c>
      <c r="I147" s="341"/>
      <c r="J147" s="369">
        <v>0.11</v>
      </c>
      <c r="K147" s="367"/>
      <c r="L147" s="368" t="s">
        <v>227</v>
      </c>
      <c r="M147" s="367"/>
      <c r="N147" s="367" t="s">
        <v>55</v>
      </c>
      <c r="O147" s="341"/>
      <c r="P147" s="341"/>
      <c r="Q147" s="351">
        <v>904</v>
      </c>
      <c r="R147" s="367"/>
      <c r="S147" s="371"/>
      <c r="T147" s="371"/>
      <c r="U147" s="367"/>
      <c r="V147" s="372"/>
      <c r="W147" s="371">
        <v>0</v>
      </c>
      <c r="X147" s="371">
        <v>6680</v>
      </c>
      <c r="Y147" s="341"/>
      <c r="Z147" s="371">
        <v>10745.86</v>
      </c>
      <c r="AA147" s="372" t="s">
        <v>636</v>
      </c>
      <c r="AB147" s="367"/>
      <c r="AC147" s="371">
        <v>0</v>
      </c>
      <c r="AD147" s="371">
        <v>21675.16</v>
      </c>
      <c r="AE147" s="372" t="s">
        <v>690</v>
      </c>
      <c r="AF147" s="373"/>
      <c r="AG147" s="371">
        <v>0</v>
      </c>
      <c r="AH147" s="371">
        <v>33069.96</v>
      </c>
      <c r="AI147" s="372" t="s">
        <v>691</v>
      </c>
      <c r="AJ147" s="351" t="s">
        <v>219</v>
      </c>
      <c r="AK147" s="351"/>
      <c r="AN147" s="371">
        <v>0</v>
      </c>
      <c r="AO147" s="371">
        <v>33266.75</v>
      </c>
      <c r="AP147" s="388" t="s">
        <v>721</v>
      </c>
      <c r="AQ147" s="373"/>
      <c r="AR147" s="371">
        <v>0</v>
      </c>
      <c r="AS147" s="371">
        <v>34134.54</v>
      </c>
      <c r="AT147" s="388" t="s">
        <v>915</v>
      </c>
      <c r="AU147" s="367"/>
      <c r="AV147" s="371">
        <v>0</v>
      </c>
      <c r="AW147" s="371">
        <v>34143.54</v>
      </c>
      <c r="AX147" s="388" t="s">
        <v>916</v>
      </c>
      <c r="AY147" s="367"/>
      <c r="AZ147" s="371">
        <v>0</v>
      </c>
      <c r="BA147" s="371">
        <v>30959.599999999999</v>
      </c>
      <c r="BB147" s="388" t="s">
        <v>917</v>
      </c>
      <c r="BC147" s="388"/>
      <c r="BD147" s="376" t="s">
        <v>713</v>
      </c>
    </row>
    <row r="148" spans="1:56" ht="15" customHeight="1" x14ac:dyDescent="0.2">
      <c r="A148" s="341"/>
      <c r="B148" s="430"/>
      <c r="C148" s="408"/>
      <c r="D148" s="409">
        <v>252</v>
      </c>
      <c r="E148" s="408"/>
      <c r="F148" s="410" t="s">
        <v>226</v>
      </c>
      <c r="G148" s="408"/>
      <c r="H148" s="410" t="s">
        <v>53</v>
      </c>
      <c r="I148" s="408"/>
      <c r="J148" s="411">
        <v>5</v>
      </c>
      <c r="K148" s="409"/>
      <c r="L148" s="410" t="s">
        <v>227</v>
      </c>
      <c r="M148" s="409"/>
      <c r="N148" s="409" t="s">
        <v>55</v>
      </c>
      <c r="O148" s="408"/>
      <c r="P148" s="408"/>
      <c r="Q148" s="351">
        <v>904</v>
      </c>
      <c r="R148" s="409">
        <v>300</v>
      </c>
      <c r="S148" s="397">
        <v>0</v>
      </c>
      <c r="T148" s="397">
        <v>8927</v>
      </c>
      <c r="U148" s="409"/>
      <c r="V148" s="403">
        <v>300</v>
      </c>
      <c r="W148" s="397">
        <v>0</v>
      </c>
      <c r="X148" s="397">
        <v>6538</v>
      </c>
      <c r="Y148" s="408"/>
      <c r="Z148" s="397">
        <v>6574.96</v>
      </c>
      <c r="AA148" s="403">
        <v>300</v>
      </c>
      <c r="AB148" s="409"/>
      <c r="AC148" s="397">
        <v>0</v>
      </c>
      <c r="AD148" s="397">
        <v>5936.74</v>
      </c>
      <c r="AE148" s="403">
        <v>1187</v>
      </c>
      <c r="AF148" s="398"/>
      <c r="AG148" s="397">
        <v>0</v>
      </c>
      <c r="AH148" s="397">
        <v>363.28</v>
      </c>
      <c r="AI148" s="403">
        <v>73</v>
      </c>
      <c r="AJ148" s="351" t="s">
        <v>692</v>
      </c>
      <c r="AK148" s="351"/>
      <c r="AN148" s="397">
        <v>0</v>
      </c>
      <c r="AO148" s="397">
        <v>310</v>
      </c>
      <c r="AP148" s="403">
        <v>62</v>
      </c>
      <c r="AQ148" s="398"/>
      <c r="AR148" s="397">
        <v>0</v>
      </c>
      <c r="AS148" s="397">
        <v>10</v>
      </c>
      <c r="AT148" s="403">
        <v>2</v>
      </c>
      <c r="AU148" s="352"/>
      <c r="AV148" s="377">
        <v>0</v>
      </c>
      <c r="AW148" s="377">
        <v>120</v>
      </c>
      <c r="AX148" s="378">
        <v>24</v>
      </c>
      <c r="AY148" s="352"/>
      <c r="AZ148" s="377">
        <v>0</v>
      </c>
      <c r="BA148" s="377">
        <v>100</v>
      </c>
      <c r="BB148" s="378">
        <v>24</v>
      </c>
      <c r="BC148" s="378"/>
      <c r="BD148" s="379" t="s">
        <v>713</v>
      </c>
    </row>
    <row r="149" spans="1:56" x14ac:dyDescent="0.2">
      <c r="A149" s="341"/>
      <c r="B149" s="514" t="s">
        <v>499</v>
      </c>
      <c r="C149" s="515"/>
      <c r="D149" s="515"/>
      <c r="E149" s="412"/>
      <c r="F149" s="413"/>
      <c r="G149" s="412"/>
      <c r="H149" s="413"/>
      <c r="I149" s="412"/>
      <c r="J149" s="414"/>
      <c r="K149" s="414"/>
      <c r="L149" s="414"/>
      <c r="M149" s="414"/>
      <c r="N149" s="414"/>
      <c r="O149" s="412"/>
      <c r="P149" s="412"/>
      <c r="Q149" s="412"/>
      <c r="R149" s="345">
        <f>SUM(R2:R148)</f>
        <v>88563</v>
      </c>
      <c r="S149" s="343">
        <f t="shared" ref="S149:X149" si="0">SUM(S2:S148)</f>
        <v>0</v>
      </c>
      <c r="T149" s="343">
        <f t="shared" si="0"/>
        <v>12190139.670000002</v>
      </c>
      <c r="U149" s="345">
        <f t="shared" si="0"/>
        <v>0</v>
      </c>
      <c r="V149" s="344">
        <f t="shared" si="0"/>
        <v>80012</v>
      </c>
      <c r="W149" s="343">
        <f t="shared" si="0"/>
        <v>0</v>
      </c>
      <c r="X149" s="343">
        <f t="shared" si="0"/>
        <v>13186774.57</v>
      </c>
      <c r="Y149" s="345"/>
      <c r="Z149" s="343">
        <f>SUM(Z2:Z148)</f>
        <v>13376834.029999999</v>
      </c>
      <c r="AA149" s="344"/>
      <c r="AB149" s="345"/>
      <c r="AC149" s="343">
        <f>SUM(AC2:AC148)</f>
        <v>0</v>
      </c>
      <c r="AD149" s="343">
        <f>SUM(AD2:AD148)</f>
        <v>13849638.169999998</v>
      </c>
      <c r="AE149" s="344"/>
      <c r="AF149" s="345"/>
      <c r="AG149" s="343">
        <f>SUM(AG2:AG148)</f>
        <v>0</v>
      </c>
      <c r="AH149" s="343">
        <f>SUM(AH2:AH148)</f>
        <v>14520294.820000002</v>
      </c>
      <c r="AI149" s="344"/>
      <c r="AJ149" s="412"/>
      <c r="AK149" s="412"/>
      <c r="AL149" s="412"/>
      <c r="AM149" s="412"/>
      <c r="AN149" s="343">
        <f>SUM(AN2:AN148)</f>
        <v>130713.06</v>
      </c>
      <c r="AO149" s="343">
        <f>SUM(AO2:AO148)</f>
        <v>15203317.710000001</v>
      </c>
      <c r="AP149" s="344"/>
      <c r="AQ149" s="345"/>
      <c r="AR149" s="343">
        <f>SUM(AR2:AR148)</f>
        <v>92411.72</v>
      </c>
      <c r="AS149" s="343">
        <f>SUM(AS2:AS148)</f>
        <v>16293969.199999996</v>
      </c>
      <c r="AT149" s="344"/>
      <c r="AU149" s="345"/>
      <c r="AV149" s="343">
        <f>SUM(AV2:AV148)</f>
        <v>51789</v>
      </c>
      <c r="AW149" s="343">
        <f>SUM(AW2:AW148)</f>
        <v>16266001.210000001</v>
      </c>
      <c r="AX149" s="344"/>
      <c r="AY149" s="345"/>
      <c r="AZ149" s="343">
        <f>SUM(AZ2:AZ148)</f>
        <v>61804</v>
      </c>
      <c r="BA149" s="343">
        <f>SUM(BA2:BA148)</f>
        <v>16557618.629999999</v>
      </c>
      <c r="BB149" s="344"/>
      <c r="BC149" s="344"/>
      <c r="BD149" s="415"/>
    </row>
    <row r="150" spans="1:56" ht="15.75" customHeight="1" x14ac:dyDescent="0.2">
      <c r="A150" s="416"/>
      <c r="B150" s="516"/>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6"/>
      <c r="AL150" s="516"/>
      <c r="AM150" s="516"/>
      <c r="AN150" s="516"/>
      <c r="AO150" s="516"/>
      <c r="AP150" s="516"/>
      <c r="AQ150" s="516"/>
      <c r="AR150" s="516"/>
      <c r="AS150" s="517"/>
      <c r="AT150" s="516"/>
      <c r="AU150" s="354"/>
      <c r="AV150" s="417"/>
      <c r="AW150" s="417"/>
      <c r="AX150" s="418"/>
      <c r="AY150" s="354"/>
      <c r="AZ150" s="417"/>
      <c r="BA150" s="417"/>
      <c r="BB150" s="418"/>
      <c r="BC150" s="418"/>
    </row>
    <row r="151" spans="1:56" ht="15.75" customHeight="1" x14ac:dyDescent="0.2">
      <c r="A151" s="416"/>
      <c r="B151" s="325" t="s">
        <v>948</v>
      </c>
      <c r="C151" s="354"/>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354"/>
      <c r="Z151" s="354"/>
      <c r="AA151" s="354"/>
      <c r="AB151" s="354"/>
      <c r="AC151" s="354"/>
      <c r="AD151" s="354"/>
      <c r="AE151" s="354"/>
      <c r="AF151" s="354"/>
      <c r="AG151" s="354"/>
      <c r="AH151" s="354"/>
      <c r="AI151" s="354"/>
      <c r="AJ151" s="354"/>
      <c r="AK151" s="354"/>
      <c r="AL151" s="354"/>
      <c r="AM151" s="354"/>
      <c r="AN151" s="354"/>
      <c r="AO151" s="354"/>
      <c r="AP151" s="354"/>
      <c r="AQ151" s="354"/>
      <c r="AR151" s="354"/>
      <c r="AS151" s="496"/>
      <c r="AT151" s="354"/>
      <c r="AU151" s="354"/>
      <c r="AV151" s="417"/>
      <c r="AW151" s="417"/>
      <c r="AX151" s="418"/>
      <c r="AY151" s="354"/>
      <c r="AZ151" s="417"/>
      <c r="BA151" s="417"/>
      <c r="BB151" s="418"/>
      <c r="BC151" s="418"/>
    </row>
    <row r="152" spans="1:56" ht="15.75" customHeight="1" x14ac:dyDescent="0.2">
      <c r="A152" s="416"/>
      <c r="B152" s="354"/>
      <c r="C152" s="354"/>
      <c r="D152" s="354"/>
      <c r="E152" s="354"/>
      <c r="F152" s="354"/>
      <c r="G152" s="354"/>
      <c r="H152" s="354"/>
      <c r="I152" s="354"/>
      <c r="J152" s="354"/>
      <c r="K152" s="354"/>
      <c r="L152" s="354"/>
      <c r="M152" s="354"/>
      <c r="N152" s="354"/>
      <c r="O152" s="354"/>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4"/>
      <c r="AK152" s="354"/>
      <c r="AL152" s="354"/>
      <c r="AM152" s="354"/>
      <c r="AN152" s="354"/>
      <c r="AO152" s="354"/>
      <c r="AP152" s="354"/>
      <c r="AQ152" s="354"/>
      <c r="AR152" s="354"/>
      <c r="AS152" s="496"/>
      <c r="AT152" s="354"/>
      <c r="AU152" s="354"/>
      <c r="AV152" s="417"/>
      <c r="AW152" s="417"/>
      <c r="AX152" s="418"/>
      <c r="AY152" s="354"/>
      <c r="AZ152" s="417"/>
      <c r="BA152" s="417"/>
      <c r="BB152" s="418"/>
      <c r="BC152" s="418"/>
    </row>
    <row r="153" spans="1:56" ht="16.5" customHeight="1" x14ac:dyDescent="0.2">
      <c r="A153" s="342" t="s">
        <v>449</v>
      </c>
      <c r="B153" s="421" t="s">
        <v>494</v>
      </c>
      <c r="C153" s="422"/>
      <c r="D153" s="423"/>
      <c r="E153" s="422"/>
      <c r="F153" s="424"/>
      <c r="G153" s="422"/>
      <c r="H153" s="424"/>
      <c r="I153" s="422"/>
      <c r="J153" s="423"/>
      <c r="K153" s="423"/>
      <c r="L153" s="423"/>
      <c r="M153" s="423"/>
      <c r="N153" s="422"/>
      <c r="O153" s="422"/>
      <c r="P153" s="422"/>
      <c r="Q153" s="422"/>
      <c r="R153" s="423"/>
      <c r="S153" s="425"/>
      <c r="T153" s="425"/>
      <c r="U153" s="423"/>
      <c r="V153" s="426"/>
      <c r="W153" s="425"/>
      <c r="X153" s="425"/>
      <c r="Y153" s="422"/>
      <c r="Z153" s="425"/>
      <c r="AA153" s="426"/>
      <c r="AB153" s="423"/>
      <c r="AC153" s="425"/>
      <c r="AD153" s="425"/>
      <c r="AE153" s="426"/>
      <c r="AF153" s="423"/>
      <c r="AG153" s="425"/>
      <c r="AH153" s="425"/>
      <c r="AI153" s="426"/>
      <c r="AJ153" s="422"/>
      <c r="AK153" s="422"/>
      <c r="AL153" s="422"/>
      <c r="AM153" s="422"/>
      <c r="AN153" s="425"/>
      <c r="AO153" s="425"/>
      <c r="AP153" s="346"/>
      <c r="AQ153" s="348"/>
      <c r="AR153" s="347"/>
      <c r="AS153" s="347"/>
      <c r="AT153" s="346"/>
      <c r="AU153" s="348"/>
      <c r="AV153" s="347"/>
      <c r="AW153" s="347"/>
      <c r="AX153" s="346"/>
      <c r="AY153" s="348"/>
      <c r="AZ153" s="347"/>
      <c r="BA153" s="347"/>
      <c r="BB153" s="346"/>
      <c r="BC153" s="346"/>
    </row>
    <row r="154" spans="1:56" ht="16.5" customHeight="1" x14ac:dyDescent="0.2">
      <c r="A154" s="342" t="s">
        <v>449</v>
      </c>
      <c r="B154" s="421" t="s">
        <v>495</v>
      </c>
      <c r="C154" s="422"/>
      <c r="D154" s="423"/>
      <c r="E154" s="422"/>
      <c r="F154" s="424"/>
      <c r="G154" s="422"/>
      <c r="H154" s="424"/>
      <c r="I154" s="422"/>
      <c r="J154" s="423"/>
      <c r="K154" s="423"/>
      <c r="L154" s="423"/>
      <c r="M154" s="423"/>
      <c r="N154" s="422"/>
      <c r="O154" s="422"/>
      <c r="P154" s="422"/>
      <c r="Q154" s="422"/>
      <c r="R154" s="423"/>
      <c r="S154" s="425"/>
      <c r="T154" s="425"/>
      <c r="U154" s="423"/>
      <c r="V154" s="426"/>
      <c r="W154" s="425"/>
      <c r="X154" s="425"/>
      <c r="Y154" s="422"/>
      <c r="Z154" s="425"/>
      <c r="AA154" s="426"/>
      <c r="AB154" s="423"/>
      <c r="AC154" s="425"/>
      <c r="AD154" s="425"/>
      <c r="AE154" s="426"/>
      <c r="AF154" s="423"/>
      <c r="AG154" s="425"/>
      <c r="AH154" s="425"/>
      <c r="AI154" s="426"/>
      <c r="AJ154" s="422"/>
      <c r="AK154" s="422"/>
      <c r="AL154" s="422"/>
      <c r="AM154" s="422"/>
      <c r="AN154" s="425"/>
      <c r="AO154" s="425"/>
      <c r="AP154" s="346"/>
      <c r="AQ154" s="348"/>
      <c r="AR154" s="347"/>
      <c r="AS154" s="347"/>
      <c r="AT154" s="346"/>
      <c r="AU154" s="348"/>
      <c r="AV154" s="347"/>
      <c r="AW154" s="347"/>
      <c r="AX154" s="346"/>
      <c r="AY154" s="348"/>
      <c r="AZ154" s="347"/>
      <c r="BA154" s="347"/>
      <c r="BB154" s="346"/>
      <c r="BC154" s="346"/>
    </row>
    <row r="155" spans="1:56" ht="15" customHeight="1" x14ac:dyDescent="0.2">
      <c r="B155" s="421" t="s">
        <v>463</v>
      </c>
      <c r="C155" s="422"/>
      <c r="D155" s="423"/>
      <c r="E155" s="422"/>
      <c r="F155" s="424"/>
      <c r="G155" s="422"/>
      <c r="H155" s="424"/>
      <c r="I155" s="422"/>
      <c r="J155" s="423"/>
      <c r="K155" s="423"/>
      <c r="L155" s="423"/>
      <c r="M155" s="423"/>
      <c r="N155" s="422"/>
      <c r="O155" s="422"/>
      <c r="P155" s="422"/>
      <c r="Q155" s="422"/>
      <c r="R155" s="423"/>
      <c r="S155" s="425"/>
      <c r="T155" s="425"/>
      <c r="U155" s="423"/>
      <c r="V155" s="426"/>
      <c r="W155" s="425"/>
      <c r="X155" s="425"/>
      <c r="Y155" s="422"/>
      <c r="Z155" s="425"/>
      <c r="AA155" s="426"/>
      <c r="AB155" s="423"/>
      <c r="AC155" s="425"/>
      <c r="AD155" s="425"/>
      <c r="AE155" s="426"/>
      <c r="AF155" s="423"/>
      <c r="AG155" s="425"/>
      <c r="AH155" s="425"/>
      <c r="AI155" s="426"/>
      <c r="AJ155" s="422"/>
      <c r="AK155" s="422"/>
      <c r="AL155" s="422"/>
      <c r="AM155" s="422"/>
      <c r="AN155" s="425"/>
      <c r="AO155" s="425"/>
      <c r="AP155" s="346"/>
      <c r="AQ155" s="348"/>
      <c r="AR155" s="347"/>
      <c r="AS155" s="347"/>
      <c r="AT155" s="346"/>
      <c r="AU155" s="348"/>
      <c r="AV155" s="347"/>
      <c r="AW155" s="347"/>
      <c r="AX155" s="346"/>
      <c r="AY155" s="348"/>
      <c r="AZ155" s="347"/>
      <c r="BA155" s="347"/>
      <c r="BB155" s="346"/>
      <c r="BC155" s="346"/>
    </row>
    <row r="156" spans="1:56" ht="15.75" customHeight="1" x14ac:dyDescent="0.2">
      <c r="B156" s="421" t="s">
        <v>464</v>
      </c>
      <c r="C156" s="422"/>
      <c r="D156" s="422"/>
      <c r="E156" s="422"/>
      <c r="F156" s="422"/>
      <c r="G156" s="422"/>
      <c r="H156" s="422"/>
      <c r="I156" s="422"/>
      <c r="J156" s="422"/>
      <c r="K156" s="422"/>
      <c r="L156" s="422"/>
      <c r="M156" s="422"/>
      <c r="N156" s="422"/>
      <c r="O156" s="422"/>
      <c r="P156" s="422"/>
      <c r="Q156" s="422"/>
      <c r="R156" s="422"/>
      <c r="S156" s="427"/>
      <c r="T156" s="427"/>
      <c r="U156" s="422"/>
      <c r="V156" s="428"/>
      <c r="W156" s="427"/>
      <c r="X156" s="427"/>
      <c r="Y156" s="422"/>
      <c r="Z156" s="427"/>
      <c r="AA156" s="428"/>
      <c r="AB156" s="422"/>
      <c r="AC156" s="427"/>
      <c r="AD156" s="427"/>
      <c r="AE156" s="428"/>
      <c r="AF156" s="422"/>
      <c r="AG156" s="427"/>
      <c r="AH156" s="427"/>
      <c r="AI156" s="428"/>
      <c r="AJ156" s="422"/>
      <c r="AK156" s="422"/>
      <c r="AL156" s="422"/>
      <c r="AM156" s="422"/>
      <c r="AN156" s="427"/>
      <c r="AO156" s="427"/>
      <c r="AR156" s="350"/>
      <c r="AT156" s="349"/>
      <c r="AU156" s="351"/>
      <c r="AV156" s="350"/>
      <c r="AW156" s="350"/>
      <c r="AX156" s="349"/>
      <c r="AY156" s="351"/>
      <c r="AZ156" s="350"/>
      <c r="BA156" s="350"/>
      <c r="BB156" s="349"/>
      <c r="BC156" s="349"/>
    </row>
    <row r="157" spans="1:56" x14ac:dyDescent="0.2">
      <c r="B157" s="421" t="s">
        <v>493</v>
      </c>
      <c r="C157" s="422"/>
      <c r="D157" s="422"/>
      <c r="E157" s="422"/>
      <c r="F157" s="422"/>
      <c r="G157" s="422"/>
      <c r="H157" s="422"/>
      <c r="I157" s="422"/>
      <c r="J157" s="422"/>
      <c r="K157" s="422"/>
      <c r="L157" s="422"/>
      <c r="M157" s="422"/>
      <c r="N157" s="422"/>
      <c r="O157" s="422"/>
      <c r="P157" s="422"/>
      <c r="Q157" s="422"/>
      <c r="R157" s="422"/>
      <c r="S157" s="427"/>
      <c r="T157" s="427"/>
      <c r="U157" s="422"/>
      <c r="V157" s="428"/>
      <c r="W157" s="427"/>
      <c r="X157" s="427"/>
      <c r="Y157" s="422"/>
      <c r="Z157" s="427"/>
      <c r="AA157" s="428"/>
      <c r="AB157" s="422"/>
      <c r="AC157" s="427"/>
      <c r="AD157" s="427"/>
      <c r="AE157" s="428"/>
      <c r="AF157" s="422"/>
      <c r="AG157" s="427"/>
      <c r="AH157" s="427"/>
      <c r="AI157" s="428"/>
      <c r="AJ157" s="422"/>
      <c r="AK157" s="422"/>
      <c r="AL157" s="422"/>
      <c r="AM157" s="422"/>
      <c r="AN157" s="427"/>
      <c r="AO157" s="427"/>
      <c r="AR157" s="350"/>
      <c r="AT157" s="349"/>
      <c r="AU157" s="351"/>
      <c r="AV157" s="350"/>
      <c r="AW157" s="350"/>
      <c r="AX157" s="349"/>
      <c r="AY157" s="351"/>
      <c r="AZ157" s="350"/>
      <c r="BA157" s="350"/>
      <c r="BB157" s="349"/>
      <c r="BC157" s="349"/>
    </row>
    <row r="158" spans="1:56" x14ac:dyDescent="0.2">
      <c r="B158" s="421" t="s">
        <v>496</v>
      </c>
      <c r="C158" s="422"/>
      <c r="D158" s="422"/>
      <c r="E158" s="422"/>
      <c r="F158" s="422"/>
      <c r="G158" s="422"/>
      <c r="H158" s="422"/>
      <c r="I158" s="422"/>
      <c r="J158" s="422"/>
      <c r="K158" s="422"/>
      <c r="L158" s="422"/>
      <c r="M158" s="422"/>
      <c r="N158" s="422"/>
      <c r="O158" s="422"/>
      <c r="P158" s="422"/>
      <c r="Q158" s="422"/>
      <c r="R158" s="422"/>
      <c r="S158" s="427"/>
      <c r="T158" s="427"/>
      <c r="U158" s="422"/>
      <c r="V158" s="428"/>
      <c r="W158" s="427"/>
      <c r="X158" s="427"/>
      <c r="Y158" s="422"/>
      <c r="Z158" s="427"/>
      <c r="AA158" s="428"/>
      <c r="AB158" s="422"/>
      <c r="AC158" s="427"/>
      <c r="AD158" s="427"/>
      <c r="AE158" s="428"/>
      <c r="AF158" s="422"/>
      <c r="AG158" s="427"/>
      <c r="AH158" s="427"/>
      <c r="AI158" s="428"/>
      <c r="AJ158" s="422"/>
      <c r="AK158" s="422"/>
      <c r="AL158" s="422"/>
      <c r="AM158" s="422"/>
      <c r="AN158" s="427"/>
      <c r="AO158" s="427"/>
      <c r="AR158" s="350"/>
      <c r="AT158" s="349"/>
      <c r="AU158" s="351"/>
      <c r="AV158" s="350"/>
      <c r="AW158" s="350"/>
      <c r="AX158" s="349"/>
      <c r="AY158" s="351"/>
      <c r="AZ158" s="350"/>
      <c r="BA158" s="350"/>
      <c r="BB158" s="349"/>
      <c r="BC158" s="349"/>
    </row>
    <row r="159" spans="1:56" ht="19.899999999999999" customHeight="1" x14ac:dyDescent="0.2">
      <c r="A159" s="342" t="s">
        <v>449</v>
      </c>
      <c r="B159" s="421" t="s">
        <v>693</v>
      </c>
      <c r="C159" s="422"/>
      <c r="D159" s="423"/>
      <c r="E159" s="422"/>
      <c r="F159" s="424"/>
      <c r="G159" s="422"/>
      <c r="H159" s="424"/>
      <c r="I159" s="422"/>
      <c r="J159" s="423"/>
      <c r="K159" s="423"/>
      <c r="L159" s="423"/>
      <c r="M159" s="423"/>
      <c r="N159" s="422"/>
      <c r="O159" s="422"/>
      <c r="P159" s="422"/>
      <c r="Q159" s="422"/>
      <c r="R159" s="423"/>
      <c r="S159" s="425"/>
      <c r="T159" s="425"/>
      <c r="U159" s="423"/>
      <c r="V159" s="426"/>
      <c r="W159" s="425"/>
      <c r="X159" s="425"/>
      <c r="Y159" s="422"/>
      <c r="Z159" s="425"/>
      <c r="AA159" s="426"/>
      <c r="AB159" s="423"/>
      <c r="AC159" s="425"/>
      <c r="AD159" s="425"/>
      <c r="AE159" s="426"/>
      <c r="AF159" s="423"/>
      <c r="AG159" s="425"/>
      <c r="AH159" s="425"/>
      <c r="AI159" s="426"/>
      <c r="AJ159" s="422"/>
      <c r="AK159" s="422"/>
      <c r="AL159" s="422"/>
      <c r="AM159" s="422"/>
      <c r="AN159" s="425"/>
      <c r="AO159" s="425"/>
      <c r="AP159" s="346"/>
      <c r="AQ159" s="348"/>
      <c r="AR159" s="347"/>
      <c r="AS159" s="347"/>
      <c r="AT159" s="346"/>
      <c r="AU159" s="348"/>
      <c r="AV159" s="347"/>
      <c r="AW159" s="347"/>
      <c r="AX159" s="346"/>
      <c r="AY159" s="348"/>
      <c r="AZ159" s="347"/>
      <c r="BA159" s="347"/>
      <c r="BB159" s="346"/>
      <c r="BC159" s="346"/>
    </row>
    <row r="160" spans="1:56" x14ac:dyDescent="0.2">
      <c r="A160" s="351"/>
      <c r="B160" s="422"/>
      <c r="C160" s="351"/>
      <c r="E160" s="351"/>
      <c r="J160" s="348"/>
      <c r="K160" s="348"/>
      <c r="L160" s="348"/>
      <c r="M160" s="348"/>
      <c r="N160" s="351"/>
      <c r="O160" s="351"/>
      <c r="P160" s="351"/>
      <c r="Q160" s="351"/>
      <c r="R160" s="348"/>
      <c r="S160" s="347"/>
      <c r="T160" s="347"/>
      <c r="U160" s="348"/>
      <c r="V160" s="346"/>
      <c r="W160" s="347"/>
      <c r="X160" s="347"/>
      <c r="Y160" s="351"/>
      <c r="Z160" s="347"/>
      <c r="AA160" s="346"/>
      <c r="AB160" s="348"/>
      <c r="AC160" s="347"/>
      <c r="AD160" s="347"/>
      <c r="AE160" s="346"/>
      <c r="AF160" s="348"/>
      <c r="AG160" s="347"/>
      <c r="AH160" s="347"/>
      <c r="AI160" s="346"/>
      <c r="AK160" s="351"/>
      <c r="AN160" s="347"/>
      <c r="AO160" s="347"/>
      <c r="AP160" s="346"/>
      <c r="AQ160" s="348"/>
      <c r="AR160" s="347"/>
      <c r="AS160" s="347"/>
      <c r="AT160" s="346"/>
      <c r="AU160" s="348"/>
      <c r="AV160" s="347"/>
      <c r="AW160" s="347"/>
      <c r="AX160" s="346"/>
      <c r="AY160" s="348"/>
      <c r="AZ160" s="347"/>
      <c r="BA160" s="347"/>
      <c r="BB160" s="346"/>
      <c r="BC160" s="346"/>
    </row>
    <row r="161" spans="1:56" s="420" customFormat="1" x14ac:dyDescent="0.2">
      <c r="A161" s="419"/>
      <c r="B161" s="431"/>
      <c r="D161" s="352"/>
      <c r="E161" s="353"/>
      <c r="F161" s="354"/>
      <c r="G161" s="352"/>
      <c r="H161" s="354"/>
      <c r="I161" s="352"/>
      <c r="J161" s="352"/>
      <c r="K161" s="353"/>
      <c r="L161" s="353"/>
      <c r="M161" s="353"/>
      <c r="R161" s="353"/>
      <c r="S161" s="355"/>
      <c r="T161" s="355"/>
      <c r="U161" s="353"/>
      <c r="V161" s="356"/>
      <c r="W161" s="355"/>
      <c r="X161" s="355"/>
      <c r="Y161" s="353"/>
      <c r="Z161" s="355"/>
      <c r="AA161" s="356"/>
      <c r="AB161" s="353"/>
      <c r="AC161" s="355"/>
      <c r="AD161" s="355"/>
      <c r="AE161" s="356"/>
      <c r="AF161" s="353"/>
      <c r="AG161" s="355"/>
      <c r="AH161" s="355"/>
      <c r="AI161" s="356"/>
      <c r="AJ161" s="416"/>
      <c r="AL161" s="416"/>
      <c r="AM161" s="416"/>
      <c r="AN161" s="355"/>
      <c r="AO161" s="355"/>
      <c r="AP161" s="356"/>
      <c r="AQ161" s="353"/>
      <c r="AR161" s="355"/>
      <c r="AS161" s="355"/>
      <c r="AT161" s="356"/>
      <c r="AU161" s="353"/>
      <c r="AV161" s="355"/>
      <c r="AW161" s="355"/>
      <c r="AX161" s="356"/>
      <c r="AY161" s="353"/>
      <c r="AZ161" s="355"/>
      <c r="BA161" s="355"/>
      <c r="BB161" s="356"/>
      <c r="BC161" s="356"/>
      <c r="BD161" s="379"/>
    </row>
    <row r="162" spans="1:56" x14ac:dyDescent="0.2">
      <c r="J162" s="348"/>
      <c r="K162" s="359"/>
      <c r="L162" s="348"/>
      <c r="M162" s="348"/>
      <c r="R162" s="348"/>
      <c r="S162" s="358"/>
      <c r="T162" s="358"/>
      <c r="U162" s="359"/>
      <c r="V162" s="357"/>
      <c r="W162" s="358"/>
      <c r="X162" s="347"/>
      <c r="Z162" s="358"/>
      <c r="AA162" s="357"/>
      <c r="AB162" s="359"/>
      <c r="AC162" s="358"/>
      <c r="AD162" s="347"/>
      <c r="AE162" s="346"/>
      <c r="AF162" s="348"/>
      <c r="AG162" s="358"/>
      <c r="AH162" s="347"/>
      <c r="AI162" s="357"/>
      <c r="AN162" s="358"/>
      <c r="AO162" s="347"/>
      <c r="AP162" s="346"/>
      <c r="AQ162" s="348"/>
      <c r="AR162" s="358"/>
      <c r="AS162" s="347"/>
      <c r="AT162" s="357"/>
      <c r="AU162" s="359"/>
      <c r="AV162" s="358"/>
      <c r="AW162" s="358"/>
      <c r="AX162" s="357"/>
      <c r="AY162" s="359"/>
      <c r="AZ162" s="358"/>
      <c r="BA162" s="358"/>
      <c r="BB162" s="357"/>
      <c r="BC162" s="357"/>
    </row>
    <row r="163" spans="1:56" x14ac:dyDescent="0.2">
      <c r="J163" s="348"/>
      <c r="K163" s="359"/>
      <c r="L163" s="348"/>
      <c r="M163" s="348"/>
      <c r="R163" s="348"/>
      <c r="S163" s="358"/>
      <c r="T163" s="358"/>
      <c r="U163" s="359"/>
      <c r="V163" s="357"/>
      <c r="W163" s="358"/>
      <c r="X163" s="347"/>
      <c r="Z163" s="358"/>
      <c r="AA163" s="357"/>
      <c r="AB163" s="359"/>
      <c r="AC163" s="358"/>
      <c r="AD163" s="347"/>
      <c r="AE163" s="346"/>
      <c r="AF163" s="348"/>
      <c r="AG163" s="358"/>
      <c r="AH163" s="347"/>
      <c r="AI163" s="357"/>
      <c r="AN163" s="358"/>
      <c r="AO163" s="347"/>
      <c r="AP163" s="346"/>
      <c r="AQ163" s="348"/>
      <c r="AR163" s="358"/>
      <c r="AS163" s="347"/>
      <c r="AT163" s="357"/>
      <c r="AU163" s="359"/>
      <c r="AV163" s="358"/>
      <c r="AW163" s="358"/>
      <c r="AX163" s="357"/>
      <c r="AY163" s="359"/>
      <c r="AZ163" s="358"/>
      <c r="BA163" s="358"/>
      <c r="BB163" s="357"/>
      <c r="BC163" s="357"/>
    </row>
    <row r="164" spans="1:56" x14ac:dyDescent="0.2">
      <c r="J164" s="348"/>
      <c r="K164" s="359"/>
      <c r="L164" s="348"/>
      <c r="M164" s="348"/>
      <c r="R164" s="348"/>
      <c r="S164" s="358"/>
      <c r="T164" s="358"/>
      <c r="U164" s="359"/>
      <c r="V164" s="357"/>
      <c r="W164" s="358"/>
      <c r="X164" s="347"/>
      <c r="Z164" s="358"/>
      <c r="AA164" s="357"/>
      <c r="AB164" s="359"/>
      <c r="AC164" s="358"/>
      <c r="AD164" s="347"/>
      <c r="AE164" s="346"/>
      <c r="AF164" s="348"/>
      <c r="AG164" s="358"/>
      <c r="AH164" s="347"/>
      <c r="AI164" s="357"/>
      <c r="AN164" s="358"/>
      <c r="AO164" s="347"/>
      <c r="AP164" s="346"/>
      <c r="AQ164" s="348"/>
      <c r="AR164" s="358"/>
      <c r="AS164" s="347"/>
      <c r="AT164" s="357"/>
      <c r="AU164" s="359"/>
      <c r="AV164" s="358"/>
      <c r="AW164" s="358"/>
      <c r="AX164" s="357"/>
      <c r="AY164" s="359"/>
      <c r="AZ164" s="358"/>
      <c r="BA164" s="358"/>
      <c r="BB164" s="357"/>
      <c r="BC164" s="357"/>
      <c r="BD164" s="342"/>
    </row>
    <row r="165" spans="1:56" x14ac:dyDescent="0.2">
      <c r="J165" s="348"/>
      <c r="K165" s="359"/>
      <c r="L165" s="348"/>
      <c r="M165" s="348"/>
      <c r="R165" s="348"/>
      <c r="S165" s="358"/>
      <c r="T165" s="358"/>
      <c r="U165" s="359"/>
      <c r="V165" s="357"/>
      <c r="W165" s="358"/>
      <c r="X165" s="347"/>
      <c r="Z165" s="358"/>
      <c r="AA165" s="357"/>
      <c r="AB165" s="359"/>
      <c r="AC165" s="358"/>
      <c r="AD165" s="347"/>
      <c r="AE165" s="346"/>
      <c r="AF165" s="348"/>
      <c r="AG165" s="358"/>
      <c r="AH165" s="347"/>
      <c r="AI165" s="357"/>
      <c r="AN165" s="358"/>
      <c r="AO165" s="347"/>
      <c r="AP165" s="346"/>
      <c r="AQ165" s="348"/>
      <c r="AR165" s="358"/>
      <c r="AS165" s="347"/>
      <c r="AT165" s="357"/>
      <c r="AU165" s="359"/>
      <c r="AV165" s="358"/>
      <c r="AW165" s="358"/>
      <c r="AX165" s="357"/>
      <c r="AY165" s="359"/>
      <c r="AZ165" s="358"/>
      <c r="BA165" s="358"/>
      <c r="BB165" s="357"/>
      <c r="BC165" s="357"/>
      <c r="BD165" s="342"/>
    </row>
    <row r="166" spans="1:56" x14ac:dyDescent="0.2">
      <c r="J166" s="348"/>
      <c r="K166" s="359"/>
      <c r="L166" s="348"/>
      <c r="M166" s="348"/>
      <c r="R166" s="348"/>
      <c r="S166" s="358"/>
      <c r="T166" s="358"/>
      <c r="U166" s="359"/>
      <c r="V166" s="357"/>
      <c r="W166" s="358"/>
      <c r="X166" s="347"/>
      <c r="Z166" s="358"/>
      <c r="AA166" s="357"/>
      <c r="AB166" s="359"/>
      <c r="AC166" s="358"/>
      <c r="AD166" s="347"/>
      <c r="AE166" s="346"/>
      <c r="AF166" s="348"/>
      <c r="AG166" s="358"/>
      <c r="AH166" s="347"/>
      <c r="AI166" s="357"/>
      <c r="AN166" s="358"/>
      <c r="AO166" s="347"/>
      <c r="AP166" s="346"/>
      <c r="AQ166" s="348"/>
      <c r="AR166" s="358"/>
      <c r="AS166" s="347"/>
      <c r="AT166" s="357"/>
      <c r="AU166" s="359"/>
      <c r="AV166" s="358"/>
      <c r="AW166" s="358"/>
      <c r="AX166" s="357"/>
      <c r="AY166" s="359"/>
      <c r="AZ166" s="358"/>
      <c r="BA166" s="358"/>
      <c r="BB166" s="357"/>
      <c r="BC166" s="357"/>
      <c r="BD166" s="342"/>
    </row>
    <row r="167" spans="1:56" x14ac:dyDescent="0.2">
      <c r="D167" s="342"/>
      <c r="F167" s="342"/>
      <c r="G167" s="342"/>
      <c r="H167" s="342"/>
      <c r="I167" s="342"/>
      <c r="J167" s="348"/>
      <c r="K167" s="359"/>
      <c r="L167" s="348"/>
      <c r="M167" s="348"/>
      <c r="R167" s="348"/>
      <c r="S167" s="358"/>
      <c r="T167" s="358"/>
      <c r="U167" s="359"/>
      <c r="V167" s="357"/>
      <c r="W167" s="358"/>
      <c r="X167" s="347"/>
      <c r="Z167" s="358"/>
      <c r="AA167" s="357"/>
      <c r="AB167" s="359"/>
      <c r="AC167" s="358"/>
      <c r="AD167" s="347"/>
      <c r="AE167" s="346"/>
      <c r="AF167" s="348"/>
      <c r="AG167" s="358"/>
      <c r="AH167" s="347"/>
      <c r="AI167" s="357"/>
      <c r="AJ167" s="342"/>
      <c r="AL167" s="342"/>
      <c r="AM167" s="342"/>
      <c r="AN167" s="358"/>
      <c r="AO167" s="347"/>
      <c r="AP167" s="346"/>
      <c r="AQ167" s="348"/>
      <c r="AR167" s="358"/>
      <c r="AS167" s="347"/>
      <c r="AT167" s="357"/>
      <c r="AU167" s="359"/>
      <c r="AV167" s="358"/>
      <c r="AW167" s="358"/>
      <c r="AX167" s="357"/>
      <c r="AY167" s="359"/>
      <c r="AZ167" s="358"/>
      <c r="BA167" s="358"/>
      <c r="BB167" s="357"/>
      <c r="BC167" s="357"/>
      <c r="BD167" s="342"/>
    </row>
    <row r="168" spans="1:56" x14ac:dyDescent="0.2">
      <c r="D168" s="342"/>
      <c r="F168" s="342"/>
      <c r="G168" s="342"/>
      <c r="H168" s="342"/>
      <c r="I168" s="342"/>
      <c r="J168" s="348"/>
      <c r="K168" s="359"/>
      <c r="L168" s="348"/>
      <c r="M168" s="348"/>
      <c r="R168" s="348"/>
      <c r="S168" s="358"/>
      <c r="T168" s="358"/>
      <c r="U168" s="359"/>
      <c r="V168" s="357"/>
      <c r="W168" s="358"/>
      <c r="X168" s="347"/>
      <c r="Z168" s="358"/>
      <c r="AA168" s="357"/>
      <c r="AB168" s="359"/>
      <c r="AC168" s="358"/>
      <c r="AD168" s="347"/>
      <c r="AE168" s="346"/>
      <c r="AF168" s="348"/>
      <c r="AG168" s="358"/>
      <c r="AH168" s="347"/>
      <c r="AI168" s="357"/>
      <c r="AJ168" s="342"/>
      <c r="AL168" s="342"/>
      <c r="AM168" s="342"/>
      <c r="AN168" s="358"/>
      <c r="AO168" s="347"/>
      <c r="AP168" s="346"/>
      <c r="AQ168" s="348"/>
      <c r="AR168" s="358"/>
      <c r="AS168" s="347"/>
      <c r="AT168" s="357"/>
      <c r="AU168" s="359"/>
      <c r="AV168" s="358"/>
      <c r="AW168" s="358"/>
      <c r="AX168" s="357"/>
      <c r="AY168" s="359"/>
      <c r="AZ168" s="358"/>
      <c r="BA168" s="358"/>
      <c r="BB168" s="357"/>
      <c r="BC168" s="357"/>
      <c r="BD168" s="342"/>
    </row>
    <row r="169" spans="1:56" x14ac:dyDescent="0.2">
      <c r="D169" s="342"/>
      <c r="F169" s="342"/>
      <c r="G169" s="342"/>
      <c r="H169" s="342"/>
      <c r="I169" s="342"/>
      <c r="J169" s="348"/>
      <c r="K169" s="359"/>
      <c r="L169" s="348"/>
      <c r="M169" s="348"/>
      <c r="R169" s="348"/>
      <c r="S169" s="358"/>
      <c r="T169" s="358"/>
      <c r="U169" s="359"/>
      <c r="V169" s="357"/>
      <c r="W169" s="358"/>
      <c r="X169" s="347"/>
      <c r="Z169" s="358"/>
      <c r="AA169" s="357"/>
      <c r="AB169" s="359"/>
      <c r="AC169" s="358"/>
      <c r="AD169" s="347"/>
      <c r="AE169" s="346"/>
      <c r="AF169" s="348"/>
      <c r="AG169" s="358"/>
      <c r="AH169" s="347"/>
      <c r="AI169" s="357"/>
      <c r="AJ169" s="342"/>
      <c r="AL169" s="342"/>
      <c r="AM169" s="342"/>
      <c r="AN169" s="358"/>
      <c r="AO169" s="347"/>
      <c r="AP169" s="346"/>
      <c r="AQ169" s="348"/>
      <c r="AR169" s="358"/>
      <c r="AS169" s="347"/>
      <c r="AT169" s="357"/>
      <c r="AU169" s="359"/>
      <c r="AV169" s="358"/>
      <c r="AW169" s="358"/>
      <c r="AX169" s="357"/>
      <c r="AY169" s="359"/>
      <c r="AZ169" s="358"/>
      <c r="BA169" s="358"/>
      <c r="BB169" s="357"/>
      <c r="BC169" s="357"/>
      <c r="BD169" s="342"/>
    </row>
    <row r="170" spans="1:56" x14ac:dyDescent="0.2">
      <c r="D170" s="342"/>
      <c r="F170" s="342"/>
      <c r="G170" s="342"/>
      <c r="H170" s="342"/>
      <c r="I170" s="342"/>
      <c r="J170" s="348"/>
      <c r="K170" s="359"/>
      <c r="L170" s="348"/>
      <c r="M170" s="348"/>
      <c r="R170" s="348"/>
      <c r="S170" s="358"/>
      <c r="T170" s="358"/>
      <c r="U170" s="359"/>
      <c r="V170" s="357"/>
      <c r="W170" s="358"/>
      <c r="X170" s="347"/>
      <c r="Z170" s="358"/>
      <c r="AA170" s="357"/>
      <c r="AB170" s="359"/>
      <c r="AC170" s="358"/>
      <c r="AD170" s="347"/>
      <c r="AE170" s="346"/>
      <c r="AF170" s="348"/>
      <c r="AG170" s="358"/>
      <c r="AH170" s="347"/>
      <c r="AI170" s="357"/>
      <c r="AJ170" s="342"/>
      <c r="AL170" s="342"/>
      <c r="AM170" s="342"/>
      <c r="AN170" s="358"/>
      <c r="AO170" s="347"/>
      <c r="AP170" s="346"/>
      <c r="AQ170" s="348"/>
      <c r="AR170" s="358"/>
      <c r="AS170" s="347"/>
      <c r="AT170" s="357"/>
      <c r="AU170" s="359"/>
      <c r="AV170" s="358"/>
      <c r="AW170" s="358"/>
      <c r="AX170" s="357"/>
      <c r="AY170" s="359"/>
      <c r="AZ170" s="358"/>
      <c r="BA170" s="358"/>
      <c r="BB170" s="357"/>
      <c r="BC170" s="357"/>
      <c r="BD170" s="342"/>
    </row>
    <row r="171" spans="1:56" x14ac:dyDescent="0.2">
      <c r="D171" s="342"/>
      <c r="F171" s="342"/>
      <c r="G171" s="342"/>
      <c r="H171" s="342"/>
      <c r="I171" s="342"/>
      <c r="J171" s="348"/>
      <c r="K171" s="359"/>
      <c r="L171" s="348"/>
      <c r="M171" s="348"/>
      <c r="R171" s="348"/>
      <c r="S171" s="358"/>
      <c r="T171" s="358"/>
      <c r="U171" s="359"/>
      <c r="V171" s="357"/>
      <c r="W171" s="358"/>
      <c r="X171" s="347"/>
      <c r="Z171" s="358"/>
      <c r="AA171" s="357"/>
      <c r="AB171" s="359"/>
      <c r="AC171" s="358"/>
      <c r="AD171" s="347"/>
      <c r="AE171" s="346"/>
      <c r="AF171" s="348"/>
      <c r="AG171" s="358"/>
      <c r="AH171" s="347"/>
      <c r="AI171" s="357"/>
      <c r="AJ171" s="342"/>
      <c r="AL171" s="342"/>
      <c r="AM171" s="342"/>
      <c r="AN171" s="358"/>
      <c r="AO171" s="347"/>
      <c r="AP171" s="346"/>
      <c r="AQ171" s="348"/>
      <c r="AR171" s="358"/>
      <c r="AS171" s="347"/>
      <c r="AT171" s="357"/>
      <c r="AU171" s="359"/>
      <c r="AV171" s="358"/>
      <c r="AW171" s="358"/>
      <c r="AX171" s="357"/>
      <c r="AY171" s="359"/>
      <c r="AZ171" s="358"/>
      <c r="BA171" s="358"/>
      <c r="BB171" s="357"/>
      <c r="BC171" s="357"/>
      <c r="BD171" s="342"/>
    </row>
    <row r="172" spans="1:56" x14ac:dyDescent="0.2">
      <c r="D172" s="342"/>
      <c r="F172" s="342"/>
      <c r="G172" s="342"/>
      <c r="H172" s="342"/>
      <c r="I172" s="342"/>
      <c r="J172" s="348"/>
      <c r="K172" s="359"/>
      <c r="L172" s="348"/>
      <c r="M172" s="348"/>
      <c r="R172" s="348"/>
      <c r="S172" s="358"/>
      <c r="T172" s="358"/>
      <c r="U172" s="359"/>
      <c r="V172" s="357"/>
      <c r="W172" s="358"/>
      <c r="X172" s="347"/>
      <c r="Z172" s="358"/>
      <c r="AA172" s="357"/>
      <c r="AB172" s="359"/>
      <c r="AC172" s="358"/>
      <c r="AD172" s="347"/>
      <c r="AE172" s="346"/>
      <c r="AF172" s="348"/>
      <c r="AG172" s="358"/>
      <c r="AH172" s="347"/>
      <c r="AI172" s="357"/>
      <c r="AJ172" s="342"/>
      <c r="AL172" s="342"/>
      <c r="AM172" s="342"/>
      <c r="AN172" s="358"/>
      <c r="AO172" s="347"/>
      <c r="AP172" s="346"/>
      <c r="AQ172" s="348"/>
      <c r="AR172" s="358"/>
      <c r="AS172" s="347"/>
      <c r="AT172" s="357"/>
      <c r="AU172" s="359"/>
      <c r="AV172" s="358"/>
      <c r="AW172" s="358"/>
      <c r="AX172" s="357"/>
      <c r="AY172" s="359"/>
      <c r="AZ172" s="358"/>
      <c r="BA172" s="358"/>
      <c r="BB172" s="357"/>
      <c r="BC172" s="357"/>
      <c r="BD172" s="342"/>
    </row>
    <row r="173" spans="1:56" x14ac:dyDescent="0.2">
      <c r="D173" s="342"/>
      <c r="F173" s="342"/>
      <c r="G173" s="342"/>
      <c r="H173" s="342"/>
      <c r="I173" s="342"/>
      <c r="J173" s="348"/>
      <c r="K173" s="359"/>
      <c r="L173" s="348"/>
      <c r="M173" s="348"/>
      <c r="R173" s="348"/>
      <c r="S173" s="358"/>
      <c r="T173" s="358"/>
      <c r="U173" s="359"/>
      <c r="V173" s="357"/>
      <c r="W173" s="358"/>
      <c r="X173" s="347"/>
      <c r="Z173" s="358"/>
      <c r="AA173" s="357"/>
      <c r="AB173" s="359"/>
      <c r="AC173" s="358"/>
      <c r="AD173" s="347"/>
      <c r="AE173" s="346"/>
      <c r="AF173" s="348"/>
      <c r="AG173" s="358"/>
      <c r="AH173" s="347"/>
      <c r="AI173" s="357"/>
      <c r="AJ173" s="342"/>
      <c r="AL173" s="342"/>
      <c r="AM173" s="342"/>
      <c r="AN173" s="358"/>
      <c r="AO173" s="347"/>
      <c r="AP173" s="346"/>
      <c r="AQ173" s="348"/>
      <c r="AR173" s="358"/>
      <c r="AS173" s="347"/>
      <c r="AT173" s="357"/>
      <c r="AU173" s="359"/>
      <c r="AV173" s="358"/>
      <c r="AW173" s="358"/>
      <c r="AX173" s="357"/>
      <c r="AY173" s="359"/>
      <c r="AZ173" s="358"/>
      <c r="BA173" s="358"/>
      <c r="BB173" s="357"/>
      <c r="BC173" s="357"/>
      <c r="BD173" s="342"/>
    </row>
    <row r="174" spans="1:56" x14ac:dyDescent="0.2">
      <c r="D174" s="342"/>
      <c r="F174" s="342"/>
      <c r="G174" s="342"/>
      <c r="H174" s="342"/>
      <c r="I174" s="342"/>
      <c r="J174" s="348"/>
      <c r="K174" s="359"/>
      <c r="L174" s="348"/>
      <c r="M174" s="348"/>
      <c r="R174" s="348"/>
      <c r="S174" s="358"/>
      <c r="T174" s="358"/>
      <c r="U174" s="359"/>
      <c r="V174" s="357"/>
      <c r="W174" s="358"/>
      <c r="X174" s="347"/>
      <c r="Z174" s="358"/>
      <c r="AA174" s="357"/>
      <c r="AB174" s="359"/>
      <c r="AC174" s="358"/>
      <c r="AD174" s="347"/>
      <c r="AE174" s="346"/>
      <c r="AF174" s="348"/>
      <c r="AG174" s="358"/>
      <c r="AH174" s="347"/>
      <c r="AI174" s="357"/>
      <c r="AJ174" s="342"/>
      <c r="AL174" s="342"/>
      <c r="AM174" s="342"/>
      <c r="AN174" s="358"/>
      <c r="AO174" s="347"/>
      <c r="AP174" s="346"/>
      <c r="AQ174" s="348"/>
      <c r="AR174" s="358"/>
      <c r="AS174" s="347"/>
      <c r="AT174" s="357"/>
      <c r="AU174" s="359"/>
      <c r="AV174" s="358"/>
      <c r="AW174" s="358"/>
      <c r="AX174" s="357"/>
      <c r="AY174" s="359"/>
      <c r="AZ174" s="358"/>
      <c r="BA174" s="358"/>
      <c r="BB174" s="357"/>
      <c r="BC174" s="357"/>
      <c r="BD174" s="342"/>
    </row>
    <row r="175" spans="1:56" x14ac:dyDescent="0.2">
      <c r="D175" s="342"/>
      <c r="F175" s="342"/>
      <c r="G175" s="342"/>
      <c r="H175" s="342"/>
      <c r="I175" s="342"/>
      <c r="J175" s="348"/>
      <c r="K175" s="359"/>
      <c r="L175" s="348"/>
      <c r="M175" s="348"/>
      <c r="R175" s="348"/>
      <c r="S175" s="358"/>
      <c r="T175" s="358"/>
      <c r="U175" s="359"/>
      <c r="V175" s="357"/>
      <c r="W175" s="358"/>
      <c r="X175" s="347"/>
      <c r="Z175" s="358"/>
      <c r="AA175" s="357"/>
      <c r="AB175" s="359"/>
      <c r="AC175" s="358"/>
      <c r="AD175" s="347"/>
      <c r="AE175" s="346"/>
      <c r="AF175" s="348"/>
      <c r="AG175" s="358"/>
      <c r="AH175" s="347"/>
      <c r="AI175" s="357"/>
      <c r="AJ175" s="342"/>
      <c r="AL175" s="342"/>
      <c r="AM175" s="342"/>
      <c r="AN175" s="358"/>
      <c r="AO175" s="347"/>
      <c r="AP175" s="346"/>
      <c r="AQ175" s="348"/>
      <c r="AR175" s="358"/>
      <c r="AS175" s="347"/>
      <c r="AT175" s="357"/>
      <c r="AU175" s="359"/>
      <c r="AV175" s="358"/>
      <c r="AW175" s="358"/>
      <c r="AX175" s="357"/>
      <c r="AY175" s="359"/>
      <c r="AZ175" s="358"/>
      <c r="BA175" s="358"/>
      <c r="BB175" s="357"/>
      <c r="BC175" s="357"/>
      <c r="BD175" s="342"/>
    </row>
    <row r="176" spans="1:56" x14ac:dyDescent="0.2">
      <c r="D176" s="342"/>
      <c r="F176" s="342"/>
      <c r="G176" s="342"/>
      <c r="H176" s="342"/>
      <c r="I176" s="342"/>
      <c r="J176" s="348"/>
      <c r="K176" s="359"/>
      <c r="L176" s="348"/>
      <c r="M176" s="348"/>
      <c r="R176" s="348"/>
      <c r="S176" s="358"/>
      <c r="T176" s="358"/>
      <c r="U176" s="359"/>
      <c r="V176" s="357"/>
      <c r="W176" s="358"/>
      <c r="X176" s="347"/>
      <c r="Z176" s="358"/>
      <c r="AA176" s="357"/>
      <c r="AB176" s="359"/>
      <c r="AC176" s="358"/>
      <c r="AD176" s="347"/>
      <c r="AE176" s="346"/>
      <c r="AF176" s="348"/>
      <c r="AG176" s="358"/>
      <c r="AH176" s="347"/>
      <c r="AI176" s="357"/>
      <c r="AJ176" s="342"/>
      <c r="AL176" s="342"/>
      <c r="AM176" s="342"/>
      <c r="AN176" s="358"/>
      <c r="AO176" s="347"/>
      <c r="AP176" s="346"/>
      <c r="AQ176" s="348"/>
      <c r="AR176" s="358"/>
      <c r="AS176" s="347"/>
      <c r="AT176" s="357"/>
      <c r="AU176" s="359"/>
      <c r="AV176" s="358"/>
      <c r="AW176" s="358"/>
      <c r="AX176" s="357"/>
      <c r="AY176" s="359"/>
      <c r="AZ176" s="358"/>
      <c r="BA176" s="358"/>
      <c r="BB176" s="357"/>
      <c r="BC176" s="357"/>
      <c r="BD176" s="342"/>
    </row>
    <row r="177" spans="4:56" x14ac:dyDescent="0.2">
      <c r="D177" s="342"/>
      <c r="F177" s="342"/>
      <c r="G177" s="342"/>
      <c r="H177" s="342"/>
      <c r="I177" s="342"/>
      <c r="J177" s="348"/>
      <c r="K177" s="359"/>
      <c r="L177" s="348"/>
      <c r="M177" s="348"/>
      <c r="R177" s="348"/>
      <c r="S177" s="358"/>
      <c r="T177" s="358"/>
      <c r="U177" s="359"/>
      <c r="V177" s="357"/>
      <c r="W177" s="358"/>
      <c r="X177" s="347"/>
      <c r="Z177" s="358"/>
      <c r="AA177" s="357"/>
      <c r="AB177" s="359"/>
      <c r="AC177" s="358"/>
      <c r="AD177" s="347"/>
      <c r="AE177" s="346"/>
      <c r="AF177" s="348"/>
      <c r="AG177" s="358"/>
      <c r="AH177" s="347"/>
      <c r="AI177" s="357"/>
      <c r="AJ177" s="342"/>
      <c r="AL177" s="342"/>
      <c r="AM177" s="342"/>
      <c r="AN177" s="358"/>
      <c r="AO177" s="347"/>
      <c r="AP177" s="346"/>
      <c r="AQ177" s="348"/>
      <c r="AR177" s="358"/>
      <c r="AS177" s="347"/>
      <c r="AT177" s="357"/>
      <c r="AU177" s="359"/>
      <c r="AV177" s="358"/>
      <c r="AW177" s="358"/>
      <c r="AX177" s="357"/>
      <c r="AY177" s="359"/>
      <c r="AZ177" s="358"/>
      <c r="BA177" s="358"/>
      <c r="BB177" s="357"/>
      <c r="BC177" s="357"/>
      <c r="BD177" s="342"/>
    </row>
    <row r="178" spans="4:56" x14ac:dyDescent="0.2">
      <c r="D178" s="342"/>
      <c r="F178" s="342"/>
      <c r="G178" s="342"/>
      <c r="H178" s="342"/>
      <c r="I178" s="342"/>
      <c r="AJ178" s="342"/>
      <c r="AL178" s="342"/>
      <c r="AM178" s="342"/>
      <c r="BD178" s="342"/>
    </row>
    <row r="179" spans="4:56" x14ac:dyDescent="0.2">
      <c r="D179" s="342"/>
      <c r="F179" s="342"/>
      <c r="G179" s="342"/>
      <c r="H179" s="342"/>
      <c r="I179" s="342"/>
      <c r="AJ179" s="342"/>
      <c r="AL179" s="342"/>
      <c r="AM179" s="342"/>
      <c r="BD179" s="342"/>
    </row>
    <row r="180" spans="4:56" x14ac:dyDescent="0.2">
      <c r="D180" s="342"/>
      <c r="F180" s="342"/>
      <c r="G180" s="342"/>
      <c r="H180" s="342"/>
      <c r="I180" s="342"/>
      <c r="AJ180" s="342"/>
      <c r="AL180" s="342"/>
      <c r="AM180" s="342"/>
      <c r="BD180" s="342"/>
    </row>
    <row r="181" spans="4:56" x14ac:dyDescent="0.2">
      <c r="D181" s="342"/>
      <c r="F181" s="342"/>
      <c r="G181" s="342"/>
      <c r="H181" s="342"/>
      <c r="I181" s="342"/>
      <c r="AJ181" s="342"/>
      <c r="AL181" s="342"/>
      <c r="AM181" s="342"/>
      <c r="BD181" s="342"/>
    </row>
    <row r="182" spans="4:56" x14ac:dyDescent="0.2">
      <c r="D182" s="342"/>
      <c r="F182" s="342"/>
      <c r="G182" s="342"/>
      <c r="H182" s="342"/>
      <c r="I182" s="342"/>
      <c r="AJ182" s="342"/>
      <c r="AL182" s="342"/>
      <c r="AM182" s="342"/>
      <c r="BD182" s="342"/>
    </row>
    <row r="183" spans="4:56" x14ac:dyDescent="0.2">
      <c r="D183" s="342"/>
      <c r="F183" s="342"/>
      <c r="G183" s="342"/>
      <c r="H183" s="342"/>
      <c r="I183" s="342"/>
      <c r="J183" s="342"/>
      <c r="L183" s="342"/>
      <c r="M183" s="342"/>
      <c r="R183" s="342"/>
      <c r="AJ183" s="342"/>
      <c r="AL183" s="342"/>
      <c r="AM183" s="342"/>
      <c r="BD183" s="342"/>
    </row>
    <row r="184" spans="4:56" x14ac:dyDescent="0.2">
      <c r="D184" s="342"/>
      <c r="F184" s="342"/>
      <c r="G184" s="342"/>
      <c r="H184" s="342"/>
      <c r="I184" s="342"/>
      <c r="J184" s="342"/>
      <c r="L184" s="342"/>
      <c r="M184" s="342"/>
      <c r="R184" s="342"/>
      <c r="AJ184" s="342"/>
      <c r="AL184" s="342"/>
      <c r="AM184" s="342"/>
      <c r="BD184" s="342"/>
    </row>
    <row r="185" spans="4:56" x14ac:dyDescent="0.2">
      <c r="D185" s="342"/>
      <c r="F185" s="342"/>
      <c r="G185" s="342"/>
      <c r="H185" s="342"/>
      <c r="I185" s="342"/>
      <c r="J185" s="342"/>
      <c r="L185" s="342"/>
      <c r="M185" s="342"/>
      <c r="R185" s="342"/>
      <c r="AJ185" s="342"/>
      <c r="AL185" s="342"/>
      <c r="AM185" s="342"/>
      <c r="BD185" s="342"/>
    </row>
    <row r="186" spans="4:56" x14ac:dyDescent="0.2">
      <c r="D186" s="342"/>
      <c r="F186" s="342"/>
      <c r="G186" s="342"/>
      <c r="H186" s="342"/>
      <c r="I186" s="342"/>
      <c r="J186" s="342"/>
      <c r="L186" s="342"/>
      <c r="M186" s="342"/>
      <c r="R186" s="342"/>
      <c r="AJ186" s="342"/>
      <c r="AL186" s="342"/>
      <c r="AM186" s="342"/>
      <c r="BD186" s="342"/>
    </row>
    <row r="187" spans="4:56" x14ac:dyDescent="0.2">
      <c r="D187" s="342"/>
      <c r="F187" s="342"/>
      <c r="G187" s="342"/>
      <c r="H187" s="342"/>
      <c r="I187" s="342"/>
      <c r="J187" s="342"/>
      <c r="L187" s="342"/>
      <c r="M187" s="342"/>
      <c r="R187" s="342"/>
      <c r="AJ187" s="342"/>
      <c r="AL187" s="342"/>
      <c r="AM187" s="342"/>
      <c r="BD187" s="342"/>
    </row>
    <row r="188" spans="4:56" x14ac:dyDescent="0.2">
      <c r="D188" s="342"/>
      <c r="F188" s="342"/>
      <c r="G188" s="342"/>
      <c r="H188" s="342"/>
      <c r="I188" s="342"/>
      <c r="J188" s="342"/>
      <c r="L188" s="342"/>
      <c r="M188" s="342"/>
      <c r="R188" s="342"/>
      <c r="AJ188" s="342"/>
      <c r="AL188" s="342"/>
      <c r="AM188" s="342"/>
      <c r="BD188" s="342"/>
    </row>
    <row r="189" spans="4:56" x14ac:dyDescent="0.2">
      <c r="D189" s="342"/>
      <c r="F189" s="342"/>
      <c r="G189" s="342"/>
      <c r="H189" s="342"/>
      <c r="I189" s="342"/>
      <c r="J189" s="342"/>
      <c r="L189" s="342"/>
      <c r="M189" s="342"/>
      <c r="R189" s="342"/>
      <c r="AJ189" s="342"/>
      <c r="AL189" s="342"/>
      <c r="AM189" s="342"/>
      <c r="BD189" s="342"/>
    </row>
    <row r="190" spans="4:56" x14ac:dyDescent="0.2">
      <c r="D190" s="342"/>
      <c r="F190" s="342"/>
      <c r="G190" s="342"/>
      <c r="H190" s="342"/>
      <c r="I190" s="342"/>
      <c r="J190" s="342"/>
      <c r="L190" s="342"/>
      <c r="M190" s="342"/>
      <c r="R190" s="342"/>
      <c r="AJ190" s="342"/>
      <c r="AL190" s="342"/>
      <c r="AM190" s="342"/>
      <c r="BD190" s="342"/>
    </row>
    <row r="191" spans="4:56" x14ac:dyDescent="0.2">
      <c r="D191" s="342"/>
      <c r="F191" s="342"/>
      <c r="G191" s="342"/>
      <c r="H191" s="342"/>
      <c r="I191" s="342"/>
      <c r="J191" s="342"/>
      <c r="L191" s="342"/>
      <c r="M191" s="342"/>
      <c r="R191" s="342"/>
      <c r="AJ191" s="342"/>
      <c r="AL191" s="342"/>
      <c r="AM191" s="342"/>
      <c r="BD191" s="342"/>
    </row>
    <row r="192" spans="4:56" x14ac:dyDescent="0.2">
      <c r="D192" s="342"/>
      <c r="F192" s="342"/>
      <c r="G192" s="342"/>
      <c r="H192" s="342"/>
      <c r="I192" s="342"/>
      <c r="J192" s="342"/>
      <c r="L192" s="342"/>
      <c r="M192" s="342"/>
      <c r="R192" s="342"/>
      <c r="AJ192" s="342"/>
      <c r="AL192" s="342"/>
      <c r="AM192" s="342"/>
      <c r="BD192" s="342"/>
    </row>
    <row r="193" spans="4:56" x14ac:dyDescent="0.2">
      <c r="D193" s="342"/>
      <c r="F193" s="342"/>
      <c r="G193" s="342"/>
      <c r="H193" s="342"/>
      <c r="I193" s="342"/>
      <c r="J193" s="342"/>
      <c r="L193" s="342"/>
      <c r="M193" s="342"/>
      <c r="R193" s="342"/>
      <c r="AJ193" s="342"/>
      <c r="AL193" s="342"/>
      <c r="AM193" s="342"/>
      <c r="BD193" s="342"/>
    </row>
    <row r="194" spans="4:56" x14ac:dyDescent="0.2">
      <c r="D194" s="342"/>
      <c r="F194" s="342"/>
      <c r="G194" s="342"/>
      <c r="H194" s="342"/>
      <c r="I194" s="342"/>
      <c r="J194" s="342"/>
      <c r="L194" s="342"/>
      <c r="M194" s="342"/>
      <c r="R194" s="342"/>
      <c r="AJ194" s="342"/>
      <c r="AL194" s="342"/>
      <c r="AM194" s="342"/>
      <c r="BD194" s="342"/>
    </row>
    <row r="195" spans="4:56" x14ac:dyDescent="0.2">
      <c r="D195" s="342"/>
      <c r="F195" s="342"/>
      <c r="G195" s="342"/>
      <c r="H195" s="342"/>
      <c r="I195" s="342"/>
      <c r="J195" s="342"/>
      <c r="L195" s="342"/>
      <c r="M195" s="342"/>
      <c r="R195" s="342"/>
      <c r="AJ195" s="342"/>
      <c r="AL195" s="342"/>
      <c r="AM195" s="342"/>
      <c r="BD195" s="342"/>
    </row>
    <row r="196" spans="4:56" x14ac:dyDescent="0.2">
      <c r="D196" s="342"/>
      <c r="F196" s="342"/>
      <c r="G196" s="342"/>
      <c r="H196" s="342"/>
      <c r="I196" s="342"/>
      <c r="J196" s="342"/>
      <c r="L196" s="342"/>
      <c r="M196" s="342"/>
      <c r="R196" s="342"/>
      <c r="AJ196" s="342"/>
      <c r="AL196" s="342"/>
      <c r="AM196" s="342"/>
      <c r="BD196" s="342"/>
    </row>
    <row r="197" spans="4:56" x14ac:dyDescent="0.2">
      <c r="D197" s="342"/>
      <c r="F197" s="342"/>
      <c r="G197" s="342"/>
      <c r="H197" s="342"/>
      <c r="I197" s="342"/>
      <c r="J197" s="342"/>
      <c r="L197" s="342"/>
      <c r="M197" s="342"/>
      <c r="R197" s="342"/>
      <c r="AJ197" s="342"/>
      <c r="AL197" s="342"/>
      <c r="AM197" s="342"/>
      <c r="BD197" s="342"/>
    </row>
    <row r="198" spans="4:56" x14ac:dyDescent="0.2">
      <c r="D198" s="342"/>
      <c r="F198" s="342"/>
      <c r="G198" s="342"/>
      <c r="H198" s="342"/>
      <c r="I198" s="342"/>
      <c r="J198" s="342"/>
      <c r="L198" s="342"/>
      <c r="M198" s="342"/>
      <c r="R198" s="342"/>
      <c r="AJ198" s="342"/>
      <c r="AL198" s="342"/>
      <c r="AM198" s="342"/>
      <c r="BD198" s="342"/>
    </row>
    <row r="199" spans="4:56" x14ac:dyDescent="0.2">
      <c r="D199" s="342"/>
      <c r="F199" s="342"/>
      <c r="G199" s="342"/>
      <c r="H199" s="342"/>
      <c r="I199" s="342"/>
      <c r="J199" s="342"/>
      <c r="L199" s="342"/>
      <c r="M199" s="342"/>
      <c r="R199" s="342"/>
      <c r="AJ199" s="342"/>
      <c r="AL199" s="342"/>
      <c r="AM199" s="342"/>
      <c r="BD199" s="342"/>
    </row>
    <row r="200" spans="4:56" x14ac:dyDescent="0.2">
      <c r="D200" s="342"/>
      <c r="F200" s="342"/>
      <c r="G200" s="342"/>
      <c r="H200" s="342"/>
      <c r="I200" s="342"/>
      <c r="J200" s="342"/>
      <c r="L200" s="342"/>
      <c r="M200" s="342"/>
      <c r="R200" s="342"/>
      <c r="AJ200" s="342"/>
      <c r="AL200" s="342"/>
      <c r="AM200" s="342"/>
      <c r="BD200" s="342"/>
    </row>
    <row r="201" spans="4:56" x14ac:dyDescent="0.2">
      <c r="D201" s="342"/>
      <c r="F201" s="342"/>
      <c r="G201" s="342"/>
      <c r="H201" s="342"/>
      <c r="I201" s="342"/>
      <c r="J201" s="342"/>
      <c r="L201" s="342"/>
      <c r="M201" s="342"/>
      <c r="R201" s="342"/>
      <c r="AJ201" s="342"/>
      <c r="AL201" s="342"/>
      <c r="AM201" s="342"/>
      <c r="BD201" s="342"/>
    </row>
    <row r="202" spans="4:56" x14ac:dyDescent="0.2">
      <c r="D202" s="342"/>
      <c r="F202" s="342"/>
      <c r="G202" s="342"/>
      <c r="H202" s="342"/>
      <c r="I202" s="342"/>
      <c r="J202" s="342"/>
      <c r="L202" s="342"/>
      <c r="M202" s="342"/>
      <c r="R202" s="342"/>
      <c r="AJ202" s="342"/>
      <c r="AL202" s="342"/>
      <c r="AM202" s="342"/>
      <c r="BD202" s="342"/>
    </row>
    <row r="203" spans="4:56" x14ac:dyDescent="0.2">
      <c r="D203" s="342"/>
      <c r="F203" s="342"/>
      <c r="G203" s="342"/>
      <c r="H203" s="342"/>
      <c r="I203" s="342"/>
      <c r="J203" s="342"/>
      <c r="L203" s="342"/>
      <c r="M203" s="342"/>
      <c r="R203" s="342"/>
      <c r="AJ203" s="342"/>
      <c r="AL203" s="342"/>
      <c r="AM203" s="342"/>
      <c r="BD203" s="342"/>
    </row>
    <row r="204" spans="4:56" x14ac:dyDescent="0.2">
      <c r="D204" s="342"/>
      <c r="F204" s="342"/>
      <c r="G204" s="342"/>
      <c r="H204" s="342"/>
      <c r="I204" s="342"/>
      <c r="J204" s="342"/>
      <c r="L204" s="342"/>
      <c r="M204" s="342"/>
      <c r="R204" s="342"/>
      <c r="AJ204" s="342"/>
      <c r="AL204" s="342"/>
      <c r="AM204" s="342"/>
      <c r="BD204" s="342"/>
    </row>
    <row r="205" spans="4:56" x14ac:dyDescent="0.2">
      <c r="D205" s="342"/>
      <c r="F205" s="342"/>
      <c r="G205" s="342"/>
      <c r="H205" s="342"/>
      <c r="I205" s="342"/>
      <c r="J205" s="342"/>
      <c r="L205" s="342"/>
      <c r="M205" s="342"/>
      <c r="R205" s="342"/>
      <c r="AJ205" s="342"/>
      <c r="AL205" s="342"/>
      <c r="AM205" s="342"/>
      <c r="BD205" s="342"/>
    </row>
    <row r="206" spans="4:56" x14ac:dyDescent="0.2">
      <c r="D206" s="342"/>
      <c r="F206" s="342"/>
      <c r="G206" s="342"/>
      <c r="H206" s="342"/>
      <c r="I206" s="342"/>
      <c r="J206" s="342"/>
      <c r="L206" s="342"/>
      <c r="M206" s="342"/>
      <c r="R206" s="342"/>
      <c r="AJ206" s="342"/>
      <c r="AL206" s="342"/>
      <c r="AM206" s="342"/>
      <c r="BD206" s="342"/>
    </row>
    <row r="207" spans="4:56" x14ac:dyDescent="0.2">
      <c r="D207" s="342"/>
      <c r="F207" s="342"/>
      <c r="G207" s="342"/>
      <c r="H207" s="342"/>
      <c r="I207" s="342"/>
      <c r="J207" s="342"/>
      <c r="L207" s="342"/>
      <c r="M207" s="342"/>
      <c r="R207" s="342"/>
      <c r="AJ207" s="342"/>
      <c r="AL207" s="342"/>
      <c r="AM207" s="342"/>
      <c r="BD207" s="342"/>
    </row>
    <row r="208" spans="4:56" x14ac:dyDescent="0.2">
      <c r="D208" s="342"/>
      <c r="F208" s="342"/>
      <c r="G208" s="342"/>
      <c r="H208" s="342"/>
      <c r="I208" s="342"/>
      <c r="J208" s="342"/>
      <c r="L208" s="342"/>
      <c r="M208" s="342"/>
      <c r="R208" s="342"/>
      <c r="AJ208" s="342"/>
      <c r="AL208" s="342"/>
      <c r="AM208" s="342"/>
      <c r="BD208" s="342"/>
    </row>
    <row r="209" spans="4:56" x14ac:dyDescent="0.2">
      <c r="D209" s="342"/>
      <c r="F209" s="342"/>
      <c r="G209" s="342"/>
      <c r="H209" s="342"/>
      <c r="I209" s="342"/>
      <c r="J209" s="342"/>
      <c r="L209" s="342"/>
      <c r="M209" s="342"/>
      <c r="R209" s="342"/>
      <c r="AJ209" s="342"/>
      <c r="AL209" s="342"/>
      <c r="AM209" s="342"/>
      <c r="BD209" s="342"/>
    </row>
    <row r="210" spans="4:56" x14ac:dyDescent="0.2">
      <c r="D210" s="342"/>
      <c r="F210" s="342"/>
      <c r="G210" s="342"/>
      <c r="H210" s="342"/>
      <c r="I210" s="342"/>
      <c r="J210" s="342"/>
      <c r="L210" s="342"/>
      <c r="M210" s="342"/>
      <c r="R210" s="342"/>
      <c r="AJ210" s="342"/>
      <c r="AL210" s="342"/>
      <c r="AM210" s="342"/>
      <c r="BD210" s="342"/>
    </row>
    <row r="211" spans="4:56" x14ac:dyDescent="0.2">
      <c r="D211" s="342"/>
      <c r="F211" s="342"/>
      <c r="G211" s="342"/>
      <c r="H211" s="342"/>
      <c r="I211" s="342"/>
      <c r="J211" s="342"/>
      <c r="L211" s="342"/>
      <c r="M211" s="342"/>
      <c r="R211" s="342"/>
      <c r="AJ211" s="342"/>
      <c r="AL211" s="342"/>
      <c r="AM211" s="342"/>
      <c r="BD211" s="342"/>
    </row>
    <row r="212" spans="4:56" x14ac:dyDescent="0.2">
      <c r="D212" s="342"/>
      <c r="F212" s="342"/>
      <c r="G212" s="342"/>
      <c r="H212" s="342"/>
      <c r="I212" s="342"/>
      <c r="J212" s="342"/>
      <c r="L212" s="342"/>
      <c r="M212" s="342"/>
      <c r="R212" s="342"/>
      <c r="AJ212" s="342"/>
      <c r="AL212" s="342"/>
      <c r="AM212" s="342"/>
      <c r="BD212" s="342"/>
    </row>
    <row r="213" spans="4:56" x14ac:dyDescent="0.2">
      <c r="D213" s="342"/>
      <c r="F213" s="342"/>
      <c r="G213" s="342"/>
      <c r="H213" s="342"/>
      <c r="I213" s="342"/>
      <c r="J213" s="342"/>
      <c r="L213" s="342"/>
      <c r="M213" s="342"/>
      <c r="R213" s="342"/>
      <c r="AJ213" s="342"/>
      <c r="AL213" s="342"/>
      <c r="AM213" s="342"/>
      <c r="BD213" s="342"/>
    </row>
    <row r="214" spans="4:56" x14ac:dyDescent="0.2">
      <c r="D214" s="342"/>
      <c r="F214" s="342"/>
      <c r="G214" s="342"/>
      <c r="H214" s="342"/>
      <c r="I214" s="342"/>
      <c r="J214" s="342"/>
      <c r="L214" s="342"/>
      <c r="M214" s="342"/>
      <c r="R214" s="342"/>
      <c r="AJ214" s="342"/>
      <c r="AL214" s="342"/>
      <c r="AM214" s="342"/>
      <c r="BD214" s="342"/>
    </row>
    <row r="215" spans="4:56" x14ac:dyDescent="0.2">
      <c r="D215" s="342"/>
      <c r="F215" s="342"/>
      <c r="G215" s="342"/>
      <c r="H215" s="342"/>
      <c r="I215" s="342"/>
      <c r="J215" s="342"/>
      <c r="L215" s="342"/>
      <c r="M215" s="342"/>
      <c r="R215" s="342"/>
      <c r="AJ215" s="342"/>
      <c r="AL215" s="342"/>
      <c r="AM215" s="342"/>
      <c r="BD215" s="342"/>
    </row>
    <row r="216" spans="4:56" x14ac:dyDescent="0.2">
      <c r="D216" s="342"/>
      <c r="F216" s="342"/>
      <c r="G216" s="342"/>
      <c r="H216" s="342"/>
      <c r="I216" s="342"/>
      <c r="J216" s="342"/>
      <c r="L216" s="342"/>
      <c r="M216" s="342"/>
      <c r="R216" s="342"/>
      <c r="AJ216" s="342"/>
      <c r="AL216" s="342"/>
      <c r="AM216" s="342"/>
      <c r="BD216" s="342"/>
    </row>
    <row r="217" spans="4:56" x14ac:dyDescent="0.2">
      <c r="D217" s="342"/>
      <c r="F217" s="342"/>
      <c r="G217" s="342"/>
      <c r="H217" s="342"/>
      <c r="I217" s="342"/>
      <c r="J217" s="342"/>
      <c r="L217" s="342"/>
      <c r="M217" s="342"/>
      <c r="R217" s="342"/>
      <c r="AJ217" s="342"/>
      <c r="AL217" s="342"/>
      <c r="AM217" s="342"/>
      <c r="BD217" s="342"/>
    </row>
    <row r="218" spans="4:56" x14ac:dyDescent="0.2">
      <c r="D218" s="342"/>
      <c r="F218" s="342"/>
      <c r="G218" s="342"/>
      <c r="H218" s="342"/>
      <c r="I218" s="342"/>
      <c r="J218" s="342"/>
      <c r="L218" s="342"/>
      <c r="M218" s="342"/>
      <c r="R218" s="342"/>
      <c r="AJ218" s="342"/>
      <c r="AL218" s="342"/>
      <c r="AM218" s="342"/>
      <c r="BD218" s="342"/>
    </row>
    <row r="219" spans="4:56" x14ac:dyDescent="0.2">
      <c r="D219" s="342"/>
      <c r="F219" s="342"/>
      <c r="G219" s="342"/>
      <c r="H219" s="342"/>
      <c r="I219" s="342"/>
      <c r="J219" s="342"/>
      <c r="L219" s="342"/>
      <c r="M219" s="342"/>
      <c r="R219" s="342"/>
      <c r="AJ219" s="342"/>
      <c r="AL219" s="342"/>
      <c r="AM219" s="342"/>
      <c r="BD219" s="342"/>
    </row>
    <row r="220" spans="4:56" x14ac:dyDescent="0.2">
      <c r="D220" s="342"/>
      <c r="F220" s="342"/>
      <c r="G220" s="342"/>
      <c r="H220" s="342"/>
      <c r="I220" s="342"/>
      <c r="J220" s="342"/>
      <c r="L220" s="342"/>
      <c r="M220" s="342"/>
      <c r="R220" s="342"/>
      <c r="AJ220" s="342"/>
      <c r="AL220" s="342"/>
      <c r="AM220" s="342"/>
      <c r="BD220" s="342"/>
    </row>
    <row r="221" spans="4:56" x14ac:dyDescent="0.2">
      <c r="D221" s="342"/>
      <c r="F221" s="342"/>
      <c r="G221" s="342"/>
      <c r="H221" s="342"/>
      <c r="I221" s="342"/>
      <c r="J221" s="342"/>
      <c r="L221" s="342"/>
      <c r="M221" s="342"/>
      <c r="R221" s="342"/>
      <c r="AJ221" s="342"/>
      <c r="AL221" s="342"/>
      <c r="AM221" s="342"/>
      <c r="BD221" s="342"/>
    </row>
    <row r="222" spans="4:56" x14ac:dyDescent="0.2">
      <c r="D222" s="342"/>
      <c r="F222" s="342"/>
      <c r="G222" s="342"/>
      <c r="H222" s="342"/>
      <c r="I222" s="342"/>
      <c r="J222" s="342"/>
      <c r="L222" s="342"/>
      <c r="M222" s="342"/>
      <c r="R222" s="342"/>
      <c r="AJ222" s="342"/>
      <c r="AL222" s="342"/>
      <c r="AM222" s="342"/>
      <c r="BD222" s="342"/>
    </row>
    <row r="223" spans="4:56" x14ac:dyDescent="0.2">
      <c r="D223" s="342"/>
      <c r="F223" s="342"/>
      <c r="G223" s="342"/>
      <c r="H223" s="342"/>
      <c r="I223" s="342"/>
      <c r="J223" s="342"/>
      <c r="L223" s="342"/>
      <c r="M223" s="342"/>
      <c r="R223" s="342"/>
      <c r="AJ223" s="342"/>
      <c r="AL223" s="342"/>
      <c r="AM223" s="342"/>
      <c r="BD223" s="342"/>
    </row>
    <row r="224" spans="4:56" x14ac:dyDescent="0.2">
      <c r="D224" s="342"/>
      <c r="F224" s="342"/>
      <c r="G224" s="342"/>
      <c r="H224" s="342"/>
      <c r="I224" s="342"/>
      <c r="J224" s="342"/>
      <c r="L224" s="342"/>
      <c r="M224" s="342"/>
      <c r="R224" s="342"/>
      <c r="AJ224" s="342"/>
      <c r="AL224" s="342"/>
      <c r="AM224" s="342"/>
      <c r="BD224" s="342"/>
    </row>
    <row r="225" spans="4:56" x14ac:dyDescent="0.2">
      <c r="D225" s="342"/>
      <c r="F225" s="342"/>
      <c r="G225" s="342"/>
      <c r="H225" s="342"/>
      <c r="I225" s="342"/>
      <c r="J225" s="342"/>
      <c r="L225" s="342"/>
      <c r="M225" s="342"/>
      <c r="R225" s="342"/>
      <c r="AJ225" s="342"/>
      <c r="AL225" s="342"/>
      <c r="AM225" s="342"/>
      <c r="BD225" s="342"/>
    </row>
    <row r="226" spans="4:56" x14ac:dyDescent="0.2">
      <c r="D226" s="342"/>
      <c r="F226" s="342"/>
      <c r="G226" s="342"/>
      <c r="H226" s="342"/>
      <c r="I226" s="342"/>
      <c r="J226" s="342"/>
      <c r="L226" s="342"/>
      <c r="M226" s="342"/>
      <c r="R226" s="342"/>
      <c r="AJ226" s="342"/>
      <c r="AL226" s="342"/>
      <c r="AM226" s="342"/>
      <c r="BD226" s="342"/>
    </row>
    <row r="227" spans="4:56" x14ac:dyDescent="0.2">
      <c r="D227" s="342"/>
      <c r="F227" s="342"/>
      <c r="G227" s="342"/>
      <c r="H227" s="342"/>
      <c r="I227" s="342"/>
      <c r="J227" s="342"/>
      <c r="L227" s="342"/>
      <c r="M227" s="342"/>
      <c r="R227" s="342"/>
      <c r="AJ227" s="342"/>
      <c r="AL227" s="342"/>
      <c r="AM227" s="342"/>
      <c r="BD227" s="342"/>
    </row>
    <row r="228" spans="4:56" x14ac:dyDescent="0.2">
      <c r="D228" s="342"/>
      <c r="F228" s="342"/>
      <c r="G228" s="342"/>
      <c r="H228" s="342"/>
      <c r="I228" s="342"/>
      <c r="J228" s="342"/>
      <c r="L228" s="342"/>
      <c r="M228" s="342"/>
      <c r="R228" s="342"/>
      <c r="AJ228" s="342"/>
      <c r="AL228" s="342"/>
      <c r="AM228" s="342"/>
      <c r="BD228" s="342"/>
    </row>
    <row r="229" spans="4:56" x14ac:dyDescent="0.2">
      <c r="D229" s="342"/>
      <c r="F229" s="342"/>
      <c r="G229" s="342"/>
      <c r="H229" s="342"/>
      <c r="I229" s="342"/>
      <c r="J229" s="342"/>
      <c r="L229" s="342"/>
      <c r="M229" s="342"/>
      <c r="R229" s="342"/>
      <c r="AJ229" s="342"/>
      <c r="AL229" s="342"/>
      <c r="AM229" s="342"/>
      <c r="BD229" s="342"/>
    </row>
    <row r="230" spans="4:56" x14ac:dyDescent="0.2">
      <c r="D230" s="342"/>
      <c r="F230" s="342"/>
      <c r="G230" s="342"/>
      <c r="H230" s="342"/>
      <c r="I230" s="342"/>
      <c r="J230" s="342"/>
      <c r="L230" s="342"/>
      <c r="M230" s="342"/>
      <c r="R230" s="342"/>
      <c r="AJ230" s="342"/>
      <c r="AL230" s="342"/>
      <c r="AM230" s="342"/>
      <c r="BD230" s="342"/>
    </row>
    <row r="231" spans="4:56" x14ac:dyDescent="0.2">
      <c r="D231" s="342"/>
      <c r="F231" s="342"/>
      <c r="G231" s="342"/>
      <c r="H231" s="342"/>
      <c r="I231" s="342"/>
      <c r="J231" s="342"/>
      <c r="L231" s="342"/>
      <c r="M231" s="342"/>
      <c r="R231" s="342"/>
      <c r="AJ231" s="342"/>
      <c r="AL231" s="342"/>
      <c r="AM231" s="342"/>
      <c r="BD231" s="342"/>
    </row>
    <row r="232" spans="4:56" x14ac:dyDescent="0.2">
      <c r="D232" s="342"/>
      <c r="F232" s="342"/>
      <c r="G232" s="342"/>
      <c r="H232" s="342"/>
      <c r="I232" s="342"/>
      <c r="J232" s="342"/>
      <c r="L232" s="342"/>
      <c r="M232" s="342"/>
      <c r="R232" s="342"/>
      <c r="AJ232" s="342"/>
      <c r="AL232" s="342"/>
      <c r="AM232" s="342"/>
      <c r="BD232" s="342"/>
    </row>
    <row r="233" spans="4:56" x14ac:dyDescent="0.2">
      <c r="D233" s="342"/>
      <c r="F233" s="342"/>
      <c r="G233" s="342"/>
      <c r="H233" s="342"/>
      <c r="I233" s="342"/>
      <c r="J233" s="342"/>
      <c r="L233" s="342"/>
      <c r="M233" s="342"/>
      <c r="R233" s="342"/>
      <c r="AJ233" s="342"/>
      <c r="AL233" s="342"/>
      <c r="AM233" s="342"/>
      <c r="BD233" s="342"/>
    </row>
    <row r="234" spans="4:56" x14ac:dyDescent="0.2">
      <c r="D234" s="342"/>
      <c r="F234" s="342"/>
      <c r="G234" s="342"/>
      <c r="H234" s="342"/>
      <c r="I234" s="342"/>
      <c r="J234" s="342"/>
      <c r="L234" s="342"/>
      <c r="M234" s="342"/>
      <c r="R234" s="342"/>
      <c r="AJ234" s="342"/>
      <c r="AL234" s="342"/>
      <c r="AM234" s="342"/>
      <c r="BD234" s="342"/>
    </row>
    <row r="235" spans="4:56" x14ac:dyDescent="0.2">
      <c r="D235" s="342"/>
      <c r="F235" s="342"/>
      <c r="G235" s="342"/>
      <c r="H235" s="342"/>
      <c r="I235" s="342"/>
      <c r="J235" s="342"/>
      <c r="L235" s="342"/>
      <c r="M235" s="342"/>
      <c r="R235" s="342"/>
      <c r="AJ235" s="342"/>
      <c r="AL235" s="342"/>
      <c r="AM235" s="342"/>
      <c r="BD235" s="342"/>
    </row>
    <row r="236" spans="4:56" x14ac:dyDescent="0.2">
      <c r="D236" s="342"/>
      <c r="F236" s="342"/>
      <c r="G236" s="342"/>
      <c r="H236" s="342"/>
      <c r="I236" s="342"/>
      <c r="J236" s="342"/>
      <c r="L236" s="342"/>
      <c r="M236" s="342"/>
      <c r="R236" s="342"/>
      <c r="AJ236" s="342"/>
      <c r="AL236" s="342"/>
      <c r="AM236" s="342"/>
      <c r="BD236" s="342"/>
    </row>
    <row r="237" spans="4:56" x14ac:dyDescent="0.2">
      <c r="D237" s="342"/>
      <c r="F237" s="342"/>
      <c r="G237" s="342"/>
      <c r="H237" s="342"/>
      <c r="I237" s="342"/>
      <c r="J237" s="342"/>
      <c r="L237" s="342"/>
      <c r="M237" s="342"/>
      <c r="R237" s="342"/>
      <c r="AJ237" s="342"/>
      <c r="AL237" s="342"/>
      <c r="AM237" s="342"/>
      <c r="BD237" s="342"/>
    </row>
    <row r="238" spans="4:56" x14ac:dyDescent="0.2">
      <c r="D238" s="342"/>
      <c r="F238" s="342"/>
      <c r="G238" s="342"/>
      <c r="H238" s="342"/>
      <c r="I238" s="342"/>
      <c r="J238" s="342"/>
      <c r="L238" s="342"/>
      <c r="M238" s="342"/>
      <c r="R238" s="342"/>
      <c r="AJ238" s="342"/>
      <c r="AL238" s="342"/>
      <c r="AM238" s="342"/>
      <c r="BD238" s="342"/>
    </row>
    <row r="239" spans="4:56" x14ac:dyDescent="0.2">
      <c r="D239" s="342"/>
      <c r="F239" s="342"/>
      <c r="G239" s="342"/>
      <c r="H239" s="342"/>
      <c r="I239" s="342"/>
      <c r="J239" s="342"/>
      <c r="L239" s="342"/>
      <c r="M239" s="342"/>
      <c r="R239" s="342"/>
      <c r="AJ239" s="342"/>
      <c r="AL239" s="342"/>
      <c r="AM239" s="342"/>
      <c r="BD239" s="342"/>
    </row>
    <row r="240" spans="4:56" x14ac:dyDescent="0.2">
      <c r="D240" s="342"/>
      <c r="F240" s="342"/>
      <c r="G240" s="342"/>
      <c r="H240" s="342"/>
      <c r="I240" s="342"/>
      <c r="J240" s="342"/>
      <c r="L240" s="342"/>
      <c r="M240" s="342"/>
      <c r="R240" s="342"/>
      <c r="AJ240" s="342"/>
      <c r="AL240" s="342"/>
      <c r="AM240" s="342"/>
      <c r="BD240" s="342"/>
    </row>
    <row r="241" spans="4:56" x14ac:dyDescent="0.2">
      <c r="D241" s="342"/>
      <c r="F241" s="342"/>
      <c r="G241" s="342"/>
      <c r="H241" s="342"/>
      <c r="I241" s="342"/>
      <c r="J241" s="342"/>
      <c r="L241" s="342"/>
      <c r="M241" s="342"/>
      <c r="R241" s="342"/>
      <c r="AJ241" s="342"/>
      <c r="AL241" s="342"/>
      <c r="AM241" s="342"/>
      <c r="BD241" s="342"/>
    </row>
    <row r="242" spans="4:56" x14ac:dyDescent="0.2">
      <c r="D242" s="342"/>
      <c r="F242" s="342"/>
      <c r="G242" s="342"/>
      <c r="H242" s="342"/>
      <c r="I242" s="342"/>
      <c r="J242" s="342"/>
      <c r="L242" s="342"/>
      <c r="M242" s="342"/>
      <c r="R242" s="342"/>
      <c r="AJ242" s="342"/>
      <c r="AL242" s="342"/>
      <c r="AM242" s="342"/>
      <c r="BD242" s="342"/>
    </row>
    <row r="243" spans="4:56" x14ac:dyDescent="0.2">
      <c r="D243" s="342"/>
      <c r="F243" s="342"/>
      <c r="G243" s="342"/>
      <c r="H243" s="342"/>
      <c r="I243" s="342"/>
      <c r="J243" s="342"/>
      <c r="L243" s="342"/>
      <c r="M243" s="342"/>
      <c r="R243" s="342"/>
      <c r="AJ243" s="342"/>
      <c r="AL243" s="342"/>
      <c r="AM243" s="342"/>
      <c r="BD243" s="342"/>
    </row>
    <row r="244" spans="4:56" x14ac:dyDescent="0.2">
      <c r="D244" s="342"/>
      <c r="F244" s="342"/>
      <c r="G244" s="342"/>
      <c r="H244" s="342"/>
      <c r="I244" s="342"/>
      <c r="J244" s="342"/>
      <c r="L244" s="342"/>
      <c r="M244" s="342"/>
      <c r="R244" s="342"/>
      <c r="AJ244" s="342"/>
      <c r="AL244" s="342"/>
      <c r="AM244" s="342"/>
      <c r="BD244" s="342"/>
    </row>
    <row r="245" spans="4:56" x14ac:dyDescent="0.2">
      <c r="D245" s="342"/>
      <c r="F245" s="342"/>
      <c r="G245" s="342"/>
      <c r="H245" s="342"/>
      <c r="I245" s="342"/>
      <c r="J245" s="342"/>
      <c r="L245" s="342"/>
      <c r="M245" s="342"/>
      <c r="R245" s="342"/>
      <c r="AJ245" s="342"/>
      <c r="AL245" s="342"/>
      <c r="AM245" s="342"/>
      <c r="BD245" s="342"/>
    </row>
    <row r="246" spans="4:56" x14ac:dyDescent="0.2">
      <c r="D246" s="342"/>
      <c r="F246" s="342"/>
      <c r="G246" s="342"/>
      <c r="H246" s="342"/>
      <c r="I246" s="342"/>
      <c r="J246" s="342"/>
      <c r="L246" s="342"/>
      <c r="M246" s="342"/>
      <c r="R246" s="342"/>
      <c r="AJ246" s="342"/>
      <c r="AL246" s="342"/>
      <c r="AM246" s="342"/>
      <c r="BD246" s="342"/>
    </row>
    <row r="247" spans="4:56" x14ac:dyDescent="0.2">
      <c r="D247" s="342"/>
      <c r="F247" s="342"/>
      <c r="G247" s="342"/>
      <c r="H247" s="342"/>
      <c r="I247" s="342"/>
      <c r="J247" s="342"/>
      <c r="L247" s="342"/>
      <c r="M247" s="342"/>
      <c r="R247" s="342"/>
      <c r="AJ247" s="342"/>
      <c r="AL247" s="342"/>
      <c r="AM247" s="342"/>
      <c r="BD247" s="342"/>
    </row>
    <row r="248" spans="4:56" x14ac:dyDescent="0.2">
      <c r="D248" s="342"/>
      <c r="F248" s="342"/>
      <c r="G248" s="342"/>
      <c r="H248" s="342"/>
      <c r="I248" s="342"/>
      <c r="J248" s="342"/>
      <c r="L248" s="342"/>
      <c r="M248" s="342"/>
      <c r="R248" s="342"/>
      <c r="AJ248" s="342"/>
      <c r="AL248" s="342"/>
      <c r="AM248" s="342"/>
      <c r="BD248" s="342"/>
    </row>
    <row r="249" spans="4:56" x14ac:dyDescent="0.2">
      <c r="D249" s="342"/>
      <c r="F249" s="342"/>
      <c r="G249" s="342"/>
      <c r="H249" s="342"/>
      <c r="I249" s="342"/>
      <c r="J249" s="342"/>
      <c r="L249" s="342"/>
      <c r="M249" s="342"/>
      <c r="R249" s="342"/>
      <c r="AJ249" s="342"/>
      <c r="AL249" s="342"/>
      <c r="AM249" s="342"/>
      <c r="BD249" s="342"/>
    </row>
    <row r="250" spans="4:56" x14ac:dyDescent="0.2">
      <c r="D250" s="342"/>
      <c r="F250" s="342"/>
      <c r="G250" s="342"/>
      <c r="H250" s="342"/>
      <c r="I250" s="342"/>
      <c r="J250" s="342"/>
      <c r="L250" s="342"/>
      <c r="M250" s="342"/>
      <c r="R250" s="342"/>
      <c r="AJ250" s="342"/>
      <c r="AL250" s="342"/>
      <c r="AM250" s="342"/>
      <c r="BD250" s="342"/>
    </row>
    <row r="251" spans="4:56" x14ac:dyDescent="0.2">
      <c r="D251" s="342"/>
      <c r="F251" s="342"/>
      <c r="G251" s="342"/>
      <c r="H251" s="342"/>
      <c r="I251" s="342"/>
      <c r="J251" s="342"/>
      <c r="L251" s="342"/>
      <c r="M251" s="342"/>
      <c r="R251" s="342"/>
      <c r="AJ251" s="342"/>
      <c r="AL251" s="342"/>
      <c r="AM251" s="342"/>
      <c r="BD251" s="342"/>
    </row>
    <row r="252" spans="4:56" x14ac:dyDescent="0.2">
      <c r="D252" s="342"/>
      <c r="F252" s="342"/>
      <c r="G252" s="342"/>
      <c r="H252" s="342"/>
      <c r="I252" s="342"/>
      <c r="J252" s="342"/>
      <c r="L252" s="342"/>
      <c r="M252" s="342"/>
      <c r="R252" s="342"/>
      <c r="AJ252" s="342"/>
      <c r="AL252" s="342"/>
      <c r="AM252" s="342"/>
      <c r="BD252" s="342"/>
    </row>
    <row r="253" spans="4:56" x14ac:dyDescent="0.2">
      <c r="D253" s="342"/>
      <c r="F253" s="342"/>
      <c r="G253" s="342"/>
      <c r="H253" s="342"/>
      <c r="I253" s="342"/>
      <c r="J253" s="342"/>
      <c r="L253" s="342"/>
      <c r="M253" s="342"/>
      <c r="R253" s="342"/>
      <c r="AJ253" s="342"/>
      <c r="AL253" s="342"/>
      <c r="AM253" s="342"/>
      <c r="BD253" s="342"/>
    </row>
    <row r="254" spans="4:56" x14ac:dyDescent="0.2">
      <c r="D254" s="342"/>
      <c r="F254" s="342"/>
      <c r="G254" s="342"/>
      <c r="H254" s="342"/>
      <c r="I254" s="342"/>
      <c r="J254" s="342"/>
      <c r="L254" s="342"/>
      <c r="M254" s="342"/>
      <c r="R254" s="342"/>
      <c r="AJ254" s="342"/>
      <c r="AL254" s="342"/>
      <c r="AM254" s="342"/>
      <c r="BD254" s="342"/>
    </row>
    <row r="255" spans="4:56" x14ac:dyDescent="0.2">
      <c r="D255" s="342"/>
      <c r="F255" s="342"/>
      <c r="G255" s="342"/>
      <c r="H255" s="342"/>
      <c r="I255" s="342"/>
      <c r="J255" s="342"/>
      <c r="L255" s="342"/>
      <c r="M255" s="342"/>
      <c r="R255" s="342"/>
      <c r="AJ255" s="342"/>
      <c r="AL255" s="342"/>
      <c r="AM255" s="342"/>
      <c r="BD255" s="342"/>
    </row>
    <row r="256" spans="4:56" x14ac:dyDescent="0.2">
      <c r="D256" s="342"/>
      <c r="F256" s="342"/>
      <c r="G256" s="342"/>
      <c r="H256" s="342"/>
      <c r="I256" s="342"/>
      <c r="J256" s="342"/>
      <c r="L256" s="342"/>
      <c r="M256" s="342"/>
      <c r="R256" s="342"/>
      <c r="AJ256" s="342"/>
      <c r="AL256" s="342"/>
      <c r="AM256" s="342"/>
      <c r="BD256" s="342"/>
    </row>
    <row r="257" spans="4:56" x14ac:dyDescent="0.2">
      <c r="D257" s="342"/>
      <c r="F257" s="342"/>
      <c r="G257" s="342"/>
      <c r="H257" s="342"/>
      <c r="I257" s="342"/>
      <c r="J257" s="342"/>
      <c r="L257" s="342"/>
      <c r="M257" s="342"/>
      <c r="R257" s="342"/>
      <c r="AJ257" s="342"/>
      <c r="AL257" s="342"/>
      <c r="AM257" s="342"/>
      <c r="BD257" s="342"/>
    </row>
    <row r="258" spans="4:56" x14ac:dyDescent="0.2">
      <c r="D258" s="342"/>
      <c r="F258" s="342"/>
      <c r="G258" s="342"/>
      <c r="H258" s="342"/>
      <c r="I258" s="342"/>
      <c r="J258" s="342"/>
      <c r="L258" s="342"/>
      <c r="M258" s="342"/>
      <c r="R258" s="342"/>
      <c r="AJ258" s="342"/>
      <c r="AL258" s="342"/>
      <c r="AM258" s="342"/>
      <c r="BD258" s="342"/>
    </row>
    <row r="259" spans="4:56" x14ac:dyDescent="0.2">
      <c r="D259" s="342"/>
      <c r="F259" s="342"/>
      <c r="G259" s="342"/>
      <c r="H259" s="342"/>
      <c r="I259" s="342"/>
      <c r="J259" s="342"/>
      <c r="L259" s="342"/>
      <c r="M259" s="342"/>
      <c r="R259" s="342"/>
      <c r="AJ259" s="342"/>
      <c r="AL259" s="342"/>
      <c r="AM259" s="342"/>
      <c r="BD259" s="342"/>
    </row>
    <row r="260" spans="4:56" x14ac:dyDescent="0.2">
      <c r="D260" s="342"/>
      <c r="F260" s="342"/>
      <c r="G260" s="342"/>
      <c r="H260" s="342"/>
      <c r="I260" s="342"/>
      <c r="J260" s="342"/>
      <c r="L260" s="342"/>
      <c r="M260" s="342"/>
      <c r="R260" s="342"/>
      <c r="AJ260" s="342"/>
      <c r="AL260" s="342"/>
      <c r="AM260" s="342"/>
      <c r="BD260" s="342"/>
    </row>
    <row r="261" spans="4:56" x14ac:dyDescent="0.2">
      <c r="D261" s="342"/>
      <c r="F261" s="342"/>
      <c r="G261" s="342"/>
      <c r="H261" s="342"/>
      <c r="I261" s="342"/>
      <c r="J261" s="342"/>
      <c r="L261" s="342"/>
      <c r="M261" s="342"/>
      <c r="R261" s="342"/>
      <c r="AJ261" s="342"/>
      <c r="AL261" s="342"/>
      <c r="AM261" s="342"/>
      <c r="BD261" s="342"/>
    </row>
    <row r="262" spans="4:56" x14ac:dyDescent="0.2">
      <c r="D262" s="342"/>
      <c r="F262" s="342"/>
      <c r="G262" s="342"/>
      <c r="H262" s="342"/>
      <c r="I262" s="342"/>
      <c r="J262" s="342"/>
      <c r="L262" s="342"/>
      <c r="M262" s="342"/>
      <c r="R262" s="342"/>
      <c r="AJ262" s="342"/>
      <c r="AL262" s="342"/>
      <c r="AM262" s="342"/>
      <c r="BD262" s="342"/>
    </row>
    <row r="263" spans="4:56" x14ac:dyDescent="0.2">
      <c r="D263" s="342"/>
      <c r="F263" s="342"/>
      <c r="G263" s="342"/>
      <c r="H263" s="342"/>
      <c r="I263" s="342"/>
      <c r="J263" s="342"/>
      <c r="L263" s="342"/>
      <c r="M263" s="342"/>
      <c r="R263" s="342"/>
      <c r="AJ263" s="342"/>
      <c r="AL263" s="342"/>
      <c r="AM263" s="342"/>
      <c r="BD263" s="342"/>
    </row>
    <row r="264" spans="4:56" x14ac:dyDescent="0.2">
      <c r="D264" s="342"/>
      <c r="F264" s="342"/>
      <c r="G264" s="342"/>
      <c r="H264" s="342"/>
      <c r="I264" s="342"/>
      <c r="J264" s="342"/>
      <c r="L264" s="342"/>
      <c r="M264" s="342"/>
      <c r="R264" s="342"/>
      <c r="AJ264" s="342"/>
      <c r="AL264" s="342"/>
      <c r="AM264" s="342"/>
      <c r="BD264" s="342"/>
    </row>
    <row r="265" spans="4:56" x14ac:dyDescent="0.2">
      <c r="D265" s="342"/>
      <c r="F265" s="342"/>
      <c r="G265" s="342"/>
      <c r="H265" s="342"/>
      <c r="I265" s="342"/>
      <c r="J265" s="342"/>
      <c r="L265" s="342"/>
      <c r="M265" s="342"/>
      <c r="R265" s="342"/>
      <c r="AJ265" s="342"/>
      <c r="AL265" s="342"/>
      <c r="AM265" s="342"/>
      <c r="BD265" s="342"/>
    </row>
    <row r="266" spans="4:56" x14ac:dyDescent="0.2">
      <c r="D266" s="342"/>
      <c r="F266" s="342"/>
      <c r="G266" s="342"/>
      <c r="H266" s="342"/>
      <c r="I266" s="342"/>
      <c r="J266" s="342"/>
      <c r="L266" s="342"/>
      <c r="M266" s="342"/>
      <c r="R266" s="342"/>
      <c r="AJ266" s="342"/>
      <c r="AL266" s="342"/>
      <c r="AM266" s="342"/>
      <c r="BD266" s="342"/>
    </row>
    <row r="267" spans="4:56" x14ac:dyDescent="0.2">
      <c r="D267" s="342"/>
      <c r="F267" s="342"/>
      <c r="G267" s="342"/>
      <c r="H267" s="342"/>
      <c r="I267" s="342"/>
      <c r="J267" s="342"/>
      <c r="L267" s="342"/>
      <c r="M267" s="342"/>
      <c r="R267" s="342"/>
      <c r="AJ267" s="342"/>
      <c r="AL267" s="342"/>
      <c r="AM267" s="342"/>
      <c r="BD267" s="342"/>
    </row>
    <row r="268" spans="4:56" x14ac:dyDescent="0.2">
      <c r="D268" s="342"/>
      <c r="F268" s="342"/>
      <c r="G268" s="342"/>
      <c r="H268" s="342"/>
      <c r="I268" s="342"/>
      <c r="J268" s="342"/>
      <c r="L268" s="342"/>
      <c r="M268" s="342"/>
      <c r="R268" s="342"/>
      <c r="AJ268" s="342"/>
      <c r="AL268" s="342"/>
      <c r="AM268" s="342"/>
      <c r="BD268" s="342"/>
    </row>
    <row r="269" spans="4:56" x14ac:dyDescent="0.2">
      <c r="D269" s="342"/>
      <c r="F269" s="342"/>
      <c r="G269" s="342"/>
      <c r="H269" s="342"/>
      <c r="I269" s="342"/>
      <c r="J269" s="342"/>
      <c r="L269" s="342"/>
      <c r="M269" s="342"/>
      <c r="R269" s="342"/>
      <c r="AJ269" s="342"/>
      <c r="AL269" s="342"/>
      <c r="AM269" s="342"/>
      <c r="BD269" s="342"/>
    </row>
    <row r="270" spans="4:56" x14ac:dyDescent="0.2">
      <c r="D270" s="342"/>
      <c r="F270" s="342"/>
      <c r="G270" s="342"/>
      <c r="H270" s="342"/>
      <c r="I270" s="342"/>
      <c r="J270" s="342"/>
      <c r="L270" s="342"/>
      <c r="M270" s="342"/>
      <c r="R270" s="342"/>
      <c r="AJ270" s="342"/>
      <c r="AL270" s="342"/>
      <c r="AM270" s="342"/>
      <c r="BD270" s="342"/>
    </row>
    <row r="271" spans="4:56" x14ac:dyDescent="0.2">
      <c r="D271" s="342"/>
      <c r="F271" s="342"/>
      <c r="G271" s="342"/>
      <c r="H271" s="342"/>
      <c r="I271" s="342"/>
      <c r="J271" s="342"/>
      <c r="L271" s="342"/>
      <c r="M271" s="342"/>
      <c r="R271" s="342"/>
      <c r="AJ271" s="342"/>
      <c r="AL271" s="342"/>
      <c r="AM271" s="342"/>
      <c r="BD271" s="342"/>
    </row>
    <row r="272" spans="4:56" x14ac:dyDescent="0.2">
      <c r="D272" s="342"/>
      <c r="F272" s="342"/>
      <c r="G272" s="342"/>
      <c r="H272" s="342"/>
      <c r="I272" s="342"/>
      <c r="J272" s="342"/>
      <c r="L272" s="342"/>
      <c r="M272" s="342"/>
      <c r="R272" s="342"/>
      <c r="AJ272" s="342"/>
      <c r="AL272" s="342"/>
      <c r="AM272" s="342"/>
      <c r="BD272" s="342"/>
    </row>
    <row r="273" spans="4:56" x14ac:dyDescent="0.2">
      <c r="D273" s="342"/>
      <c r="F273" s="342"/>
      <c r="G273" s="342"/>
      <c r="H273" s="342"/>
      <c r="I273" s="342"/>
      <c r="J273" s="342"/>
      <c r="L273" s="342"/>
      <c r="M273" s="342"/>
      <c r="R273" s="342"/>
      <c r="AJ273" s="342"/>
      <c r="AL273" s="342"/>
      <c r="AM273" s="342"/>
      <c r="BD273" s="342"/>
    </row>
    <row r="274" spans="4:56" x14ac:dyDescent="0.2">
      <c r="D274" s="342"/>
      <c r="F274" s="342"/>
      <c r="G274" s="342"/>
      <c r="H274" s="342"/>
      <c r="I274" s="342"/>
      <c r="J274" s="342"/>
      <c r="L274" s="342"/>
      <c r="M274" s="342"/>
      <c r="R274" s="342"/>
      <c r="AJ274" s="342"/>
      <c r="AL274" s="342"/>
      <c r="AM274" s="342"/>
      <c r="BD274" s="342"/>
    </row>
    <row r="275" spans="4:56" x14ac:dyDescent="0.2">
      <c r="D275" s="342"/>
      <c r="F275" s="342"/>
      <c r="G275" s="342"/>
      <c r="H275" s="342"/>
      <c r="I275" s="342"/>
      <c r="J275" s="342"/>
      <c r="L275" s="342"/>
      <c r="M275" s="342"/>
      <c r="R275" s="342"/>
      <c r="AJ275" s="342"/>
      <c r="AL275" s="342"/>
      <c r="AM275" s="342"/>
      <c r="BD275" s="342"/>
    </row>
    <row r="276" spans="4:56" x14ac:dyDescent="0.2">
      <c r="D276" s="342"/>
      <c r="F276" s="342"/>
      <c r="G276" s="342"/>
      <c r="H276" s="342"/>
      <c r="I276" s="342"/>
      <c r="J276" s="342"/>
      <c r="L276" s="342"/>
      <c r="M276" s="342"/>
      <c r="R276" s="342"/>
      <c r="AJ276" s="342"/>
      <c r="AL276" s="342"/>
      <c r="AM276" s="342"/>
      <c r="BD276" s="342"/>
    </row>
    <row r="277" spans="4:56" x14ac:dyDescent="0.2">
      <c r="D277" s="342"/>
      <c r="F277" s="342"/>
      <c r="G277" s="342"/>
      <c r="H277" s="342"/>
      <c r="I277" s="342"/>
      <c r="J277" s="342"/>
      <c r="L277" s="342"/>
      <c r="M277" s="342"/>
      <c r="R277" s="342"/>
      <c r="AJ277" s="342"/>
      <c r="AL277" s="342"/>
      <c r="AM277" s="342"/>
      <c r="BD277" s="342"/>
    </row>
    <row r="278" spans="4:56" x14ac:dyDescent="0.2">
      <c r="D278" s="342"/>
      <c r="F278" s="342"/>
      <c r="G278" s="342"/>
      <c r="H278" s="342"/>
      <c r="I278" s="342"/>
      <c r="J278" s="342"/>
      <c r="L278" s="342"/>
      <c r="M278" s="342"/>
      <c r="R278" s="342"/>
      <c r="AJ278" s="342"/>
      <c r="AL278" s="342"/>
      <c r="AM278" s="342"/>
      <c r="BD278" s="342"/>
    </row>
    <row r="279" spans="4:56" x14ac:dyDescent="0.2">
      <c r="D279" s="342"/>
      <c r="F279" s="342"/>
      <c r="G279" s="342"/>
      <c r="H279" s="342"/>
      <c r="I279" s="342"/>
      <c r="J279" s="342"/>
      <c r="L279" s="342"/>
      <c r="M279" s="342"/>
      <c r="R279" s="342"/>
      <c r="AJ279" s="342"/>
      <c r="AL279" s="342"/>
      <c r="AM279" s="342"/>
      <c r="BD279" s="342"/>
    </row>
    <row r="280" spans="4:56" x14ac:dyDescent="0.2">
      <c r="D280" s="342"/>
      <c r="F280" s="342"/>
      <c r="G280" s="342"/>
      <c r="H280" s="342"/>
      <c r="I280" s="342"/>
      <c r="J280" s="342"/>
      <c r="L280" s="342"/>
      <c r="M280" s="342"/>
      <c r="R280" s="342"/>
      <c r="AJ280" s="342"/>
      <c r="AL280" s="342"/>
      <c r="AM280" s="342"/>
      <c r="BD280" s="342"/>
    </row>
    <row r="281" spans="4:56" x14ac:dyDescent="0.2">
      <c r="D281" s="342"/>
      <c r="F281" s="342"/>
      <c r="G281" s="342"/>
      <c r="H281" s="342"/>
      <c r="I281" s="342"/>
      <c r="J281" s="342"/>
      <c r="L281" s="342"/>
      <c r="M281" s="342"/>
      <c r="R281" s="342"/>
      <c r="AJ281" s="342"/>
      <c r="AL281" s="342"/>
      <c r="AM281" s="342"/>
      <c r="BD281" s="342"/>
    </row>
    <row r="282" spans="4:56" x14ac:dyDescent="0.2">
      <c r="D282" s="342"/>
      <c r="F282" s="342"/>
      <c r="G282" s="342"/>
      <c r="H282" s="342"/>
      <c r="I282" s="342"/>
      <c r="J282" s="342"/>
      <c r="L282" s="342"/>
      <c r="M282" s="342"/>
      <c r="R282" s="342"/>
      <c r="AJ282" s="342"/>
      <c r="AL282" s="342"/>
      <c r="AM282" s="342"/>
      <c r="BD282" s="342"/>
    </row>
    <row r="283" spans="4:56" x14ac:dyDescent="0.2">
      <c r="D283" s="342"/>
      <c r="F283" s="342"/>
      <c r="G283" s="342"/>
      <c r="H283" s="342"/>
      <c r="I283" s="342"/>
      <c r="J283" s="342"/>
      <c r="L283" s="342"/>
      <c r="M283" s="342"/>
      <c r="R283" s="342"/>
      <c r="AJ283" s="342"/>
      <c r="AL283" s="342"/>
      <c r="AM283" s="342"/>
      <c r="BD283" s="342"/>
    </row>
    <row r="284" spans="4:56" x14ac:dyDescent="0.2">
      <c r="D284" s="342"/>
      <c r="F284" s="342"/>
      <c r="G284" s="342"/>
      <c r="H284" s="342"/>
      <c r="I284" s="342"/>
      <c r="J284" s="342"/>
      <c r="L284" s="342"/>
      <c r="M284" s="342"/>
      <c r="R284" s="342"/>
      <c r="AJ284" s="342"/>
      <c r="AL284" s="342"/>
      <c r="AM284" s="342"/>
      <c r="BD284" s="342"/>
    </row>
    <row r="285" spans="4:56" x14ac:dyDescent="0.2">
      <c r="D285" s="342"/>
      <c r="F285" s="342"/>
      <c r="G285" s="342"/>
      <c r="H285" s="342"/>
      <c r="I285" s="342"/>
      <c r="J285" s="342"/>
      <c r="L285" s="342"/>
      <c r="M285" s="342"/>
      <c r="R285" s="342"/>
      <c r="AJ285" s="342"/>
      <c r="AL285" s="342"/>
      <c r="AM285" s="342"/>
      <c r="BD285" s="342"/>
    </row>
    <row r="286" spans="4:56" x14ac:dyDescent="0.2">
      <c r="D286" s="342"/>
      <c r="F286" s="342"/>
      <c r="G286" s="342"/>
      <c r="H286" s="342"/>
      <c r="I286" s="342"/>
      <c r="J286" s="342"/>
      <c r="L286" s="342"/>
      <c r="M286" s="342"/>
      <c r="R286" s="342"/>
      <c r="AJ286" s="342"/>
      <c r="AL286" s="342"/>
      <c r="AM286" s="342"/>
      <c r="BD286" s="342"/>
    </row>
    <row r="287" spans="4:56" x14ac:dyDescent="0.2">
      <c r="D287" s="342"/>
      <c r="F287" s="342"/>
      <c r="G287" s="342"/>
      <c r="H287" s="342"/>
      <c r="I287" s="342"/>
      <c r="J287" s="342"/>
      <c r="L287" s="342"/>
      <c r="M287" s="342"/>
      <c r="R287" s="342"/>
      <c r="AJ287" s="342"/>
      <c r="AL287" s="342"/>
      <c r="AM287" s="342"/>
      <c r="BD287" s="342"/>
    </row>
    <row r="288" spans="4:56" x14ac:dyDescent="0.2">
      <c r="D288" s="342"/>
      <c r="F288" s="342"/>
      <c r="G288" s="342"/>
      <c r="H288" s="342"/>
      <c r="I288" s="342"/>
      <c r="J288" s="342"/>
      <c r="L288" s="342"/>
      <c r="M288" s="342"/>
      <c r="R288" s="342"/>
      <c r="AJ288" s="342"/>
      <c r="AL288" s="342"/>
      <c r="AM288" s="342"/>
      <c r="BD288" s="342"/>
    </row>
    <row r="289" spans="4:56" x14ac:dyDescent="0.2">
      <c r="D289" s="342"/>
      <c r="F289" s="342"/>
      <c r="G289" s="342"/>
      <c r="H289" s="342"/>
      <c r="I289" s="342"/>
      <c r="J289" s="342"/>
      <c r="L289" s="342"/>
      <c r="M289" s="342"/>
      <c r="R289" s="342"/>
      <c r="AJ289" s="342"/>
      <c r="AL289" s="342"/>
      <c r="AM289" s="342"/>
      <c r="BD289" s="342"/>
    </row>
    <row r="290" spans="4:56" x14ac:dyDescent="0.2">
      <c r="D290" s="342"/>
      <c r="F290" s="342"/>
      <c r="G290" s="342"/>
      <c r="H290" s="342"/>
      <c r="I290" s="342"/>
      <c r="J290" s="342"/>
      <c r="L290" s="342"/>
      <c r="M290" s="342"/>
      <c r="R290" s="342"/>
      <c r="AJ290" s="342"/>
      <c r="AL290" s="342"/>
      <c r="AM290" s="342"/>
      <c r="BD290" s="342"/>
    </row>
    <row r="291" spans="4:56" x14ac:dyDescent="0.2">
      <c r="D291" s="342"/>
      <c r="F291" s="342"/>
      <c r="G291" s="342"/>
      <c r="H291" s="342"/>
      <c r="I291" s="342"/>
      <c r="J291" s="342"/>
      <c r="L291" s="342"/>
      <c r="M291" s="342"/>
      <c r="R291" s="342"/>
      <c r="AJ291" s="342"/>
      <c r="AL291" s="342"/>
      <c r="AM291" s="342"/>
      <c r="BD291" s="342"/>
    </row>
    <row r="292" spans="4:56" x14ac:dyDescent="0.2">
      <c r="D292" s="342"/>
      <c r="F292" s="342"/>
      <c r="G292" s="342"/>
      <c r="H292" s="342"/>
      <c r="I292" s="342"/>
      <c r="J292" s="342"/>
      <c r="L292" s="342"/>
      <c r="M292" s="342"/>
      <c r="R292" s="342"/>
      <c r="AJ292" s="342"/>
      <c r="AL292" s="342"/>
      <c r="AM292" s="342"/>
      <c r="BD292" s="342"/>
    </row>
    <row r="293" spans="4:56" x14ac:dyDescent="0.2">
      <c r="D293" s="342"/>
      <c r="F293" s="342"/>
      <c r="G293" s="342"/>
      <c r="H293" s="342"/>
      <c r="I293" s="342"/>
      <c r="J293" s="342"/>
      <c r="L293" s="342"/>
      <c r="M293" s="342"/>
      <c r="R293" s="342"/>
      <c r="AJ293" s="342"/>
      <c r="AL293" s="342"/>
      <c r="AM293" s="342"/>
      <c r="BD293" s="342"/>
    </row>
    <row r="294" spans="4:56" x14ac:dyDescent="0.2">
      <c r="D294" s="342"/>
      <c r="F294" s="342"/>
      <c r="G294" s="342"/>
      <c r="H294" s="342"/>
      <c r="I294" s="342"/>
      <c r="J294" s="342"/>
      <c r="L294" s="342"/>
      <c r="M294" s="342"/>
      <c r="R294" s="342"/>
      <c r="AJ294" s="342"/>
      <c r="AL294" s="342"/>
      <c r="AM294" s="342"/>
      <c r="BD294" s="342"/>
    </row>
    <row r="295" spans="4:56" x14ac:dyDescent="0.2">
      <c r="D295" s="342"/>
      <c r="F295" s="342"/>
      <c r="G295" s="342"/>
      <c r="H295" s="342"/>
      <c r="I295" s="342"/>
      <c r="J295" s="342"/>
      <c r="L295" s="342"/>
      <c r="M295" s="342"/>
      <c r="R295" s="342"/>
      <c r="AJ295" s="342"/>
      <c r="AL295" s="342"/>
      <c r="AM295" s="342"/>
      <c r="BD295" s="342"/>
    </row>
    <row r="296" spans="4:56" x14ac:dyDescent="0.2">
      <c r="D296" s="342"/>
      <c r="F296" s="342"/>
      <c r="G296" s="342"/>
      <c r="H296" s="342"/>
      <c r="I296" s="342"/>
      <c r="J296" s="342"/>
      <c r="L296" s="342"/>
      <c r="M296" s="342"/>
      <c r="R296" s="342"/>
      <c r="AJ296" s="342"/>
      <c r="AL296" s="342"/>
      <c r="AM296" s="342"/>
      <c r="BD296" s="342"/>
    </row>
    <row r="297" spans="4:56" x14ac:dyDescent="0.2">
      <c r="D297" s="342"/>
      <c r="F297" s="342"/>
      <c r="G297" s="342"/>
      <c r="H297" s="342"/>
      <c r="I297" s="342"/>
      <c r="J297" s="342"/>
      <c r="L297" s="342"/>
      <c r="M297" s="342"/>
      <c r="R297" s="342"/>
      <c r="AJ297" s="342"/>
      <c r="AL297" s="342"/>
      <c r="AM297" s="342"/>
      <c r="BD297" s="342"/>
    </row>
    <row r="298" spans="4:56" x14ac:dyDescent="0.2">
      <c r="D298" s="342"/>
      <c r="F298" s="342"/>
      <c r="G298" s="342"/>
      <c r="H298" s="342"/>
      <c r="I298" s="342"/>
      <c r="J298" s="342"/>
      <c r="L298" s="342"/>
      <c r="M298" s="342"/>
      <c r="R298" s="342"/>
      <c r="AJ298" s="342"/>
      <c r="AL298" s="342"/>
      <c r="AM298" s="342"/>
      <c r="BD298" s="342"/>
    </row>
    <row r="299" spans="4:56" x14ac:dyDescent="0.2">
      <c r="D299" s="342"/>
      <c r="F299" s="342"/>
      <c r="G299" s="342"/>
      <c r="H299" s="342"/>
      <c r="I299" s="342"/>
      <c r="J299" s="342"/>
      <c r="L299" s="342"/>
      <c r="M299" s="342"/>
      <c r="R299" s="342"/>
      <c r="AJ299" s="342"/>
      <c r="AL299" s="342"/>
      <c r="AM299" s="342"/>
      <c r="BD299" s="342"/>
    </row>
    <row r="300" spans="4:56" x14ac:dyDescent="0.2">
      <c r="D300" s="342"/>
      <c r="F300" s="342"/>
      <c r="G300" s="342"/>
      <c r="H300" s="342"/>
      <c r="I300" s="342"/>
      <c r="J300" s="342"/>
      <c r="L300" s="342"/>
      <c r="M300" s="342"/>
      <c r="R300" s="342"/>
      <c r="AJ300" s="342"/>
      <c r="AL300" s="342"/>
      <c r="AM300" s="342"/>
      <c r="BD300" s="342"/>
    </row>
    <row r="301" spans="4:56" x14ac:dyDescent="0.2">
      <c r="D301" s="342"/>
      <c r="F301" s="342"/>
      <c r="G301" s="342"/>
      <c r="H301" s="342"/>
      <c r="I301" s="342"/>
      <c r="J301" s="342"/>
      <c r="L301" s="342"/>
      <c r="M301" s="342"/>
      <c r="R301" s="342"/>
      <c r="AJ301" s="342"/>
      <c r="AL301" s="342"/>
      <c r="AM301" s="342"/>
      <c r="BD301" s="342"/>
    </row>
    <row r="302" spans="4:56" x14ac:dyDescent="0.2">
      <c r="D302" s="342"/>
      <c r="F302" s="342"/>
      <c r="G302" s="342"/>
      <c r="H302" s="342"/>
      <c r="I302" s="342"/>
      <c r="J302" s="342"/>
      <c r="L302" s="342"/>
      <c r="M302" s="342"/>
      <c r="R302" s="342"/>
      <c r="AJ302" s="342"/>
      <c r="AL302" s="342"/>
      <c r="AM302" s="342"/>
      <c r="BD302" s="342"/>
    </row>
    <row r="303" spans="4:56" x14ac:dyDescent="0.2">
      <c r="D303" s="342"/>
      <c r="F303" s="342"/>
      <c r="G303" s="342"/>
      <c r="H303" s="342"/>
      <c r="I303" s="342"/>
      <c r="J303" s="342"/>
      <c r="L303" s="342"/>
      <c r="M303" s="342"/>
      <c r="R303" s="342"/>
      <c r="AJ303" s="342"/>
      <c r="AL303" s="342"/>
      <c r="AM303" s="342"/>
      <c r="BD303" s="342"/>
    </row>
    <row r="304" spans="4:56" x14ac:dyDescent="0.2">
      <c r="D304" s="342"/>
      <c r="F304" s="342"/>
      <c r="G304" s="342"/>
      <c r="H304" s="342"/>
      <c r="I304" s="342"/>
      <c r="J304" s="342"/>
      <c r="L304" s="342"/>
      <c r="M304" s="342"/>
      <c r="R304" s="342"/>
      <c r="AJ304" s="342"/>
      <c r="AL304" s="342"/>
      <c r="AM304" s="342"/>
      <c r="BD304" s="342"/>
    </row>
    <row r="305" spans="4:56" x14ac:dyDescent="0.2">
      <c r="D305" s="342"/>
      <c r="F305" s="342"/>
      <c r="G305" s="342"/>
      <c r="H305" s="342"/>
      <c r="I305" s="342"/>
      <c r="J305" s="342"/>
      <c r="L305" s="342"/>
      <c r="M305" s="342"/>
      <c r="R305" s="342"/>
      <c r="AJ305" s="342"/>
      <c r="AL305" s="342"/>
      <c r="AM305" s="342"/>
      <c r="BD305" s="342"/>
    </row>
    <row r="306" spans="4:56" x14ac:dyDescent="0.2">
      <c r="D306" s="342"/>
      <c r="F306" s="342"/>
      <c r="G306" s="342"/>
      <c r="H306" s="342"/>
      <c r="I306" s="342"/>
      <c r="J306" s="342"/>
      <c r="L306" s="342"/>
      <c r="M306" s="342"/>
      <c r="R306" s="342"/>
      <c r="AJ306" s="342"/>
      <c r="AL306" s="342"/>
      <c r="AM306" s="342"/>
      <c r="BD306" s="342"/>
    </row>
    <row r="307" spans="4:56" x14ac:dyDescent="0.2">
      <c r="D307" s="342"/>
      <c r="F307" s="342"/>
      <c r="G307" s="342"/>
      <c r="H307" s="342"/>
      <c r="I307" s="342"/>
      <c r="J307" s="342"/>
      <c r="L307" s="342"/>
      <c r="M307" s="342"/>
      <c r="R307" s="342"/>
      <c r="AJ307" s="342"/>
      <c r="AL307" s="342"/>
      <c r="AM307" s="342"/>
      <c r="BD307" s="342"/>
    </row>
    <row r="308" spans="4:56" x14ac:dyDescent="0.2">
      <c r="D308" s="342"/>
      <c r="F308" s="342"/>
      <c r="G308" s="342"/>
      <c r="H308" s="342"/>
      <c r="I308" s="342"/>
      <c r="J308" s="342"/>
      <c r="L308" s="342"/>
      <c r="M308" s="342"/>
      <c r="R308" s="342"/>
      <c r="AJ308" s="342"/>
      <c r="AL308" s="342"/>
      <c r="AM308" s="342"/>
      <c r="BD308" s="342"/>
    </row>
    <row r="309" spans="4:56" x14ac:dyDescent="0.2">
      <c r="D309" s="342"/>
      <c r="F309" s="342"/>
      <c r="G309" s="342"/>
      <c r="H309" s="342"/>
      <c r="I309" s="342"/>
      <c r="J309" s="342"/>
      <c r="L309" s="342"/>
      <c r="M309" s="342"/>
      <c r="R309" s="342"/>
      <c r="AJ309" s="342"/>
      <c r="AL309" s="342"/>
      <c r="AM309" s="342"/>
      <c r="BD309" s="342"/>
    </row>
    <row r="310" spans="4:56" x14ac:dyDescent="0.2">
      <c r="D310" s="342"/>
      <c r="F310" s="342"/>
      <c r="G310" s="342"/>
      <c r="H310" s="342"/>
      <c r="I310" s="342"/>
      <c r="J310" s="342"/>
      <c r="L310" s="342"/>
      <c r="M310" s="342"/>
      <c r="R310" s="342"/>
      <c r="AJ310" s="342"/>
      <c r="AL310" s="342"/>
      <c r="AM310" s="342"/>
      <c r="BD310" s="342"/>
    </row>
    <row r="311" spans="4:56" x14ac:dyDescent="0.2">
      <c r="D311" s="342"/>
      <c r="F311" s="342"/>
      <c r="G311" s="342"/>
      <c r="H311" s="342"/>
      <c r="I311" s="342"/>
      <c r="J311" s="342"/>
      <c r="L311" s="342"/>
      <c r="M311" s="342"/>
      <c r="R311" s="342"/>
      <c r="AJ311" s="342"/>
      <c r="AL311" s="342"/>
      <c r="AM311" s="342"/>
      <c r="BD311" s="342"/>
    </row>
    <row r="312" spans="4:56" x14ac:dyDescent="0.2">
      <c r="D312" s="342"/>
      <c r="F312" s="342"/>
      <c r="G312" s="342"/>
      <c r="H312" s="342"/>
      <c r="I312" s="342"/>
      <c r="J312" s="342"/>
      <c r="L312" s="342"/>
      <c r="M312" s="342"/>
      <c r="R312" s="342"/>
      <c r="AJ312" s="342"/>
      <c r="AL312" s="342"/>
      <c r="AM312" s="342"/>
      <c r="BD312" s="342"/>
    </row>
    <row r="313" spans="4:56" x14ac:dyDescent="0.2">
      <c r="D313" s="342"/>
      <c r="F313" s="342"/>
      <c r="G313" s="342"/>
      <c r="H313" s="342"/>
      <c r="I313" s="342"/>
      <c r="J313" s="342"/>
      <c r="L313" s="342"/>
      <c r="M313" s="342"/>
      <c r="R313" s="342"/>
      <c r="AJ313" s="342"/>
      <c r="AL313" s="342"/>
      <c r="AM313" s="342"/>
      <c r="BD313" s="342"/>
    </row>
    <row r="314" spans="4:56" x14ac:dyDescent="0.2">
      <c r="D314" s="342"/>
      <c r="F314" s="342"/>
      <c r="G314" s="342"/>
      <c r="H314" s="342"/>
      <c r="I314" s="342"/>
      <c r="J314" s="342"/>
      <c r="L314" s="342"/>
      <c r="M314" s="342"/>
      <c r="R314" s="342"/>
      <c r="AJ314" s="342"/>
      <c r="AL314" s="342"/>
      <c r="AM314" s="342"/>
      <c r="BD314" s="342"/>
    </row>
    <row r="315" spans="4:56" x14ac:dyDescent="0.2">
      <c r="D315" s="342"/>
      <c r="F315" s="342"/>
      <c r="G315" s="342"/>
      <c r="H315" s="342"/>
      <c r="I315" s="342"/>
      <c r="J315" s="342"/>
      <c r="L315" s="342"/>
      <c r="M315" s="342"/>
      <c r="R315" s="342"/>
      <c r="AJ315" s="342"/>
      <c r="AL315" s="342"/>
      <c r="AM315" s="342"/>
      <c r="BD315" s="342"/>
    </row>
    <row r="316" spans="4:56" x14ac:dyDescent="0.2">
      <c r="D316" s="342"/>
      <c r="F316" s="342"/>
      <c r="G316" s="342"/>
      <c r="H316" s="342"/>
      <c r="I316" s="342"/>
      <c r="J316" s="342"/>
      <c r="L316" s="342"/>
      <c r="M316" s="342"/>
      <c r="R316" s="342"/>
      <c r="AJ316" s="342"/>
      <c r="AL316" s="342"/>
      <c r="AM316" s="342"/>
      <c r="BD316" s="342"/>
    </row>
    <row r="317" spans="4:56" x14ac:dyDescent="0.2">
      <c r="D317" s="342"/>
      <c r="F317" s="342"/>
      <c r="G317" s="342"/>
      <c r="H317" s="342"/>
      <c r="I317" s="342"/>
      <c r="J317" s="342"/>
      <c r="L317" s="342"/>
      <c r="M317" s="342"/>
      <c r="R317" s="342"/>
      <c r="AJ317" s="342"/>
      <c r="AL317" s="342"/>
      <c r="AM317" s="342"/>
      <c r="BD317" s="342"/>
    </row>
    <row r="318" spans="4:56" x14ac:dyDescent="0.2">
      <c r="D318" s="342"/>
      <c r="F318" s="342"/>
      <c r="G318" s="342"/>
      <c r="H318" s="342"/>
      <c r="I318" s="342"/>
      <c r="J318" s="342"/>
      <c r="L318" s="342"/>
      <c r="M318" s="342"/>
      <c r="R318" s="342"/>
      <c r="AJ318" s="342"/>
      <c r="AL318" s="342"/>
      <c r="AM318" s="342"/>
      <c r="BD318" s="342"/>
    </row>
    <row r="319" spans="4:56" x14ac:dyDescent="0.2">
      <c r="D319" s="342"/>
      <c r="F319" s="342"/>
      <c r="G319" s="342"/>
      <c r="H319" s="342"/>
      <c r="I319" s="342"/>
      <c r="J319" s="342"/>
      <c r="L319" s="342"/>
      <c r="M319" s="342"/>
      <c r="R319" s="342"/>
      <c r="AJ319" s="342"/>
      <c r="AL319" s="342"/>
      <c r="AM319" s="342"/>
      <c r="BD319" s="342"/>
    </row>
    <row r="320" spans="4:56" x14ac:dyDescent="0.2">
      <c r="D320" s="342"/>
      <c r="F320" s="342"/>
      <c r="G320" s="342"/>
      <c r="H320" s="342"/>
      <c r="I320" s="342"/>
      <c r="J320" s="342"/>
      <c r="L320" s="342"/>
      <c r="M320" s="342"/>
      <c r="R320" s="342"/>
      <c r="AJ320" s="342"/>
      <c r="AL320" s="342"/>
      <c r="AM320" s="342"/>
      <c r="BD320" s="342"/>
    </row>
    <row r="321" spans="4:56" x14ac:dyDescent="0.2">
      <c r="D321" s="342"/>
      <c r="F321" s="342"/>
      <c r="G321" s="342"/>
      <c r="H321" s="342"/>
      <c r="I321" s="342"/>
      <c r="J321" s="342"/>
      <c r="L321" s="342"/>
      <c r="M321" s="342"/>
      <c r="R321" s="342"/>
      <c r="AJ321" s="342"/>
      <c r="AL321" s="342"/>
      <c r="AM321" s="342"/>
      <c r="BD321" s="342"/>
    </row>
    <row r="322" spans="4:56" x14ac:dyDescent="0.2">
      <c r="D322" s="342"/>
      <c r="F322" s="342"/>
      <c r="G322" s="342"/>
      <c r="H322" s="342"/>
      <c r="I322" s="342"/>
      <c r="J322" s="342"/>
      <c r="L322" s="342"/>
      <c r="M322" s="342"/>
      <c r="R322" s="342"/>
      <c r="AJ322" s="342"/>
      <c r="AL322" s="342"/>
      <c r="AM322" s="342"/>
      <c r="BD322" s="342"/>
    </row>
    <row r="323" spans="4:56" x14ac:dyDescent="0.2">
      <c r="D323" s="342"/>
      <c r="F323" s="342"/>
      <c r="G323" s="342"/>
      <c r="H323" s="342"/>
      <c r="I323" s="342"/>
      <c r="J323" s="342"/>
      <c r="L323" s="342"/>
      <c r="M323" s="342"/>
      <c r="R323" s="342"/>
      <c r="AJ323" s="342"/>
      <c r="AL323" s="342"/>
      <c r="AM323" s="342"/>
      <c r="BD323" s="342"/>
    </row>
    <row r="324" spans="4:56" x14ac:dyDescent="0.2">
      <c r="D324" s="342"/>
      <c r="F324" s="342"/>
      <c r="G324" s="342"/>
      <c r="H324" s="342"/>
      <c r="I324" s="342"/>
      <c r="J324" s="342"/>
      <c r="L324" s="342"/>
      <c r="M324" s="342"/>
      <c r="R324" s="342"/>
      <c r="AJ324" s="342"/>
      <c r="AL324" s="342"/>
      <c r="AM324" s="342"/>
      <c r="BD324" s="342"/>
    </row>
    <row r="325" spans="4:56" x14ac:dyDescent="0.2">
      <c r="D325" s="342"/>
      <c r="F325" s="342"/>
      <c r="G325" s="342"/>
      <c r="H325" s="342"/>
      <c r="I325" s="342"/>
      <c r="J325" s="342"/>
      <c r="L325" s="342"/>
      <c r="M325" s="342"/>
      <c r="R325" s="342"/>
      <c r="AJ325" s="342"/>
      <c r="AL325" s="342"/>
      <c r="AM325" s="342"/>
      <c r="BD325" s="342"/>
    </row>
    <row r="326" spans="4:56" x14ac:dyDescent="0.2">
      <c r="D326" s="342"/>
      <c r="F326" s="342"/>
      <c r="G326" s="342"/>
      <c r="H326" s="342"/>
      <c r="I326" s="342"/>
      <c r="J326" s="342"/>
      <c r="L326" s="342"/>
      <c r="M326" s="342"/>
      <c r="R326" s="342"/>
      <c r="AJ326" s="342"/>
      <c r="AL326" s="342"/>
      <c r="AM326" s="342"/>
      <c r="BD326" s="342"/>
    </row>
    <row r="327" spans="4:56" x14ac:dyDescent="0.2">
      <c r="D327" s="342"/>
      <c r="F327" s="342"/>
      <c r="G327" s="342"/>
      <c r="H327" s="342"/>
      <c r="I327" s="342"/>
      <c r="J327" s="342"/>
      <c r="L327" s="342"/>
      <c r="M327" s="342"/>
      <c r="R327" s="342"/>
      <c r="AJ327" s="342"/>
      <c r="AL327" s="342"/>
      <c r="AM327" s="342"/>
      <c r="BD327" s="342"/>
    </row>
    <row r="328" spans="4:56" x14ac:dyDescent="0.2">
      <c r="D328" s="342"/>
      <c r="F328" s="342"/>
      <c r="G328" s="342"/>
      <c r="H328" s="342"/>
      <c r="I328" s="342"/>
      <c r="J328" s="342"/>
      <c r="L328" s="342"/>
      <c r="M328" s="342"/>
      <c r="R328" s="342"/>
      <c r="AJ328" s="342"/>
      <c r="AL328" s="342"/>
      <c r="AM328" s="342"/>
      <c r="BD328" s="342"/>
    </row>
    <row r="329" spans="4:56" x14ac:dyDescent="0.2">
      <c r="D329" s="342"/>
      <c r="F329" s="342"/>
      <c r="G329" s="342"/>
      <c r="H329" s="342"/>
      <c r="I329" s="342"/>
      <c r="J329" s="342"/>
      <c r="L329" s="342"/>
      <c r="M329" s="342"/>
      <c r="R329" s="342"/>
      <c r="AJ329" s="342"/>
      <c r="AL329" s="342"/>
      <c r="AM329" s="342"/>
      <c r="BD329" s="342"/>
    </row>
    <row r="330" spans="4:56" x14ac:dyDescent="0.2">
      <c r="D330" s="342"/>
      <c r="F330" s="342"/>
      <c r="G330" s="342"/>
      <c r="H330" s="342"/>
      <c r="I330" s="342"/>
      <c r="J330" s="342"/>
      <c r="L330" s="342"/>
      <c r="M330" s="342"/>
      <c r="R330" s="342"/>
      <c r="AJ330" s="342"/>
      <c r="AL330" s="342"/>
      <c r="AM330" s="342"/>
      <c r="BD330" s="342"/>
    </row>
    <row r="331" spans="4:56" x14ac:dyDescent="0.2">
      <c r="D331" s="342"/>
      <c r="F331" s="342"/>
      <c r="G331" s="342"/>
      <c r="H331" s="342"/>
      <c r="I331" s="342"/>
      <c r="J331" s="342"/>
      <c r="L331" s="342"/>
      <c r="M331" s="342"/>
      <c r="R331" s="342"/>
      <c r="AJ331" s="342"/>
      <c r="AL331" s="342"/>
      <c r="AM331" s="342"/>
      <c r="BD331" s="342"/>
    </row>
    <row r="332" spans="4:56" x14ac:dyDescent="0.2">
      <c r="D332" s="342"/>
      <c r="F332" s="342"/>
      <c r="G332" s="342"/>
      <c r="H332" s="342"/>
      <c r="I332" s="342"/>
      <c r="J332" s="342"/>
      <c r="L332" s="342"/>
      <c r="M332" s="342"/>
      <c r="R332" s="342"/>
      <c r="AJ332" s="342"/>
      <c r="AL332" s="342"/>
      <c r="AM332" s="342"/>
      <c r="BD332" s="342"/>
    </row>
    <row r="333" spans="4:56" x14ac:dyDescent="0.2">
      <c r="D333" s="342"/>
      <c r="F333" s="342"/>
      <c r="G333" s="342"/>
      <c r="H333" s="342"/>
      <c r="I333" s="342"/>
      <c r="J333" s="342"/>
      <c r="L333" s="342"/>
      <c r="M333" s="342"/>
      <c r="R333" s="342"/>
      <c r="AJ333" s="342"/>
      <c r="AL333" s="342"/>
      <c r="AM333" s="342"/>
      <c r="BD333" s="342"/>
    </row>
    <row r="334" spans="4:56" x14ac:dyDescent="0.2">
      <c r="D334" s="342"/>
      <c r="F334" s="342"/>
      <c r="G334" s="342"/>
      <c r="H334" s="342"/>
      <c r="I334" s="342"/>
      <c r="J334" s="342"/>
      <c r="L334" s="342"/>
      <c r="M334" s="342"/>
      <c r="R334" s="342"/>
      <c r="AJ334" s="342"/>
      <c r="AL334" s="342"/>
      <c r="AM334" s="342"/>
      <c r="BD334" s="342"/>
    </row>
    <row r="335" spans="4:56" x14ac:dyDescent="0.2">
      <c r="D335" s="342"/>
      <c r="F335" s="342"/>
      <c r="G335" s="342"/>
      <c r="H335" s="342"/>
      <c r="I335" s="342"/>
      <c r="J335" s="342"/>
      <c r="L335" s="342"/>
      <c r="M335" s="342"/>
      <c r="R335" s="342"/>
      <c r="AJ335" s="342"/>
      <c r="AL335" s="342"/>
      <c r="AM335" s="342"/>
      <c r="BD335" s="342"/>
    </row>
    <row r="336" spans="4:56" x14ac:dyDescent="0.2">
      <c r="D336" s="342"/>
      <c r="F336" s="342"/>
      <c r="G336" s="342"/>
      <c r="H336" s="342"/>
      <c r="I336" s="342"/>
      <c r="J336" s="342"/>
      <c r="L336" s="342"/>
      <c r="M336" s="342"/>
      <c r="R336" s="342"/>
      <c r="AJ336" s="342"/>
      <c r="AL336" s="342"/>
      <c r="AM336" s="342"/>
      <c r="BD336" s="342"/>
    </row>
    <row r="337" spans="4:56" x14ac:dyDescent="0.2">
      <c r="D337" s="342"/>
      <c r="F337" s="342"/>
      <c r="G337" s="342"/>
      <c r="H337" s="342"/>
      <c r="I337" s="342"/>
      <c r="J337" s="342"/>
      <c r="L337" s="342"/>
      <c r="M337" s="342"/>
      <c r="R337" s="342"/>
      <c r="AJ337" s="342"/>
      <c r="AL337" s="342"/>
      <c r="AM337" s="342"/>
      <c r="BD337" s="342"/>
    </row>
    <row r="338" spans="4:56" x14ac:dyDescent="0.2">
      <c r="D338" s="342"/>
      <c r="F338" s="342"/>
      <c r="G338" s="342"/>
      <c r="H338" s="342"/>
      <c r="I338" s="342"/>
      <c r="J338" s="342"/>
      <c r="L338" s="342"/>
      <c r="M338" s="342"/>
      <c r="R338" s="342"/>
      <c r="AJ338" s="342"/>
      <c r="AL338" s="342"/>
      <c r="AM338" s="342"/>
      <c r="BD338" s="342"/>
    </row>
    <row r="339" spans="4:56" x14ac:dyDescent="0.2">
      <c r="D339" s="342"/>
      <c r="F339" s="342"/>
      <c r="G339" s="342"/>
      <c r="H339" s="342"/>
      <c r="I339" s="342"/>
      <c r="J339" s="342"/>
      <c r="L339" s="342"/>
      <c r="M339" s="342"/>
      <c r="R339" s="342"/>
      <c r="AJ339" s="342"/>
      <c r="AL339" s="342"/>
      <c r="AM339" s="342"/>
      <c r="BD339" s="342"/>
    </row>
    <row r="340" spans="4:56" x14ac:dyDescent="0.2">
      <c r="D340" s="342"/>
      <c r="F340" s="342"/>
      <c r="G340" s="342"/>
      <c r="H340" s="342"/>
      <c r="I340" s="342"/>
      <c r="J340" s="342"/>
      <c r="L340" s="342"/>
      <c r="M340" s="342"/>
      <c r="R340" s="342"/>
      <c r="AJ340" s="342"/>
      <c r="AL340" s="342"/>
      <c r="AM340" s="342"/>
      <c r="BD340" s="342"/>
    </row>
    <row r="341" spans="4:56" x14ac:dyDescent="0.2">
      <c r="D341" s="342"/>
      <c r="F341" s="342"/>
      <c r="G341" s="342"/>
      <c r="H341" s="342"/>
      <c r="I341" s="342"/>
      <c r="J341" s="342"/>
      <c r="L341" s="342"/>
      <c r="M341" s="342"/>
      <c r="R341" s="342"/>
      <c r="AJ341" s="342"/>
      <c r="AL341" s="342"/>
      <c r="AM341" s="342"/>
      <c r="BD341" s="342"/>
    </row>
    <row r="342" spans="4:56" x14ac:dyDescent="0.2">
      <c r="D342" s="342"/>
      <c r="F342" s="342"/>
      <c r="G342" s="342"/>
      <c r="H342" s="342"/>
      <c r="I342" s="342"/>
      <c r="J342" s="342"/>
      <c r="L342" s="342"/>
      <c r="M342" s="342"/>
      <c r="R342" s="342"/>
      <c r="AJ342" s="342"/>
      <c r="AL342" s="342"/>
      <c r="AM342" s="342"/>
      <c r="BD342" s="342"/>
    </row>
    <row r="343" spans="4:56" x14ac:dyDescent="0.2">
      <c r="D343" s="342"/>
      <c r="F343" s="342"/>
      <c r="G343" s="342"/>
      <c r="H343" s="342"/>
      <c r="I343" s="342"/>
      <c r="J343" s="342"/>
      <c r="L343" s="342"/>
      <c r="M343" s="342"/>
      <c r="R343" s="342"/>
      <c r="AJ343" s="342"/>
      <c r="AL343" s="342"/>
      <c r="AM343" s="342"/>
      <c r="BD343" s="342"/>
    </row>
    <row r="344" spans="4:56" x14ac:dyDescent="0.2">
      <c r="D344" s="342"/>
      <c r="F344" s="342"/>
      <c r="G344" s="342"/>
      <c r="H344" s="342"/>
      <c r="I344" s="342"/>
      <c r="J344" s="342"/>
      <c r="L344" s="342"/>
      <c r="M344" s="342"/>
      <c r="R344" s="342"/>
      <c r="AJ344" s="342"/>
      <c r="AL344" s="342"/>
      <c r="AM344" s="342"/>
      <c r="BD344" s="342"/>
    </row>
    <row r="345" spans="4:56" x14ac:dyDescent="0.2">
      <c r="D345" s="342"/>
      <c r="F345" s="342"/>
      <c r="G345" s="342"/>
      <c r="H345" s="342"/>
      <c r="I345" s="342"/>
      <c r="J345" s="342"/>
      <c r="L345" s="342"/>
      <c r="M345" s="342"/>
      <c r="R345" s="342"/>
      <c r="AJ345" s="342"/>
      <c r="AL345" s="342"/>
      <c r="AM345" s="342"/>
      <c r="BD345" s="342"/>
    </row>
    <row r="346" spans="4:56" x14ac:dyDescent="0.2">
      <c r="D346" s="342"/>
      <c r="F346" s="342"/>
      <c r="G346" s="342"/>
      <c r="H346" s="342"/>
      <c r="I346" s="342"/>
      <c r="J346" s="342"/>
      <c r="L346" s="342"/>
      <c r="M346" s="342"/>
      <c r="R346" s="342"/>
      <c r="AJ346" s="342"/>
      <c r="AL346" s="342"/>
      <c r="AM346" s="342"/>
      <c r="BD346" s="342"/>
    </row>
    <row r="347" spans="4:56" x14ac:dyDescent="0.2">
      <c r="D347" s="342"/>
      <c r="F347" s="342"/>
      <c r="G347" s="342"/>
      <c r="H347" s="342"/>
      <c r="I347" s="342"/>
      <c r="J347" s="342"/>
      <c r="L347" s="342"/>
      <c r="M347" s="342"/>
      <c r="R347" s="342"/>
      <c r="AJ347" s="342"/>
      <c r="AL347" s="342"/>
      <c r="AM347" s="342"/>
      <c r="BD347" s="342"/>
    </row>
    <row r="348" spans="4:56" x14ac:dyDescent="0.2">
      <c r="D348" s="342"/>
      <c r="F348" s="342"/>
      <c r="G348" s="342"/>
      <c r="H348" s="342"/>
      <c r="I348" s="342"/>
      <c r="J348" s="342"/>
      <c r="L348" s="342"/>
      <c r="M348" s="342"/>
      <c r="R348" s="342"/>
      <c r="AJ348" s="342"/>
      <c r="AL348" s="342"/>
      <c r="AM348" s="342"/>
      <c r="BD348" s="342"/>
    </row>
    <row r="349" spans="4:56" x14ac:dyDescent="0.2">
      <c r="D349" s="342"/>
      <c r="F349" s="342"/>
      <c r="G349" s="342"/>
      <c r="H349" s="342"/>
      <c r="I349" s="342"/>
      <c r="J349" s="342"/>
      <c r="L349" s="342"/>
      <c r="M349" s="342"/>
      <c r="R349" s="342"/>
      <c r="AJ349" s="342"/>
      <c r="AL349" s="342"/>
      <c r="AM349" s="342"/>
      <c r="BD349" s="342"/>
    </row>
    <row r="350" spans="4:56" x14ac:dyDescent="0.2">
      <c r="D350" s="342"/>
      <c r="F350" s="342"/>
      <c r="G350" s="342"/>
      <c r="H350" s="342"/>
      <c r="I350" s="342"/>
      <c r="J350" s="342"/>
      <c r="L350" s="342"/>
      <c r="M350" s="342"/>
      <c r="R350" s="342"/>
      <c r="AJ350" s="342"/>
      <c r="AL350" s="342"/>
      <c r="AM350" s="342"/>
      <c r="BD350" s="342"/>
    </row>
    <row r="351" spans="4:56" x14ac:dyDescent="0.2">
      <c r="D351" s="342"/>
      <c r="F351" s="342"/>
      <c r="G351" s="342"/>
      <c r="H351" s="342"/>
      <c r="I351" s="342"/>
      <c r="J351" s="342"/>
      <c r="L351" s="342"/>
      <c r="M351" s="342"/>
      <c r="R351" s="342"/>
      <c r="AJ351" s="342"/>
      <c r="AL351" s="342"/>
      <c r="AM351" s="342"/>
      <c r="BD351" s="342"/>
    </row>
    <row r="352" spans="4:56" x14ac:dyDescent="0.2">
      <c r="D352" s="342"/>
      <c r="F352" s="342"/>
      <c r="G352" s="342"/>
      <c r="H352" s="342"/>
      <c r="I352" s="342"/>
      <c r="J352" s="342"/>
      <c r="L352" s="342"/>
      <c r="M352" s="342"/>
      <c r="R352" s="342"/>
      <c r="AJ352" s="342"/>
      <c r="AL352" s="342"/>
      <c r="AM352" s="342"/>
      <c r="BD352" s="342"/>
    </row>
    <row r="353" spans="4:56" x14ac:dyDescent="0.2">
      <c r="D353" s="342"/>
      <c r="F353" s="342"/>
      <c r="G353" s="342"/>
      <c r="H353" s="342"/>
      <c r="I353" s="342"/>
      <c r="J353" s="342"/>
      <c r="L353" s="342"/>
      <c r="M353" s="342"/>
      <c r="R353" s="342"/>
      <c r="AJ353" s="342"/>
      <c r="AL353" s="342"/>
      <c r="AM353" s="342"/>
      <c r="BD353" s="342"/>
    </row>
    <row r="354" spans="4:56" x14ac:dyDescent="0.2">
      <c r="D354" s="342"/>
      <c r="F354" s="342"/>
      <c r="G354" s="342"/>
      <c r="H354" s="342"/>
      <c r="I354" s="342"/>
      <c r="J354" s="342"/>
      <c r="L354" s="342"/>
      <c r="M354" s="342"/>
      <c r="R354" s="342"/>
      <c r="AJ354" s="342"/>
      <c r="AL354" s="342"/>
      <c r="AM354" s="342"/>
      <c r="BD354" s="342"/>
    </row>
    <row r="355" spans="4:56" x14ac:dyDescent="0.2">
      <c r="D355" s="342"/>
      <c r="F355" s="342"/>
      <c r="G355" s="342"/>
      <c r="H355" s="342"/>
      <c r="I355" s="342"/>
      <c r="J355" s="342"/>
      <c r="L355" s="342"/>
      <c r="M355" s="342"/>
      <c r="R355" s="342"/>
      <c r="AJ355" s="342"/>
      <c r="AL355" s="342"/>
      <c r="AM355" s="342"/>
      <c r="BD355" s="342"/>
    </row>
    <row r="356" spans="4:56" x14ac:dyDescent="0.2">
      <c r="D356" s="342"/>
      <c r="F356" s="342"/>
      <c r="G356" s="342"/>
      <c r="H356" s="342"/>
      <c r="I356" s="342"/>
      <c r="J356" s="342"/>
      <c r="L356" s="342"/>
      <c r="M356" s="342"/>
      <c r="R356" s="342"/>
      <c r="AJ356" s="342"/>
      <c r="AL356" s="342"/>
      <c r="AM356" s="342"/>
      <c r="BD356" s="342"/>
    </row>
    <row r="357" spans="4:56" x14ac:dyDescent="0.2">
      <c r="D357" s="342"/>
      <c r="F357" s="342"/>
      <c r="G357" s="342"/>
      <c r="H357" s="342"/>
      <c r="I357" s="342"/>
      <c r="J357" s="342"/>
      <c r="L357" s="342"/>
      <c r="M357" s="342"/>
      <c r="R357" s="342"/>
      <c r="AJ357" s="342"/>
      <c r="AL357" s="342"/>
      <c r="AM357" s="342"/>
      <c r="BD357" s="342"/>
    </row>
    <row r="358" spans="4:56" x14ac:dyDescent="0.2">
      <c r="D358" s="342"/>
      <c r="F358" s="342"/>
      <c r="G358" s="342"/>
      <c r="H358" s="342"/>
      <c r="I358" s="342"/>
      <c r="J358" s="342"/>
      <c r="L358" s="342"/>
      <c r="M358" s="342"/>
      <c r="R358" s="342"/>
      <c r="AJ358" s="342"/>
      <c r="AL358" s="342"/>
      <c r="AM358" s="342"/>
      <c r="BD358" s="342"/>
    </row>
    <row r="359" spans="4:56" x14ac:dyDescent="0.2">
      <c r="D359" s="342"/>
      <c r="F359" s="342"/>
      <c r="G359" s="342"/>
      <c r="H359" s="342"/>
      <c r="I359" s="342"/>
      <c r="J359" s="342"/>
      <c r="L359" s="342"/>
      <c r="M359" s="342"/>
      <c r="R359" s="342"/>
      <c r="AJ359" s="342"/>
      <c r="AL359" s="342"/>
      <c r="AM359" s="342"/>
      <c r="BD359" s="342"/>
    </row>
    <row r="360" spans="4:56" x14ac:dyDescent="0.2">
      <c r="D360" s="342"/>
      <c r="F360" s="342"/>
      <c r="G360" s="342"/>
      <c r="H360" s="342"/>
      <c r="I360" s="342"/>
      <c r="J360" s="342"/>
      <c r="L360" s="342"/>
      <c r="M360" s="342"/>
      <c r="R360" s="342"/>
      <c r="AJ360" s="342"/>
      <c r="AL360" s="342"/>
      <c r="AM360" s="342"/>
      <c r="BD360" s="342"/>
    </row>
    <row r="361" spans="4:56" x14ac:dyDescent="0.2">
      <c r="D361" s="342"/>
      <c r="F361" s="342"/>
      <c r="G361" s="342"/>
      <c r="H361" s="342"/>
      <c r="I361" s="342"/>
      <c r="J361" s="342"/>
      <c r="L361" s="342"/>
      <c r="M361" s="342"/>
      <c r="R361" s="342"/>
      <c r="AJ361" s="342"/>
      <c r="AL361" s="342"/>
      <c r="AM361" s="342"/>
      <c r="BD361" s="342"/>
    </row>
    <row r="362" spans="4:56" x14ac:dyDescent="0.2">
      <c r="D362" s="342"/>
      <c r="F362" s="342"/>
      <c r="G362" s="342"/>
      <c r="H362" s="342"/>
      <c r="I362" s="342"/>
      <c r="J362" s="342"/>
      <c r="L362" s="342"/>
      <c r="M362" s="342"/>
      <c r="R362" s="342"/>
      <c r="AJ362" s="342"/>
      <c r="AL362" s="342"/>
      <c r="AM362" s="342"/>
      <c r="BD362" s="342"/>
    </row>
    <row r="363" spans="4:56" x14ac:dyDescent="0.2">
      <c r="D363" s="342"/>
      <c r="F363" s="342"/>
      <c r="G363" s="342"/>
      <c r="H363" s="342"/>
      <c r="I363" s="342"/>
      <c r="J363" s="342"/>
      <c r="L363" s="342"/>
      <c r="M363" s="342"/>
      <c r="R363" s="342"/>
      <c r="AJ363" s="342"/>
      <c r="AL363" s="342"/>
      <c r="AM363" s="342"/>
      <c r="BD363" s="342"/>
    </row>
    <row r="364" spans="4:56" x14ac:dyDescent="0.2">
      <c r="D364" s="342"/>
      <c r="F364" s="342"/>
      <c r="G364" s="342"/>
      <c r="H364" s="342"/>
      <c r="I364" s="342"/>
      <c r="J364" s="342"/>
      <c r="L364" s="342"/>
      <c r="M364" s="342"/>
      <c r="R364" s="342"/>
      <c r="AJ364" s="342"/>
      <c r="AL364" s="342"/>
      <c r="AM364" s="342"/>
      <c r="BD364" s="342"/>
    </row>
    <row r="365" spans="4:56" x14ac:dyDescent="0.2">
      <c r="D365" s="342"/>
      <c r="F365" s="342"/>
      <c r="G365" s="342"/>
      <c r="H365" s="342"/>
      <c r="I365" s="342"/>
      <c r="J365" s="342"/>
      <c r="L365" s="342"/>
      <c r="M365" s="342"/>
      <c r="R365" s="342"/>
      <c r="AJ365" s="342"/>
      <c r="AL365" s="342"/>
      <c r="AM365" s="342"/>
      <c r="BD365" s="342"/>
    </row>
    <row r="366" spans="4:56" x14ac:dyDescent="0.2">
      <c r="D366" s="342"/>
      <c r="F366" s="342"/>
      <c r="G366" s="342"/>
      <c r="H366" s="342"/>
      <c r="I366" s="342"/>
      <c r="J366" s="342"/>
      <c r="L366" s="342"/>
      <c r="M366" s="342"/>
      <c r="R366" s="342"/>
      <c r="AJ366" s="342"/>
      <c r="AL366" s="342"/>
      <c r="AM366" s="342"/>
      <c r="BD366" s="342"/>
    </row>
    <row r="367" spans="4:56" x14ac:dyDescent="0.2">
      <c r="D367" s="342"/>
      <c r="F367" s="342"/>
      <c r="G367" s="342"/>
      <c r="H367" s="342"/>
      <c r="I367" s="342"/>
      <c r="J367" s="342"/>
      <c r="L367" s="342"/>
      <c r="M367" s="342"/>
      <c r="R367" s="342"/>
      <c r="AJ367" s="342"/>
      <c r="AL367" s="342"/>
      <c r="AM367" s="342"/>
      <c r="BD367" s="342"/>
    </row>
    <row r="368" spans="4:56" x14ac:dyDescent="0.2">
      <c r="D368" s="342"/>
      <c r="F368" s="342"/>
      <c r="G368" s="342"/>
      <c r="H368" s="342"/>
      <c r="I368" s="342"/>
      <c r="J368" s="342"/>
      <c r="L368" s="342"/>
      <c r="M368" s="342"/>
      <c r="R368" s="342"/>
      <c r="AJ368" s="342"/>
      <c r="AL368" s="342"/>
      <c r="AM368" s="342"/>
      <c r="BD368" s="342"/>
    </row>
    <row r="369" spans="4:56" x14ac:dyDescent="0.2">
      <c r="D369" s="342"/>
      <c r="F369" s="342"/>
      <c r="G369" s="342"/>
      <c r="H369" s="342"/>
      <c r="I369" s="342"/>
      <c r="J369" s="342"/>
      <c r="L369" s="342"/>
      <c r="M369" s="342"/>
      <c r="R369" s="342"/>
      <c r="AJ369" s="342"/>
      <c r="AL369" s="342"/>
      <c r="AM369" s="342"/>
      <c r="BD369" s="342"/>
    </row>
    <row r="370" spans="4:56" x14ac:dyDescent="0.2">
      <c r="D370" s="342"/>
      <c r="F370" s="342"/>
      <c r="G370" s="342"/>
      <c r="H370" s="342"/>
      <c r="I370" s="342"/>
      <c r="J370" s="342"/>
      <c r="L370" s="342"/>
      <c r="M370" s="342"/>
      <c r="R370" s="342"/>
      <c r="AJ370" s="342"/>
      <c r="AL370" s="342"/>
      <c r="AM370" s="342"/>
      <c r="BD370" s="342"/>
    </row>
    <row r="371" spans="4:56" x14ac:dyDescent="0.2">
      <c r="D371" s="342"/>
      <c r="F371" s="342"/>
      <c r="G371" s="342"/>
      <c r="H371" s="342"/>
      <c r="I371" s="342"/>
      <c r="J371" s="342"/>
      <c r="L371" s="342"/>
      <c r="M371" s="342"/>
      <c r="R371" s="342"/>
      <c r="AJ371" s="342"/>
      <c r="AL371" s="342"/>
      <c r="AM371" s="342"/>
      <c r="BD371" s="342"/>
    </row>
    <row r="372" spans="4:56" x14ac:dyDescent="0.2">
      <c r="D372" s="342"/>
      <c r="F372" s="342"/>
      <c r="G372" s="342"/>
      <c r="H372" s="342"/>
      <c r="I372" s="342"/>
      <c r="J372" s="342"/>
      <c r="L372" s="342"/>
      <c r="M372" s="342"/>
      <c r="R372" s="342"/>
      <c r="AJ372" s="342"/>
      <c r="AL372" s="342"/>
      <c r="AM372" s="342"/>
      <c r="BD372" s="342"/>
    </row>
    <row r="373" spans="4:56" x14ac:dyDescent="0.2">
      <c r="D373" s="342"/>
      <c r="F373" s="342"/>
      <c r="G373" s="342"/>
      <c r="H373" s="342"/>
      <c r="I373" s="342"/>
      <c r="J373" s="342"/>
      <c r="L373" s="342"/>
      <c r="M373" s="342"/>
      <c r="R373" s="342"/>
      <c r="AJ373" s="342"/>
      <c r="AL373" s="342"/>
      <c r="AM373" s="342"/>
      <c r="BD373" s="342"/>
    </row>
    <row r="374" spans="4:56" x14ac:dyDescent="0.2">
      <c r="D374" s="342"/>
      <c r="F374" s="342"/>
      <c r="G374" s="342"/>
      <c r="H374" s="342"/>
      <c r="I374" s="342"/>
      <c r="J374" s="342"/>
      <c r="L374" s="342"/>
      <c r="M374" s="342"/>
      <c r="R374" s="342"/>
      <c r="AJ374" s="342"/>
      <c r="AL374" s="342"/>
      <c r="AM374" s="342"/>
      <c r="BD374" s="342"/>
    </row>
    <row r="375" spans="4:56" x14ac:dyDescent="0.2">
      <c r="D375" s="342"/>
      <c r="F375" s="342"/>
      <c r="G375" s="342"/>
      <c r="H375" s="342"/>
      <c r="I375" s="342"/>
      <c r="J375" s="342"/>
      <c r="L375" s="342"/>
      <c r="M375" s="342"/>
      <c r="R375" s="342"/>
      <c r="AJ375" s="342"/>
      <c r="AL375" s="342"/>
      <c r="AM375" s="342"/>
      <c r="BD375" s="342"/>
    </row>
    <row r="376" spans="4:56" x14ac:dyDescent="0.2">
      <c r="D376" s="342"/>
      <c r="F376" s="342"/>
      <c r="G376" s="342"/>
      <c r="H376" s="342"/>
      <c r="I376" s="342"/>
      <c r="J376" s="342"/>
      <c r="L376" s="342"/>
      <c r="M376" s="342"/>
      <c r="R376" s="342"/>
      <c r="AJ376" s="342"/>
      <c r="AL376" s="342"/>
      <c r="AM376" s="342"/>
      <c r="BD376" s="342"/>
    </row>
    <row r="377" spans="4:56" x14ac:dyDescent="0.2">
      <c r="D377" s="342"/>
      <c r="F377" s="342"/>
      <c r="G377" s="342"/>
      <c r="H377" s="342"/>
      <c r="I377" s="342"/>
      <c r="J377" s="342"/>
      <c r="L377" s="342"/>
      <c r="M377" s="342"/>
      <c r="R377" s="342"/>
      <c r="AJ377" s="342"/>
      <c r="AL377" s="342"/>
      <c r="AM377" s="342"/>
      <c r="BD377" s="342"/>
    </row>
    <row r="378" spans="4:56" x14ac:dyDescent="0.2">
      <c r="D378" s="342"/>
      <c r="F378" s="342"/>
      <c r="G378" s="342"/>
      <c r="H378" s="342"/>
      <c r="I378" s="342"/>
      <c r="J378" s="342"/>
      <c r="L378" s="342"/>
      <c r="M378" s="342"/>
      <c r="R378" s="342"/>
      <c r="AJ378" s="342"/>
      <c r="AL378" s="342"/>
      <c r="AM378" s="342"/>
      <c r="BD378" s="342"/>
    </row>
    <row r="379" spans="4:56" x14ac:dyDescent="0.2">
      <c r="D379" s="342"/>
      <c r="F379" s="342"/>
      <c r="G379" s="342"/>
      <c r="H379" s="342"/>
      <c r="I379" s="342"/>
      <c r="J379" s="342"/>
      <c r="L379" s="342"/>
      <c r="M379" s="342"/>
      <c r="R379" s="342"/>
      <c r="AJ379" s="342"/>
      <c r="AL379" s="342"/>
      <c r="AM379" s="342"/>
      <c r="BD379" s="342"/>
    </row>
    <row r="380" spans="4:56" x14ac:dyDescent="0.2">
      <c r="D380" s="342"/>
      <c r="F380" s="342"/>
      <c r="G380" s="342"/>
      <c r="H380" s="342"/>
      <c r="I380" s="342"/>
      <c r="J380" s="342"/>
      <c r="L380" s="342"/>
      <c r="M380" s="342"/>
      <c r="R380" s="342"/>
      <c r="AJ380" s="342"/>
      <c r="AL380" s="342"/>
      <c r="AM380" s="342"/>
      <c r="BD380" s="342"/>
    </row>
    <row r="381" spans="4:56" x14ac:dyDescent="0.2">
      <c r="D381" s="342"/>
      <c r="F381" s="342"/>
      <c r="G381" s="342"/>
      <c r="H381" s="342"/>
      <c r="I381" s="342"/>
      <c r="J381" s="342"/>
      <c r="L381" s="342"/>
      <c r="M381" s="342"/>
      <c r="R381" s="342"/>
      <c r="AJ381" s="342"/>
      <c r="AL381" s="342"/>
      <c r="AM381" s="342"/>
      <c r="BD381" s="342"/>
    </row>
    <row r="382" spans="4:56" x14ac:dyDescent="0.2">
      <c r="D382" s="342"/>
      <c r="F382" s="342"/>
      <c r="G382" s="342"/>
      <c r="H382" s="342"/>
      <c r="I382" s="342"/>
      <c r="J382" s="342"/>
      <c r="L382" s="342"/>
      <c r="M382" s="342"/>
      <c r="R382" s="342"/>
      <c r="AJ382" s="342"/>
      <c r="AL382" s="342"/>
      <c r="AM382" s="342"/>
      <c r="BD382" s="342"/>
    </row>
    <row r="383" spans="4:56" x14ac:dyDescent="0.2">
      <c r="D383" s="342"/>
      <c r="F383" s="342"/>
      <c r="G383" s="342"/>
      <c r="H383" s="342"/>
      <c r="I383" s="342"/>
      <c r="J383" s="342"/>
      <c r="L383" s="342"/>
      <c r="M383" s="342"/>
      <c r="R383" s="342"/>
      <c r="AJ383" s="342"/>
      <c r="AL383" s="342"/>
      <c r="AM383" s="342"/>
      <c r="BD383" s="342"/>
    </row>
    <row r="384" spans="4:56" x14ac:dyDescent="0.2">
      <c r="D384" s="342"/>
      <c r="F384" s="342"/>
      <c r="G384" s="342"/>
      <c r="H384" s="342"/>
      <c r="I384" s="342"/>
      <c r="J384" s="342"/>
      <c r="L384" s="342"/>
      <c r="M384" s="342"/>
      <c r="R384" s="342"/>
      <c r="AJ384" s="342"/>
      <c r="AL384" s="342"/>
      <c r="AM384" s="342"/>
      <c r="BD384" s="342"/>
    </row>
    <row r="385" spans="4:56" x14ac:dyDescent="0.2">
      <c r="D385" s="342"/>
      <c r="F385" s="342"/>
      <c r="G385" s="342"/>
      <c r="H385" s="342"/>
      <c r="I385" s="342"/>
      <c r="J385" s="342"/>
      <c r="L385" s="342"/>
      <c r="M385" s="342"/>
      <c r="R385" s="342"/>
      <c r="AJ385" s="342"/>
      <c r="AL385" s="342"/>
      <c r="AM385" s="342"/>
      <c r="BD385" s="342"/>
    </row>
    <row r="386" spans="4:56" x14ac:dyDescent="0.2">
      <c r="D386" s="342"/>
      <c r="F386" s="342"/>
      <c r="G386" s="342"/>
      <c r="H386" s="342"/>
      <c r="I386" s="342"/>
      <c r="J386" s="342"/>
      <c r="L386" s="342"/>
      <c r="M386" s="342"/>
      <c r="R386" s="342"/>
      <c r="AJ386" s="342"/>
      <c r="AL386" s="342"/>
      <c r="AM386" s="342"/>
      <c r="BD386" s="342"/>
    </row>
    <row r="387" spans="4:56" x14ac:dyDescent="0.2">
      <c r="D387" s="342"/>
      <c r="F387" s="342"/>
      <c r="G387" s="342"/>
      <c r="H387" s="342"/>
      <c r="I387" s="342"/>
      <c r="J387" s="342"/>
      <c r="L387" s="342"/>
      <c r="M387" s="342"/>
      <c r="R387" s="342"/>
      <c r="AJ387" s="342"/>
      <c r="AL387" s="342"/>
      <c r="AM387" s="342"/>
      <c r="BD387" s="342"/>
    </row>
    <row r="388" spans="4:56" x14ac:dyDescent="0.2">
      <c r="D388" s="342"/>
      <c r="F388" s="342"/>
      <c r="G388" s="342"/>
      <c r="H388" s="342"/>
      <c r="I388" s="342"/>
      <c r="J388" s="342"/>
      <c r="L388" s="342"/>
      <c r="M388" s="342"/>
      <c r="R388" s="342"/>
      <c r="AJ388" s="342"/>
      <c r="AL388" s="342"/>
      <c r="AM388" s="342"/>
      <c r="BD388" s="342"/>
    </row>
    <row r="389" spans="4:56" x14ac:dyDescent="0.2">
      <c r="D389" s="342"/>
      <c r="F389" s="342"/>
      <c r="G389" s="342"/>
      <c r="H389" s="342"/>
      <c r="I389" s="342"/>
      <c r="J389" s="342"/>
      <c r="L389" s="342"/>
      <c r="M389" s="342"/>
      <c r="R389" s="342"/>
      <c r="AJ389" s="342"/>
      <c r="AL389" s="342"/>
      <c r="AM389" s="342"/>
      <c r="BD389" s="342"/>
    </row>
    <row r="390" spans="4:56" x14ac:dyDescent="0.2">
      <c r="D390" s="342"/>
      <c r="F390" s="342"/>
      <c r="G390" s="342"/>
      <c r="H390" s="342"/>
      <c r="I390" s="342"/>
      <c r="J390" s="342"/>
      <c r="L390" s="342"/>
      <c r="M390" s="342"/>
      <c r="R390" s="342"/>
      <c r="AJ390" s="342"/>
      <c r="AL390" s="342"/>
      <c r="AM390" s="342"/>
      <c r="BD390" s="342"/>
    </row>
    <row r="391" spans="4:56" x14ac:dyDescent="0.2">
      <c r="D391" s="342"/>
      <c r="F391" s="342"/>
      <c r="G391" s="342"/>
      <c r="H391" s="342"/>
      <c r="I391" s="342"/>
      <c r="J391" s="342"/>
      <c r="L391" s="342"/>
      <c r="M391" s="342"/>
      <c r="R391" s="342"/>
      <c r="AJ391" s="342"/>
      <c r="AL391" s="342"/>
      <c r="AM391" s="342"/>
      <c r="BD391" s="342"/>
    </row>
    <row r="392" spans="4:56" x14ac:dyDescent="0.2">
      <c r="D392" s="342"/>
      <c r="F392" s="342"/>
      <c r="G392" s="342"/>
      <c r="H392" s="342"/>
      <c r="I392" s="342"/>
      <c r="J392" s="342"/>
      <c r="L392" s="342"/>
      <c r="M392" s="342"/>
      <c r="R392" s="342"/>
      <c r="AJ392" s="342"/>
      <c r="AL392" s="342"/>
      <c r="AM392" s="342"/>
      <c r="BD392" s="342"/>
    </row>
    <row r="393" spans="4:56" x14ac:dyDescent="0.2">
      <c r="D393" s="342"/>
      <c r="F393" s="342"/>
      <c r="G393" s="342"/>
      <c r="H393" s="342"/>
      <c r="I393" s="342"/>
      <c r="J393" s="342"/>
      <c r="L393" s="342"/>
      <c r="M393" s="342"/>
      <c r="R393" s="342"/>
      <c r="AJ393" s="342"/>
      <c r="AL393" s="342"/>
      <c r="AM393" s="342"/>
      <c r="BD393" s="342"/>
    </row>
    <row r="394" spans="4:56" x14ac:dyDescent="0.2">
      <c r="D394" s="342"/>
      <c r="F394" s="342"/>
      <c r="G394" s="342"/>
      <c r="H394" s="342"/>
      <c r="I394" s="342"/>
      <c r="J394" s="342"/>
      <c r="L394" s="342"/>
      <c r="M394" s="342"/>
      <c r="R394" s="342"/>
      <c r="AJ394" s="342"/>
      <c r="AL394" s="342"/>
      <c r="AM394" s="342"/>
      <c r="BD394" s="342"/>
    </row>
    <row r="395" spans="4:56" x14ac:dyDescent="0.2">
      <c r="D395" s="342"/>
      <c r="F395" s="342"/>
      <c r="G395" s="342"/>
      <c r="H395" s="342"/>
      <c r="I395" s="342"/>
      <c r="J395" s="342"/>
      <c r="L395" s="342"/>
      <c r="M395" s="342"/>
      <c r="R395" s="342"/>
      <c r="AJ395" s="342"/>
      <c r="AL395" s="342"/>
      <c r="AM395" s="342"/>
      <c r="BD395" s="342"/>
    </row>
    <row r="396" spans="4:56" x14ac:dyDescent="0.2">
      <c r="D396" s="342"/>
      <c r="F396" s="342"/>
      <c r="G396" s="342"/>
      <c r="H396" s="342"/>
      <c r="I396" s="342"/>
      <c r="J396" s="342"/>
      <c r="L396" s="342"/>
      <c r="M396" s="342"/>
      <c r="R396" s="342"/>
      <c r="AJ396" s="342"/>
      <c r="AL396" s="342"/>
      <c r="AM396" s="342"/>
      <c r="BD396" s="342"/>
    </row>
    <row r="397" spans="4:56" x14ac:dyDescent="0.2">
      <c r="D397" s="342"/>
      <c r="F397" s="342"/>
      <c r="G397" s="342"/>
      <c r="H397" s="342"/>
      <c r="I397" s="342"/>
      <c r="J397" s="342"/>
      <c r="L397" s="342"/>
      <c r="M397" s="342"/>
      <c r="R397" s="342"/>
      <c r="AJ397" s="342"/>
      <c r="AL397" s="342"/>
      <c r="AM397" s="342"/>
      <c r="BD397" s="342"/>
    </row>
    <row r="398" spans="4:56" x14ac:dyDescent="0.2">
      <c r="D398" s="342"/>
      <c r="F398" s="342"/>
      <c r="G398" s="342"/>
      <c r="H398" s="342"/>
      <c r="I398" s="342"/>
      <c r="J398" s="342"/>
      <c r="L398" s="342"/>
      <c r="M398" s="342"/>
      <c r="R398" s="342"/>
      <c r="AJ398" s="342"/>
      <c r="AL398" s="342"/>
      <c r="AM398" s="342"/>
      <c r="BD398" s="342"/>
    </row>
    <row r="399" spans="4:56" x14ac:dyDescent="0.2">
      <c r="D399" s="342"/>
      <c r="F399" s="342"/>
      <c r="G399" s="342"/>
      <c r="H399" s="342"/>
      <c r="I399" s="342"/>
      <c r="J399" s="342"/>
      <c r="L399" s="342"/>
      <c r="M399" s="342"/>
      <c r="R399" s="342"/>
      <c r="AJ399" s="342"/>
      <c r="AL399" s="342"/>
      <c r="AM399" s="342"/>
      <c r="BD399" s="342"/>
    </row>
    <row r="400" spans="4:56" x14ac:dyDescent="0.2">
      <c r="D400" s="342"/>
      <c r="F400" s="342"/>
      <c r="G400" s="342"/>
      <c r="H400" s="342"/>
      <c r="I400" s="342"/>
      <c r="J400" s="342"/>
      <c r="L400" s="342"/>
      <c r="M400" s="342"/>
      <c r="R400" s="342"/>
      <c r="AJ400" s="342"/>
      <c r="AL400" s="342"/>
      <c r="AM400" s="342"/>
      <c r="BD400" s="342"/>
    </row>
    <row r="401" spans="4:56" x14ac:dyDescent="0.2">
      <c r="D401" s="342"/>
      <c r="F401" s="342"/>
      <c r="G401" s="342"/>
      <c r="H401" s="342"/>
      <c r="I401" s="342"/>
      <c r="J401" s="342"/>
      <c r="L401" s="342"/>
      <c r="M401" s="342"/>
      <c r="R401" s="342"/>
      <c r="AJ401" s="342"/>
      <c r="AL401" s="342"/>
      <c r="AM401" s="342"/>
      <c r="BD401" s="342"/>
    </row>
    <row r="402" spans="4:56" x14ac:dyDescent="0.2">
      <c r="D402" s="342"/>
      <c r="F402" s="342"/>
      <c r="G402" s="342"/>
      <c r="H402" s="342"/>
      <c r="I402" s="342"/>
      <c r="J402" s="342"/>
      <c r="L402" s="342"/>
      <c r="M402" s="342"/>
      <c r="R402" s="342"/>
      <c r="AJ402" s="342"/>
      <c r="AL402" s="342"/>
      <c r="AM402" s="342"/>
      <c r="BD402" s="342"/>
    </row>
    <row r="403" spans="4:56" x14ac:dyDescent="0.2">
      <c r="D403" s="342"/>
      <c r="F403" s="342"/>
      <c r="G403" s="342"/>
      <c r="H403" s="342"/>
      <c r="I403" s="342"/>
      <c r="J403" s="342"/>
      <c r="L403" s="342"/>
      <c r="M403" s="342"/>
      <c r="R403" s="342"/>
      <c r="AJ403" s="342"/>
      <c r="AL403" s="342"/>
      <c r="AM403" s="342"/>
      <c r="BD403" s="342"/>
    </row>
    <row r="404" spans="4:56" x14ac:dyDescent="0.2">
      <c r="D404" s="342"/>
      <c r="F404" s="342"/>
      <c r="G404" s="342"/>
      <c r="H404" s="342"/>
      <c r="I404" s="342"/>
      <c r="J404" s="342"/>
      <c r="L404" s="342"/>
      <c r="M404" s="342"/>
      <c r="R404" s="342"/>
      <c r="AJ404" s="342"/>
      <c r="AL404" s="342"/>
      <c r="AM404" s="342"/>
      <c r="BD404" s="342"/>
    </row>
    <row r="405" spans="4:56" x14ac:dyDescent="0.2">
      <c r="D405" s="342"/>
      <c r="F405" s="342"/>
      <c r="G405" s="342"/>
      <c r="H405" s="342"/>
      <c r="I405" s="342"/>
      <c r="J405" s="342"/>
      <c r="L405" s="342"/>
      <c r="M405" s="342"/>
      <c r="R405" s="342"/>
      <c r="AJ405" s="342"/>
      <c r="AL405" s="342"/>
      <c r="AM405" s="342"/>
      <c r="BD405" s="342"/>
    </row>
    <row r="406" spans="4:56" x14ac:dyDescent="0.2">
      <c r="D406" s="342"/>
      <c r="F406" s="342"/>
      <c r="G406" s="342"/>
      <c r="H406" s="342"/>
      <c r="I406" s="342"/>
      <c r="J406" s="342"/>
      <c r="L406" s="342"/>
      <c r="M406" s="342"/>
      <c r="R406" s="342"/>
      <c r="AJ406" s="342"/>
      <c r="AL406" s="342"/>
      <c r="AM406" s="342"/>
      <c r="BD406" s="342"/>
    </row>
    <row r="407" spans="4:56" x14ac:dyDescent="0.2">
      <c r="D407" s="342"/>
      <c r="F407" s="342"/>
      <c r="G407" s="342"/>
      <c r="H407" s="342"/>
      <c r="I407" s="342"/>
      <c r="J407" s="342"/>
      <c r="L407" s="342"/>
      <c r="M407" s="342"/>
      <c r="R407" s="342"/>
      <c r="AJ407" s="342"/>
      <c r="AL407" s="342"/>
      <c r="AM407" s="342"/>
      <c r="BD407" s="342"/>
    </row>
    <row r="408" spans="4:56" x14ac:dyDescent="0.2">
      <c r="D408" s="342"/>
      <c r="F408" s="342"/>
      <c r="G408" s="342"/>
      <c r="H408" s="342"/>
      <c r="I408" s="342"/>
      <c r="J408" s="342"/>
      <c r="L408" s="342"/>
      <c r="M408" s="342"/>
      <c r="R408" s="342"/>
      <c r="AJ408" s="342"/>
      <c r="AL408" s="342"/>
      <c r="AM408" s="342"/>
      <c r="BD408" s="342"/>
    </row>
    <row r="409" spans="4:56" x14ac:dyDescent="0.2">
      <c r="D409" s="342"/>
      <c r="F409" s="342"/>
      <c r="G409" s="342"/>
      <c r="H409" s="342"/>
      <c r="I409" s="342"/>
      <c r="J409" s="342"/>
      <c r="L409" s="342"/>
      <c r="M409" s="342"/>
      <c r="R409" s="342"/>
      <c r="AJ409" s="342"/>
      <c r="AL409" s="342"/>
      <c r="AM409" s="342"/>
      <c r="BD409" s="342"/>
    </row>
    <row r="410" spans="4:56" x14ac:dyDescent="0.2">
      <c r="D410" s="342"/>
      <c r="F410" s="342"/>
      <c r="G410" s="342"/>
      <c r="H410" s="342"/>
      <c r="I410" s="342"/>
      <c r="J410" s="342"/>
      <c r="L410" s="342"/>
      <c r="M410" s="342"/>
      <c r="R410" s="342"/>
      <c r="AJ410" s="342"/>
      <c r="AL410" s="342"/>
      <c r="AM410" s="342"/>
      <c r="BD410" s="342"/>
    </row>
    <row r="411" spans="4:56" x14ac:dyDescent="0.2">
      <c r="D411" s="342"/>
      <c r="F411" s="342"/>
      <c r="G411" s="342"/>
      <c r="H411" s="342"/>
      <c r="I411" s="342"/>
      <c r="J411" s="342"/>
      <c r="L411" s="342"/>
      <c r="M411" s="342"/>
      <c r="R411" s="342"/>
      <c r="AJ411" s="342"/>
      <c r="AL411" s="342"/>
      <c r="AM411" s="342"/>
      <c r="BD411" s="342"/>
    </row>
    <row r="412" spans="4:56" x14ac:dyDescent="0.2">
      <c r="D412" s="342"/>
      <c r="F412" s="342"/>
      <c r="G412" s="342"/>
      <c r="H412" s="342"/>
      <c r="I412" s="342"/>
      <c r="J412" s="342"/>
      <c r="L412" s="342"/>
      <c r="M412" s="342"/>
      <c r="R412" s="342"/>
      <c r="AJ412" s="342"/>
      <c r="AL412" s="342"/>
      <c r="AM412" s="342"/>
      <c r="BD412" s="342"/>
    </row>
    <row r="413" spans="4:56" x14ac:dyDescent="0.2">
      <c r="D413" s="342"/>
      <c r="F413" s="342"/>
      <c r="G413" s="342"/>
      <c r="H413" s="342"/>
      <c r="I413" s="342"/>
      <c r="J413" s="342"/>
      <c r="L413" s="342"/>
      <c r="M413" s="342"/>
      <c r="R413" s="342"/>
      <c r="AJ413" s="342"/>
      <c r="AL413" s="342"/>
      <c r="AM413" s="342"/>
      <c r="BD413" s="342"/>
    </row>
    <row r="414" spans="4:56" x14ac:dyDescent="0.2">
      <c r="D414" s="342"/>
      <c r="F414" s="342"/>
      <c r="G414" s="342"/>
      <c r="H414" s="342"/>
      <c r="I414" s="342"/>
      <c r="J414" s="342"/>
      <c r="L414" s="342"/>
      <c r="M414" s="342"/>
      <c r="R414" s="342"/>
      <c r="AJ414" s="342"/>
      <c r="AL414" s="342"/>
      <c r="AM414" s="342"/>
      <c r="BD414" s="342"/>
    </row>
    <row r="415" spans="4:56" x14ac:dyDescent="0.2">
      <c r="D415" s="342"/>
      <c r="F415" s="342"/>
      <c r="G415" s="342"/>
      <c r="H415" s="342"/>
      <c r="I415" s="342"/>
      <c r="J415" s="342"/>
      <c r="L415" s="342"/>
      <c r="M415" s="342"/>
      <c r="R415" s="342"/>
      <c r="AJ415" s="342"/>
      <c r="AL415" s="342"/>
      <c r="AM415" s="342"/>
      <c r="BD415" s="342"/>
    </row>
    <row r="416" spans="4:56" x14ac:dyDescent="0.2">
      <c r="D416" s="342"/>
      <c r="F416" s="342"/>
      <c r="G416" s="342"/>
      <c r="H416" s="342"/>
      <c r="I416" s="342"/>
      <c r="J416" s="342"/>
      <c r="L416" s="342"/>
      <c r="M416" s="342"/>
      <c r="R416" s="342"/>
      <c r="AJ416" s="342"/>
      <c r="AL416" s="342"/>
      <c r="AM416" s="342"/>
      <c r="BD416" s="342"/>
    </row>
    <row r="417" spans="4:56" x14ac:dyDescent="0.2">
      <c r="D417" s="342"/>
      <c r="F417" s="342"/>
      <c r="G417" s="342"/>
      <c r="H417" s="342"/>
      <c r="I417" s="342"/>
      <c r="J417" s="342"/>
      <c r="L417" s="342"/>
      <c r="M417" s="342"/>
      <c r="R417" s="342"/>
      <c r="AJ417" s="342"/>
      <c r="AL417" s="342"/>
      <c r="AM417" s="342"/>
      <c r="BD417" s="342"/>
    </row>
    <row r="418" spans="4:56" x14ac:dyDescent="0.2">
      <c r="D418" s="342"/>
      <c r="F418" s="342"/>
      <c r="G418" s="342"/>
      <c r="H418" s="342"/>
      <c r="I418" s="342"/>
      <c r="J418" s="342"/>
      <c r="L418" s="342"/>
      <c r="M418" s="342"/>
      <c r="R418" s="342"/>
      <c r="AJ418" s="342"/>
      <c r="AL418" s="342"/>
      <c r="AM418" s="342"/>
      <c r="BD418" s="342"/>
    </row>
    <row r="419" spans="4:56" x14ac:dyDescent="0.2">
      <c r="D419" s="342"/>
      <c r="F419" s="342"/>
      <c r="G419" s="342"/>
      <c r="H419" s="342"/>
      <c r="I419" s="342"/>
      <c r="J419" s="342"/>
      <c r="L419" s="342"/>
      <c r="M419" s="342"/>
      <c r="R419" s="342"/>
      <c r="AJ419" s="342"/>
      <c r="AL419" s="342"/>
      <c r="AM419" s="342"/>
      <c r="BD419" s="342"/>
    </row>
    <row r="420" spans="4:56" x14ac:dyDescent="0.2">
      <c r="D420" s="342"/>
      <c r="F420" s="342"/>
      <c r="G420" s="342"/>
      <c r="H420" s="342"/>
      <c r="I420" s="342"/>
      <c r="J420" s="342"/>
      <c r="L420" s="342"/>
      <c r="M420" s="342"/>
      <c r="R420" s="342"/>
      <c r="AJ420" s="342"/>
      <c r="AL420" s="342"/>
      <c r="AM420" s="342"/>
      <c r="BD420" s="342"/>
    </row>
    <row r="421" spans="4:56" x14ac:dyDescent="0.2">
      <c r="D421" s="342"/>
      <c r="F421" s="342"/>
      <c r="G421" s="342"/>
      <c r="H421" s="342"/>
      <c r="I421" s="342"/>
      <c r="J421" s="342"/>
      <c r="L421" s="342"/>
      <c r="M421" s="342"/>
      <c r="R421" s="342"/>
      <c r="AJ421" s="342"/>
      <c r="AL421" s="342"/>
      <c r="AM421" s="342"/>
      <c r="BD421" s="342"/>
    </row>
    <row r="422" spans="4:56" x14ac:dyDescent="0.2">
      <c r="D422" s="342"/>
      <c r="F422" s="342"/>
      <c r="G422" s="342"/>
      <c r="H422" s="342"/>
      <c r="I422" s="342"/>
      <c r="J422" s="342"/>
      <c r="L422" s="342"/>
      <c r="M422" s="342"/>
      <c r="R422" s="342"/>
      <c r="AJ422" s="342"/>
      <c r="AL422" s="342"/>
      <c r="AM422" s="342"/>
      <c r="BD422" s="342"/>
    </row>
    <row r="423" spans="4:56" x14ac:dyDescent="0.2">
      <c r="D423" s="342"/>
      <c r="F423" s="342"/>
      <c r="G423" s="342"/>
      <c r="H423" s="342"/>
      <c r="I423" s="342"/>
      <c r="J423" s="342"/>
      <c r="L423" s="342"/>
      <c r="M423" s="342"/>
      <c r="R423" s="342"/>
      <c r="AJ423" s="342"/>
      <c r="AL423" s="342"/>
      <c r="AM423" s="342"/>
      <c r="BD423" s="342"/>
    </row>
    <row r="424" spans="4:56" x14ac:dyDescent="0.2">
      <c r="D424" s="342"/>
      <c r="F424" s="342"/>
      <c r="G424" s="342"/>
      <c r="H424" s="342"/>
      <c r="I424" s="342"/>
      <c r="J424" s="342"/>
      <c r="L424" s="342"/>
      <c r="M424" s="342"/>
      <c r="R424" s="342"/>
      <c r="AJ424" s="342"/>
      <c r="AL424" s="342"/>
      <c r="AM424" s="342"/>
      <c r="BD424" s="342"/>
    </row>
    <row r="425" spans="4:56" x14ac:dyDescent="0.2">
      <c r="D425" s="342"/>
      <c r="F425" s="342"/>
      <c r="G425" s="342"/>
      <c r="H425" s="342"/>
      <c r="I425" s="342"/>
      <c r="J425" s="342"/>
      <c r="L425" s="342"/>
      <c r="M425" s="342"/>
      <c r="R425" s="342"/>
      <c r="AJ425" s="342"/>
      <c r="AL425" s="342"/>
      <c r="AM425" s="342"/>
      <c r="BD425" s="342"/>
    </row>
    <row r="426" spans="4:56" x14ac:dyDescent="0.2">
      <c r="D426" s="342"/>
      <c r="F426" s="342"/>
      <c r="G426" s="342"/>
      <c r="H426" s="342"/>
      <c r="I426" s="342"/>
      <c r="J426" s="342"/>
      <c r="L426" s="342"/>
      <c r="M426" s="342"/>
      <c r="R426" s="342"/>
      <c r="AJ426" s="342"/>
      <c r="AL426" s="342"/>
      <c r="AM426" s="342"/>
      <c r="BD426" s="342"/>
    </row>
    <row r="427" spans="4:56" x14ac:dyDescent="0.2">
      <c r="D427" s="342"/>
      <c r="F427" s="342"/>
      <c r="G427" s="342"/>
      <c r="H427" s="342"/>
      <c r="I427" s="342"/>
      <c r="J427" s="342"/>
      <c r="L427" s="342"/>
      <c r="M427" s="342"/>
      <c r="R427" s="342"/>
      <c r="AJ427" s="342"/>
      <c r="AL427" s="342"/>
      <c r="AM427" s="342"/>
      <c r="BD427" s="342"/>
    </row>
    <row r="428" spans="4:56" x14ac:dyDescent="0.2">
      <c r="D428" s="342"/>
      <c r="F428" s="342"/>
      <c r="G428" s="342"/>
      <c r="H428" s="342"/>
      <c r="I428" s="342"/>
      <c r="J428" s="342"/>
      <c r="L428" s="342"/>
      <c r="M428" s="342"/>
      <c r="R428" s="342"/>
      <c r="AJ428" s="342"/>
      <c r="AL428" s="342"/>
      <c r="AM428" s="342"/>
      <c r="BD428" s="342"/>
    </row>
    <row r="429" spans="4:56" x14ac:dyDescent="0.2">
      <c r="D429" s="342"/>
      <c r="F429" s="342"/>
      <c r="G429" s="342"/>
      <c r="H429" s="342"/>
      <c r="I429" s="342"/>
      <c r="J429" s="342"/>
      <c r="L429" s="342"/>
      <c r="M429" s="342"/>
      <c r="R429" s="342"/>
      <c r="AJ429" s="342"/>
      <c r="AL429" s="342"/>
      <c r="AM429" s="342"/>
      <c r="BD429" s="342"/>
    </row>
    <row r="430" spans="4:56" x14ac:dyDescent="0.2">
      <c r="D430" s="342"/>
      <c r="F430" s="342"/>
      <c r="G430" s="342"/>
      <c r="H430" s="342"/>
      <c r="I430" s="342"/>
      <c r="J430" s="342"/>
      <c r="L430" s="342"/>
      <c r="M430" s="342"/>
      <c r="R430" s="342"/>
      <c r="AJ430" s="342"/>
      <c r="AL430" s="342"/>
      <c r="AM430" s="342"/>
      <c r="BD430" s="342"/>
    </row>
    <row r="431" spans="4:56" x14ac:dyDescent="0.2">
      <c r="D431" s="342"/>
      <c r="F431" s="342"/>
      <c r="G431" s="342"/>
      <c r="H431" s="342"/>
      <c r="I431" s="342"/>
      <c r="J431" s="342"/>
      <c r="L431" s="342"/>
      <c r="M431" s="342"/>
      <c r="R431" s="342"/>
      <c r="AJ431" s="342"/>
      <c r="AL431" s="342"/>
      <c r="AM431" s="342"/>
      <c r="BD431" s="342"/>
    </row>
    <row r="432" spans="4:56" x14ac:dyDescent="0.2">
      <c r="D432" s="342"/>
      <c r="F432" s="342"/>
      <c r="G432" s="342"/>
      <c r="H432" s="342"/>
      <c r="I432" s="342"/>
      <c r="J432" s="342"/>
      <c r="L432" s="342"/>
      <c r="M432" s="342"/>
      <c r="R432" s="342"/>
      <c r="AJ432" s="342"/>
      <c r="AL432" s="342"/>
      <c r="AM432" s="342"/>
      <c r="BD432" s="342"/>
    </row>
    <row r="433" spans="4:56" x14ac:dyDescent="0.2">
      <c r="D433" s="342"/>
      <c r="F433" s="342"/>
      <c r="G433" s="342"/>
      <c r="H433" s="342"/>
      <c r="I433" s="342"/>
      <c r="J433" s="342"/>
      <c r="L433" s="342"/>
      <c r="M433" s="342"/>
      <c r="R433" s="342"/>
      <c r="AJ433" s="342"/>
      <c r="AL433" s="342"/>
      <c r="AM433" s="342"/>
      <c r="BD433" s="342"/>
    </row>
    <row r="434" spans="4:56" x14ac:dyDescent="0.2">
      <c r="D434" s="342"/>
      <c r="F434" s="342"/>
      <c r="G434" s="342"/>
      <c r="H434" s="342"/>
      <c r="I434" s="342"/>
      <c r="J434" s="342"/>
      <c r="L434" s="342"/>
      <c r="M434" s="342"/>
      <c r="R434" s="342"/>
      <c r="AJ434" s="342"/>
      <c r="AL434" s="342"/>
      <c r="AM434" s="342"/>
      <c r="BD434" s="342"/>
    </row>
    <row r="435" spans="4:56" x14ac:dyDescent="0.2">
      <c r="D435" s="342"/>
      <c r="F435" s="342"/>
      <c r="G435" s="342"/>
      <c r="H435" s="342"/>
      <c r="I435" s="342"/>
      <c r="J435" s="342"/>
      <c r="L435" s="342"/>
      <c r="M435" s="342"/>
      <c r="R435" s="342"/>
      <c r="AJ435" s="342"/>
      <c r="AL435" s="342"/>
      <c r="AM435" s="342"/>
      <c r="BD435" s="342"/>
    </row>
    <row r="436" spans="4:56" x14ac:dyDescent="0.2">
      <c r="D436" s="342"/>
      <c r="F436" s="342"/>
      <c r="G436" s="342"/>
      <c r="H436" s="342"/>
      <c r="I436" s="342"/>
      <c r="J436" s="342"/>
      <c r="L436" s="342"/>
      <c r="M436" s="342"/>
      <c r="R436" s="342"/>
      <c r="AJ436" s="342"/>
      <c r="AL436" s="342"/>
      <c r="AM436" s="342"/>
      <c r="BD436" s="342"/>
    </row>
    <row r="437" spans="4:56" x14ac:dyDescent="0.2">
      <c r="D437" s="342"/>
      <c r="F437" s="342"/>
      <c r="G437" s="342"/>
      <c r="H437" s="342"/>
      <c r="I437" s="342"/>
      <c r="J437" s="342"/>
      <c r="L437" s="342"/>
      <c r="M437" s="342"/>
      <c r="R437" s="342"/>
      <c r="AJ437" s="342"/>
      <c r="AL437" s="342"/>
      <c r="AM437" s="342"/>
      <c r="BD437" s="342"/>
    </row>
    <row r="438" spans="4:56" x14ac:dyDescent="0.2">
      <c r="D438" s="342"/>
      <c r="F438" s="342"/>
      <c r="G438" s="342"/>
      <c r="H438" s="342"/>
      <c r="I438" s="342"/>
      <c r="J438" s="342"/>
      <c r="L438" s="342"/>
      <c r="M438" s="342"/>
      <c r="R438" s="342"/>
      <c r="AJ438" s="342"/>
      <c r="AL438" s="342"/>
      <c r="AM438" s="342"/>
      <c r="BD438" s="342"/>
    </row>
    <row r="439" spans="4:56" x14ac:dyDescent="0.2">
      <c r="D439" s="342"/>
      <c r="F439" s="342"/>
      <c r="G439" s="342"/>
      <c r="H439" s="342"/>
      <c r="I439" s="342"/>
      <c r="J439" s="342"/>
      <c r="L439" s="342"/>
      <c r="M439" s="342"/>
      <c r="R439" s="342"/>
      <c r="AJ439" s="342"/>
      <c r="AL439" s="342"/>
      <c r="AM439" s="342"/>
      <c r="BD439" s="342"/>
    </row>
    <row r="440" spans="4:56" x14ac:dyDescent="0.2">
      <c r="D440" s="342"/>
      <c r="F440" s="342"/>
      <c r="G440" s="342"/>
      <c r="H440" s="342"/>
      <c r="I440" s="342"/>
      <c r="J440" s="342"/>
      <c r="L440" s="342"/>
      <c r="M440" s="342"/>
      <c r="R440" s="342"/>
      <c r="AJ440" s="342"/>
      <c r="AL440" s="342"/>
      <c r="AM440" s="342"/>
      <c r="BD440" s="342"/>
    </row>
    <row r="441" spans="4:56" x14ac:dyDescent="0.2">
      <c r="D441" s="342"/>
      <c r="F441" s="342"/>
      <c r="G441" s="342"/>
      <c r="H441" s="342"/>
      <c r="I441" s="342"/>
      <c r="J441" s="342"/>
      <c r="L441" s="342"/>
      <c r="M441" s="342"/>
      <c r="R441" s="342"/>
      <c r="AJ441" s="342"/>
      <c r="AL441" s="342"/>
      <c r="AM441" s="342"/>
      <c r="BD441" s="342"/>
    </row>
    <row r="442" spans="4:56" x14ac:dyDescent="0.2">
      <c r="D442" s="342"/>
      <c r="F442" s="342"/>
      <c r="G442" s="342"/>
      <c r="H442" s="342"/>
      <c r="I442" s="342"/>
      <c r="J442" s="342"/>
      <c r="L442" s="342"/>
      <c r="M442" s="342"/>
      <c r="R442" s="342"/>
      <c r="AJ442" s="342"/>
      <c r="AL442" s="342"/>
      <c r="AM442" s="342"/>
      <c r="BD442" s="342"/>
    </row>
    <row r="443" spans="4:56" x14ac:dyDescent="0.2">
      <c r="D443" s="342"/>
      <c r="F443" s="342"/>
      <c r="G443" s="342"/>
      <c r="H443" s="342"/>
      <c r="I443" s="342"/>
      <c r="J443" s="342"/>
      <c r="L443" s="342"/>
      <c r="M443" s="342"/>
      <c r="R443" s="342"/>
      <c r="AJ443" s="342"/>
      <c r="AL443" s="342"/>
      <c r="AM443" s="342"/>
      <c r="BD443" s="342"/>
    </row>
    <row r="444" spans="4:56" x14ac:dyDescent="0.2">
      <c r="D444" s="342"/>
      <c r="F444" s="342"/>
      <c r="G444" s="342"/>
      <c r="H444" s="342"/>
      <c r="I444" s="342"/>
      <c r="J444" s="342"/>
      <c r="L444" s="342"/>
      <c r="M444" s="342"/>
      <c r="R444" s="342"/>
      <c r="AJ444" s="342"/>
      <c r="AL444" s="342"/>
      <c r="AM444" s="342"/>
      <c r="BD444" s="342"/>
    </row>
    <row r="445" spans="4:56" x14ac:dyDescent="0.2">
      <c r="D445" s="342"/>
      <c r="F445" s="342"/>
      <c r="G445" s="342"/>
      <c r="H445" s="342"/>
      <c r="I445" s="342"/>
      <c r="J445" s="342"/>
      <c r="L445" s="342"/>
      <c r="M445" s="342"/>
      <c r="R445" s="342"/>
      <c r="AJ445" s="342"/>
      <c r="AL445" s="342"/>
      <c r="AM445" s="342"/>
      <c r="BD445" s="342"/>
    </row>
    <row r="446" spans="4:56" x14ac:dyDescent="0.2">
      <c r="D446" s="342"/>
      <c r="F446" s="342"/>
      <c r="G446" s="342"/>
      <c r="H446" s="342"/>
      <c r="I446" s="342"/>
      <c r="J446" s="342"/>
      <c r="L446" s="342"/>
      <c r="M446" s="342"/>
      <c r="R446" s="342"/>
      <c r="AJ446" s="342"/>
      <c r="AL446" s="342"/>
      <c r="AM446" s="342"/>
      <c r="BD446" s="342"/>
    </row>
    <row r="447" spans="4:56" x14ac:dyDescent="0.2">
      <c r="D447" s="342"/>
      <c r="F447" s="342"/>
      <c r="G447" s="342"/>
      <c r="H447" s="342"/>
      <c r="I447" s="342"/>
      <c r="J447" s="342"/>
      <c r="L447" s="342"/>
      <c r="M447" s="342"/>
      <c r="R447" s="342"/>
      <c r="AJ447" s="342"/>
      <c r="AL447" s="342"/>
      <c r="AM447" s="342"/>
      <c r="BD447" s="342"/>
    </row>
    <row r="448" spans="4:56" x14ac:dyDescent="0.2">
      <c r="D448" s="342"/>
      <c r="F448" s="342"/>
      <c r="G448" s="342"/>
      <c r="H448" s="342"/>
      <c r="I448" s="342"/>
      <c r="J448" s="342"/>
      <c r="L448" s="342"/>
      <c r="M448" s="342"/>
      <c r="R448" s="342"/>
      <c r="AJ448" s="342"/>
      <c r="AL448" s="342"/>
      <c r="AM448" s="342"/>
      <c r="BD448" s="342"/>
    </row>
    <row r="449" spans="4:56" x14ac:dyDescent="0.2">
      <c r="D449" s="342"/>
      <c r="F449" s="342"/>
      <c r="G449" s="342"/>
      <c r="H449" s="342"/>
      <c r="I449" s="342"/>
      <c r="J449" s="342"/>
      <c r="L449" s="342"/>
      <c r="M449" s="342"/>
      <c r="R449" s="342"/>
      <c r="AJ449" s="342"/>
      <c r="AL449" s="342"/>
      <c r="AM449" s="342"/>
      <c r="BD449" s="342"/>
    </row>
    <row r="450" spans="4:56" x14ac:dyDescent="0.2">
      <c r="D450" s="342"/>
      <c r="F450" s="342"/>
      <c r="G450" s="342"/>
      <c r="H450" s="342"/>
      <c r="I450" s="342"/>
      <c r="J450" s="342"/>
      <c r="L450" s="342"/>
      <c r="M450" s="342"/>
      <c r="R450" s="342"/>
      <c r="AJ450" s="342"/>
      <c r="AL450" s="342"/>
      <c r="AM450" s="342"/>
      <c r="BD450" s="342"/>
    </row>
    <row r="451" spans="4:56" x14ac:dyDescent="0.2">
      <c r="D451" s="342"/>
      <c r="F451" s="342"/>
      <c r="G451" s="342"/>
      <c r="H451" s="342"/>
      <c r="I451" s="342"/>
      <c r="J451" s="342"/>
      <c r="L451" s="342"/>
      <c r="M451" s="342"/>
      <c r="R451" s="342"/>
      <c r="AJ451" s="342"/>
      <c r="AL451" s="342"/>
      <c r="AM451" s="342"/>
      <c r="BD451" s="342"/>
    </row>
    <row r="452" spans="4:56" x14ac:dyDescent="0.2">
      <c r="D452" s="342"/>
      <c r="F452" s="342"/>
      <c r="G452" s="342"/>
      <c r="H452" s="342"/>
      <c r="I452" s="342"/>
      <c r="J452" s="342"/>
      <c r="L452" s="342"/>
      <c r="M452" s="342"/>
      <c r="R452" s="342"/>
      <c r="AJ452" s="342"/>
      <c r="AL452" s="342"/>
      <c r="AM452" s="342"/>
      <c r="BD452" s="342"/>
    </row>
    <row r="453" spans="4:56" x14ac:dyDescent="0.2">
      <c r="D453" s="342"/>
      <c r="F453" s="342"/>
      <c r="G453" s="342"/>
      <c r="H453" s="342"/>
      <c r="I453" s="342"/>
      <c r="J453" s="342"/>
      <c r="L453" s="342"/>
      <c r="M453" s="342"/>
      <c r="R453" s="342"/>
      <c r="AJ453" s="342"/>
      <c r="AL453" s="342"/>
      <c r="AM453" s="342"/>
      <c r="BD453" s="342"/>
    </row>
    <row r="454" spans="4:56" x14ac:dyDescent="0.2">
      <c r="D454" s="342"/>
      <c r="F454" s="342"/>
      <c r="G454" s="342"/>
      <c r="H454" s="342"/>
      <c r="I454" s="342"/>
      <c r="J454" s="342"/>
      <c r="L454" s="342"/>
      <c r="M454" s="342"/>
      <c r="R454" s="342"/>
      <c r="AJ454" s="342"/>
      <c r="AL454" s="342"/>
      <c r="AM454" s="342"/>
      <c r="BD454" s="342"/>
    </row>
    <row r="455" spans="4:56" x14ac:dyDescent="0.2">
      <c r="D455" s="342"/>
      <c r="F455" s="342"/>
      <c r="G455" s="342"/>
      <c r="H455" s="342"/>
      <c r="I455" s="342"/>
      <c r="J455" s="342"/>
      <c r="L455" s="342"/>
      <c r="M455" s="342"/>
      <c r="R455" s="342"/>
      <c r="AJ455" s="342"/>
      <c r="AL455" s="342"/>
      <c r="AM455" s="342"/>
      <c r="BD455" s="342"/>
    </row>
    <row r="456" spans="4:56" x14ac:dyDescent="0.2">
      <c r="D456" s="342"/>
      <c r="F456" s="342"/>
      <c r="G456" s="342"/>
      <c r="H456" s="342"/>
      <c r="I456" s="342"/>
      <c r="J456" s="342"/>
      <c r="L456" s="342"/>
      <c r="M456" s="342"/>
      <c r="R456" s="342"/>
      <c r="AJ456" s="342"/>
      <c r="AL456" s="342"/>
      <c r="AM456" s="342"/>
      <c r="BD456" s="342"/>
    </row>
    <row r="457" spans="4:56" x14ac:dyDescent="0.2">
      <c r="D457" s="342"/>
      <c r="F457" s="342"/>
      <c r="G457" s="342"/>
      <c r="H457" s="342"/>
      <c r="I457" s="342"/>
      <c r="J457" s="342"/>
      <c r="L457" s="342"/>
      <c r="M457" s="342"/>
      <c r="R457" s="342"/>
      <c r="AJ457" s="342"/>
      <c r="AL457" s="342"/>
      <c r="AM457" s="342"/>
      <c r="BD457" s="342"/>
    </row>
    <row r="458" spans="4:56" x14ac:dyDescent="0.2">
      <c r="D458" s="342"/>
      <c r="F458" s="342"/>
      <c r="G458" s="342"/>
      <c r="H458" s="342"/>
      <c r="I458" s="342"/>
      <c r="J458" s="342"/>
      <c r="L458" s="342"/>
      <c r="M458" s="342"/>
      <c r="R458" s="342"/>
      <c r="AJ458" s="342"/>
      <c r="AL458" s="342"/>
      <c r="AM458" s="342"/>
      <c r="BD458" s="342"/>
    </row>
    <row r="459" spans="4:56" x14ac:dyDescent="0.2">
      <c r="D459" s="342"/>
      <c r="F459" s="342"/>
      <c r="G459" s="342"/>
      <c r="H459" s="342"/>
      <c r="I459" s="342"/>
      <c r="J459" s="342"/>
      <c r="L459" s="342"/>
      <c r="M459" s="342"/>
      <c r="R459" s="342"/>
      <c r="AJ459" s="342"/>
      <c r="AL459" s="342"/>
      <c r="AM459" s="342"/>
      <c r="BD459" s="342"/>
    </row>
    <row r="460" spans="4:56" x14ac:dyDescent="0.2">
      <c r="D460" s="342"/>
      <c r="F460" s="342"/>
      <c r="G460" s="342"/>
      <c r="H460" s="342"/>
      <c r="I460" s="342"/>
      <c r="J460" s="342"/>
      <c r="L460" s="342"/>
      <c r="M460" s="342"/>
      <c r="R460" s="342"/>
      <c r="AJ460" s="342"/>
      <c r="AL460" s="342"/>
      <c r="AM460" s="342"/>
      <c r="BD460" s="342"/>
    </row>
    <row r="461" spans="4:56" x14ac:dyDescent="0.2">
      <c r="D461" s="342"/>
      <c r="F461" s="342"/>
      <c r="G461" s="342"/>
      <c r="H461" s="342"/>
      <c r="I461" s="342"/>
      <c r="J461" s="342"/>
      <c r="L461" s="342"/>
      <c r="M461" s="342"/>
      <c r="R461" s="342"/>
      <c r="AJ461" s="342"/>
      <c r="AL461" s="342"/>
      <c r="AM461" s="342"/>
      <c r="BD461" s="342"/>
    </row>
    <row r="462" spans="4:56" x14ac:dyDescent="0.2">
      <c r="D462" s="342"/>
      <c r="F462" s="342"/>
      <c r="G462" s="342"/>
      <c r="H462" s="342"/>
      <c r="I462" s="342"/>
      <c r="J462" s="342"/>
      <c r="L462" s="342"/>
      <c r="M462" s="342"/>
      <c r="R462" s="342"/>
      <c r="AJ462" s="342"/>
      <c r="AL462" s="342"/>
      <c r="AM462" s="342"/>
      <c r="BD462" s="342"/>
    </row>
    <row r="463" spans="4:56" x14ac:dyDescent="0.2">
      <c r="D463" s="342"/>
      <c r="F463" s="342"/>
      <c r="G463" s="342"/>
      <c r="H463" s="342"/>
      <c r="I463" s="342"/>
      <c r="J463" s="342"/>
      <c r="L463" s="342"/>
      <c r="M463" s="342"/>
      <c r="R463" s="342"/>
      <c r="AJ463" s="342"/>
      <c r="AL463" s="342"/>
      <c r="AM463" s="342"/>
      <c r="BD463" s="342"/>
    </row>
    <row r="464" spans="4:56" x14ac:dyDescent="0.2">
      <c r="D464" s="342"/>
      <c r="F464" s="342"/>
      <c r="G464" s="342"/>
      <c r="H464" s="342"/>
      <c r="I464" s="342"/>
      <c r="J464" s="342"/>
      <c r="L464" s="342"/>
      <c r="M464" s="342"/>
      <c r="R464" s="342"/>
      <c r="AJ464" s="342"/>
      <c r="AL464" s="342"/>
      <c r="AM464" s="342"/>
      <c r="BD464" s="342"/>
    </row>
    <row r="465" spans="4:56" x14ac:dyDescent="0.2">
      <c r="D465" s="342"/>
      <c r="F465" s="342"/>
      <c r="G465" s="342"/>
      <c r="H465" s="342"/>
      <c r="I465" s="342"/>
      <c r="J465" s="342"/>
      <c r="L465" s="342"/>
      <c r="M465" s="342"/>
      <c r="R465" s="342"/>
      <c r="AJ465" s="342"/>
      <c r="AL465" s="342"/>
      <c r="AM465" s="342"/>
      <c r="BD465" s="342"/>
    </row>
    <row r="466" spans="4:56" x14ac:dyDescent="0.2">
      <c r="D466" s="342"/>
      <c r="F466" s="342"/>
      <c r="G466" s="342"/>
      <c r="H466" s="342"/>
      <c r="I466" s="342"/>
      <c r="J466" s="342"/>
      <c r="L466" s="342"/>
      <c r="M466" s="342"/>
      <c r="R466" s="342"/>
      <c r="AJ466" s="342"/>
      <c r="AL466" s="342"/>
      <c r="AM466" s="342"/>
      <c r="BD466" s="342"/>
    </row>
    <row r="467" spans="4:56" x14ac:dyDescent="0.2">
      <c r="D467" s="342"/>
      <c r="F467" s="342"/>
      <c r="G467" s="342"/>
      <c r="H467" s="342"/>
      <c r="I467" s="342"/>
      <c r="J467" s="342"/>
      <c r="L467" s="342"/>
      <c r="M467" s="342"/>
      <c r="R467" s="342"/>
      <c r="AJ467" s="342"/>
      <c r="AL467" s="342"/>
      <c r="AM467" s="342"/>
      <c r="BD467" s="342"/>
    </row>
    <row r="468" spans="4:56" x14ac:dyDescent="0.2">
      <c r="D468" s="342"/>
      <c r="F468" s="342"/>
      <c r="G468" s="342"/>
      <c r="H468" s="342"/>
      <c r="I468" s="342"/>
      <c r="J468" s="342"/>
      <c r="L468" s="342"/>
      <c r="M468" s="342"/>
      <c r="R468" s="342"/>
      <c r="AJ468" s="342"/>
      <c r="AL468" s="342"/>
      <c r="AM468" s="342"/>
      <c r="BD468" s="342"/>
    </row>
    <row r="469" spans="4:56" x14ac:dyDescent="0.2">
      <c r="D469" s="342"/>
      <c r="F469" s="342"/>
      <c r="G469" s="342"/>
      <c r="H469" s="342"/>
      <c r="I469" s="342"/>
      <c r="J469" s="342"/>
      <c r="L469" s="342"/>
      <c r="M469" s="342"/>
      <c r="R469" s="342"/>
      <c r="AJ469" s="342"/>
      <c r="AL469" s="342"/>
      <c r="AM469" s="342"/>
      <c r="BD469" s="342"/>
    </row>
    <row r="470" spans="4:56" x14ac:dyDescent="0.2">
      <c r="D470" s="342"/>
      <c r="F470" s="342"/>
      <c r="G470" s="342"/>
      <c r="H470" s="342"/>
      <c r="I470" s="342"/>
      <c r="J470" s="342"/>
      <c r="L470" s="342"/>
      <c r="M470" s="342"/>
      <c r="R470" s="342"/>
      <c r="AJ470" s="342"/>
      <c r="AL470" s="342"/>
      <c r="AM470" s="342"/>
      <c r="BD470" s="342"/>
    </row>
    <row r="471" spans="4:56" x14ac:dyDescent="0.2">
      <c r="D471" s="342"/>
      <c r="F471" s="342"/>
      <c r="G471" s="342"/>
      <c r="H471" s="342"/>
      <c r="I471" s="342"/>
      <c r="J471" s="342"/>
      <c r="L471" s="342"/>
      <c r="M471" s="342"/>
      <c r="R471" s="342"/>
      <c r="AJ471" s="342"/>
      <c r="AL471" s="342"/>
      <c r="AM471" s="342"/>
      <c r="BD471" s="342"/>
    </row>
    <row r="472" spans="4:56" x14ac:dyDescent="0.2">
      <c r="D472" s="342"/>
      <c r="F472" s="342"/>
      <c r="G472" s="342"/>
      <c r="H472" s="342"/>
      <c r="I472" s="342"/>
      <c r="J472" s="342"/>
      <c r="L472" s="342"/>
      <c r="M472" s="342"/>
      <c r="R472" s="342"/>
      <c r="AJ472" s="342"/>
      <c r="AL472" s="342"/>
      <c r="AM472" s="342"/>
      <c r="BD472" s="342"/>
    </row>
    <row r="473" spans="4:56" x14ac:dyDescent="0.2">
      <c r="D473" s="342"/>
      <c r="F473" s="342"/>
      <c r="G473" s="342"/>
      <c r="H473" s="342"/>
      <c r="I473" s="342"/>
      <c r="J473" s="342"/>
      <c r="L473" s="342"/>
      <c r="M473" s="342"/>
      <c r="R473" s="342"/>
      <c r="AJ473" s="342"/>
      <c r="AL473" s="342"/>
      <c r="AM473" s="342"/>
      <c r="BD473" s="342"/>
    </row>
    <row r="474" spans="4:56" x14ac:dyDescent="0.2">
      <c r="D474" s="342"/>
      <c r="F474" s="342"/>
      <c r="G474" s="342"/>
      <c r="H474" s="342"/>
      <c r="I474" s="342"/>
      <c r="J474" s="342"/>
      <c r="L474" s="342"/>
      <c r="M474" s="342"/>
      <c r="R474" s="342"/>
      <c r="AJ474" s="342"/>
      <c r="AL474" s="342"/>
      <c r="AM474" s="342"/>
      <c r="BD474" s="342"/>
    </row>
    <row r="475" spans="4:56" x14ac:dyDescent="0.2">
      <c r="D475" s="342"/>
      <c r="F475" s="342"/>
      <c r="G475" s="342"/>
      <c r="H475" s="342"/>
      <c r="I475" s="342"/>
      <c r="J475" s="342"/>
      <c r="L475" s="342"/>
      <c r="M475" s="342"/>
      <c r="R475" s="342"/>
      <c r="AJ475" s="342"/>
      <c r="AL475" s="342"/>
      <c r="AM475" s="342"/>
      <c r="BD475" s="342"/>
    </row>
    <row r="476" spans="4:56" x14ac:dyDescent="0.2">
      <c r="D476" s="342"/>
      <c r="F476" s="342"/>
      <c r="G476" s="342"/>
      <c r="H476" s="342"/>
      <c r="I476" s="342"/>
      <c r="J476" s="342"/>
      <c r="L476" s="342"/>
      <c r="M476" s="342"/>
      <c r="R476" s="342"/>
      <c r="AJ476" s="342"/>
      <c r="AL476" s="342"/>
      <c r="AM476" s="342"/>
      <c r="BD476" s="342"/>
    </row>
    <row r="477" spans="4:56" x14ac:dyDescent="0.2">
      <c r="D477" s="342"/>
      <c r="F477" s="342"/>
      <c r="G477" s="342"/>
      <c r="H477" s="342"/>
      <c r="I477" s="342"/>
      <c r="J477" s="342"/>
      <c r="L477" s="342"/>
      <c r="M477" s="342"/>
      <c r="R477" s="342"/>
      <c r="AJ477" s="342"/>
      <c r="AL477" s="342"/>
      <c r="AM477" s="342"/>
      <c r="BD477" s="342"/>
    </row>
    <row r="478" spans="4:56" x14ac:dyDescent="0.2">
      <c r="D478" s="342"/>
      <c r="F478" s="342"/>
      <c r="G478" s="342"/>
      <c r="H478" s="342"/>
      <c r="I478" s="342"/>
      <c r="J478" s="342"/>
      <c r="L478" s="342"/>
      <c r="M478" s="342"/>
      <c r="R478" s="342"/>
      <c r="AJ478" s="342"/>
      <c r="AL478" s="342"/>
      <c r="AM478" s="342"/>
      <c r="BD478" s="342"/>
    </row>
    <row r="479" spans="4:56" x14ac:dyDescent="0.2">
      <c r="D479" s="342"/>
      <c r="F479" s="342"/>
      <c r="G479" s="342"/>
      <c r="H479" s="342"/>
      <c r="I479" s="342"/>
      <c r="J479" s="342"/>
      <c r="L479" s="342"/>
      <c r="M479" s="342"/>
      <c r="R479" s="342"/>
      <c r="AJ479" s="342"/>
      <c r="AL479" s="342"/>
      <c r="AM479" s="342"/>
      <c r="BD479" s="342"/>
    </row>
    <row r="480" spans="4:56" x14ac:dyDescent="0.2">
      <c r="D480" s="342"/>
      <c r="F480" s="342"/>
      <c r="G480" s="342"/>
      <c r="H480" s="342"/>
      <c r="I480" s="342"/>
      <c r="J480" s="342"/>
      <c r="L480" s="342"/>
      <c r="M480" s="342"/>
      <c r="R480" s="342"/>
      <c r="AJ480" s="342"/>
      <c r="AL480" s="342"/>
      <c r="AM480" s="342"/>
      <c r="BD480" s="342"/>
    </row>
    <row r="481" spans="4:56" x14ac:dyDescent="0.2">
      <c r="D481" s="342"/>
      <c r="F481" s="342"/>
      <c r="G481" s="342"/>
      <c r="H481" s="342"/>
      <c r="I481" s="342"/>
      <c r="J481" s="342"/>
      <c r="L481" s="342"/>
      <c r="M481" s="342"/>
      <c r="R481" s="342"/>
      <c r="AJ481" s="342"/>
      <c r="AL481" s="342"/>
      <c r="AM481" s="342"/>
      <c r="BD481" s="342"/>
    </row>
    <row r="482" spans="4:56" x14ac:dyDescent="0.2">
      <c r="D482" s="342"/>
      <c r="F482" s="342"/>
      <c r="G482" s="342"/>
      <c r="H482" s="342"/>
      <c r="I482" s="342"/>
      <c r="J482" s="342"/>
      <c r="L482" s="342"/>
      <c r="M482" s="342"/>
      <c r="R482" s="342"/>
      <c r="AJ482" s="342"/>
      <c r="AL482" s="342"/>
      <c r="AM482" s="342"/>
      <c r="BD482" s="342"/>
    </row>
    <row r="483" spans="4:56" x14ac:dyDescent="0.2">
      <c r="D483" s="342"/>
      <c r="F483" s="342"/>
      <c r="G483" s="342"/>
      <c r="H483" s="342"/>
      <c r="I483" s="342"/>
      <c r="J483" s="342"/>
      <c r="L483" s="342"/>
      <c r="M483" s="342"/>
      <c r="R483" s="342"/>
      <c r="AJ483" s="342"/>
      <c r="AL483" s="342"/>
      <c r="AM483" s="342"/>
      <c r="BD483" s="342"/>
    </row>
    <row r="484" spans="4:56" x14ac:dyDescent="0.2">
      <c r="D484" s="342"/>
      <c r="F484" s="342"/>
      <c r="G484" s="342"/>
      <c r="H484" s="342"/>
      <c r="I484" s="342"/>
      <c r="J484" s="342"/>
      <c r="L484" s="342"/>
      <c r="M484" s="342"/>
      <c r="R484" s="342"/>
      <c r="AJ484" s="342"/>
      <c r="AL484" s="342"/>
      <c r="AM484" s="342"/>
      <c r="BD484" s="342"/>
    </row>
    <row r="485" spans="4:56" x14ac:dyDescent="0.2">
      <c r="D485" s="342"/>
      <c r="F485" s="342"/>
      <c r="G485" s="342"/>
      <c r="H485" s="342"/>
      <c r="I485" s="342"/>
      <c r="J485" s="342"/>
      <c r="L485" s="342"/>
      <c r="M485" s="342"/>
      <c r="R485" s="342"/>
      <c r="AJ485" s="342"/>
      <c r="AL485" s="342"/>
      <c r="AM485" s="342"/>
      <c r="BD485" s="342"/>
    </row>
    <row r="486" spans="4:56" x14ac:dyDescent="0.2">
      <c r="D486" s="342"/>
      <c r="F486" s="342"/>
      <c r="G486" s="342"/>
      <c r="H486" s="342"/>
      <c r="I486" s="342"/>
      <c r="J486" s="342"/>
      <c r="L486" s="342"/>
      <c r="M486" s="342"/>
      <c r="R486" s="342"/>
      <c r="AJ486" s="342"/>
      <c r="AL486" s="342"/>
      <c r="AM486" s="342"/>
      <c r="BD486" s="342"/>
    </row>
    <row r="487" spans="4:56" x14ac:dyDescent="0.2">
      <c r="D487" s="342"/>
      <c r="F487" s="342"/>
      <c r="G487" s="342"/>
      <c r="H487" s="342"/>
      <c r="I487" s="342"/>
      <c r="J487" s="342"/>
      <c r="L487" s="342"/>
      <c r="M487" s="342"/>
      <c r="R487" s="342"/>
      <c r="AJ487" s="342"/>
      <c r="AL487" s="342"/>
      <c r="AM487" s="342"/>
      <c r="BD487" s="342"/>
    </row>
    <row r="488" spans="4:56" x14ac:dyDescent="0.2">
      <c r="D488" s="342"/>
      <c r="F488" s="342"/>
      <c r="G488" s="342"/>
      <c r="H488" s="342"/>
      <c r="I488" s="342"/>
      <c r="J488" s="342"/>
      <c r="L488" s="342"/>
      <c r="M488" s="342"/>
      <c r="R488" s="342"/>
      <c r="AJ488" s="342"/>
      <c r="AL488" s="342"/>
      <c r="AM488" s="342"/>
      <c r="BD488" s="342"/>
    </row>
    <row r="489" spans="4:56" x14ac:dyDescent="0.2">
      <c r="D489" s="342"/>
      <c r="F489" s="342"/>
      <c r="G489" s="342"/>
      <c r="H489" s="342"/>
      <c r="I489" s="342"/>
      <c r="J489" s="342"/>
      <c r="L489" s="342"/>
      <c r="M489" s="342"/>
      <c r="R489" s="342"/>
      <c r="AJ489" s="342"/>
      <c r="AL489" s="342"/>
      <c r="AM489" s="342"/>
      <c r="BD489" s="342"/>
    </row>
    <row r="490" spans="4:56" x14ac:dyDescent="0.2">
      <c r="D490" s="342"/>
      <c r="F490" s="342"/>
      <c r="G490" s="342"/>
      <c r="H490" s="342"/>
      <c r="I490" s="342"/>
      <c r="J490" s="342"/>
      <c r="L490" s="342"/>
      <c r="M490" s="342"/>
      <c r="R490" s="342"/>
      <c r="AJ490" s="342"/>
      <c r="AL490" s="342"/>
      <c r="AM490" s="342"/>
      <c r="BD490" s="342"/>
    </row>
    <row r="491" spans="4:56" x14ac:dyDescent="0.2">
      <c r="D491" s="342"/>
      <c r="F491" s="342"/>
      <c r="G491" s="342"/>
      <c r="H491" s="342"/>
      <c r="I491" s="342"/>
      <c r="J491" s="342"/>
      <c r="L491" s="342"/>
      <c r="M491" s="342"/>
      <c r="R491" s="342"/>
      <c r="AJ491" s="342"/>
      <c r="AL491" s="342"/>
      <c r="AM491" s="342"/>
      <c r="BD491" s="342"/>
    </row>
    <row r="492" spans="4:56" x14ac:dyDescent="0.2">
      <c r="D492" s="342"/>
      <c r="F492" s="342"/>
      <c r="G492" s="342"/>
      <c r="H492" s="342"/>
      <c r="I492" s="342"/>
      <c r="J492" s="342"/>
      <c r="L492" s="342"/>
      <c r="M492" s="342"/>
      <c r="R492" s="342"/>
      <c r="AJ492" s="342"/>
      <c r="AL492" s="342"/>
      <c r="AM492" s="342"/>
      <c r="BD492" s="342"/>
    </row>
    <row r="493" spans="4:56" x14ac:dyDescent="0.2">
      <c r="D493" s="342"/>
      <c r="F493" s="342"/>
      <c r="G493" s="342"/>
      <c r="H493" s="342"/>
      <c r="I493" s="342"/>
      <c r="J493" s="342"/>
      <c r="L493" s="342"/>
      <c r="M493" s="342"/>
      <c r="R493" s="342"/>
      <c r="AJ493" s="342"/>
      <c r="AL493" s="342"/>
      <c r="AM493" s="342"/>
      <c r="BD493" s="342"/>
    </row>
    <row r="494" spans="4:56" x14ac:dyDescent="0.2">
      <c r="D494" s="342"/>
      <c r="F494" s="342"/>
      <c r="G494" s="342"/>
      <c r="H494" s="342"/>
      <c r="I494" s="342"/>
      <c r="J494" s="342"/>
      <c r="L494" s="342"/>
      <c r="M494" s="342"/>
      <c r="R494" s="342"/>
      <c r="AJ494" s="342"/>
      <c r="AL494" s="342"/>
      <c r="AM494" s="342"/>
      <c r="BD494" s="342"/>
    </row>
    <row r="495" spans="4:56" x14ac:dyDescent="0.2">
      <c r="D495" s="342"/>
      <c r="F495" s="342"/>
      <c r="G495" s="342"/>
      <c r="H495" s="342"/>
      <c r="I495" s="342"/>
      <c r="J495" s="342"/>
      <c r="L495" s="342"/>
      <c r="M495" s="342"/>
      <c r="R495" s="342"/>
      <c r="AJ495" s="342"/>
      <c r="AL495" s="342"/>
      <c r="AM495" s="342"/>
      <c r="BD495" s="342"/>
    </row>
    <row r="496" spans="4:56" x14ac:dyDescent="0.2">
      <c r="D496" s="342"/>
      <c r="F496" s="342"/>
      <c r="G496" s="342"/>
      <c r="H496" s="342"/>
      <c r="I496" s="342"/>
      <c r="J496" s="342"/>
      <c r="L496" s="342"/>
      <c r="M496" s="342"/>
      <c r="R496" s="342"/>
      <c r="AJ496" s="342"/>
      <c r="AL496" s="342"/>
      <c r="AM496" s="342"/>
      <c r="BD496" s="342"/>
    </row>
    <row r="497" spans="4:56" x14ac:dyDescent="0.2">
      <c r="D497" s="342"/>
      <c r="F497" s="342"/>
      <c r="G497" s="342"/>
      <c r="H497" s="342"/>
      <c r="I497" s="342"/>
      <c r="J497" s="342"/>
      <c r="L497" s="342"/>
      <c r="M497" s="342"/>
      <c r="R497" s="342"/>
      <c r="AJ497" s="342"/>
      <c r="AL497" s="342"/>
      <c r="AM497" s="342"/>
      <c r="BD497" s="342"/>
    </row>
    <row r="498" spans="4:56" x14ac:dyDescent="0.2">
      <c r="D498" s="342"/>
      <c r="F498" s="342"/>
      <c r="G498" s="342"/>
      <c r="H498" s="342"/>
      <c r="I498" s="342"/>
      <c r="J498" s="342"/>
      <c r="L498" s="342"/>
      <c r="M498" s="342"/>
      <c r="R498" s="342"/>
      <c r="AJ498" s="342"/>
      <c r="AL498" s="342"/>
      <c r="AM498" s="342"/>
      <c r="BD498" s="342"/>
    </row>
    <row r="499" spans="4:56" x14ac:dyDescent="0.2">
      <c r="D499" s="342"/>
      <c r="F499" s="342"/>
      <c r="G499" s="342"/>
      <c r="H499" s="342"/>
      <c r="I499" s="342"/>
      <c r="J499" s="342"/>
      <c r="L499" s="342"/>
      <c r="M499" s="342"/>
      <c r="R499" s="342"/>
      <c r="AJ499" s="342"/>
      <c r="AL499" s="342"/>
      <c r="AM499" s="342"/>
      <c r="BD499" s="342"/>
    </row>
    <row r="500" spans="4:56" x14ac:dyDescent="0.2">
      <c r="D500" s="342"/>
      <c r="F500" s="342"/>
      <c r="G500" s="342"/>
      <c r="H500" s="342"/>
      <c r="I500" s="342"/>
      <c r="J500" s="342"/>
      <c r="L500" s="342"/>
      <c r="M500" s="342"/>
      <c r="R500" s="342"/>
      <c r="AJ500" s="342"/>
      <c r="AL500" s="342"/>
      <c r="AM500" s="342"/>
      <c r="BD500" s="342"/>
    </row>
    <row r="501" spans="4:56" x14ac:dyDescent="0.2">
      <c r="D501" s="342"/>
      <c r="F501" s="342"/>
      <c r="G501" s="342"/>
      <c r="H501" s="342"/>
      <c r="I501" s="342"/>
      <c r="J501" s="342"/>
      <c r="L501" s="342"/>
      <c r="M501" s="342"/>
      <c r="R501" s="342"/>
      <c r="AJ501" s="342"/>
      <c r="AL501" s="342"/>
      <c r="AM501" s="342"/>
      <c r="BD501" s="342"/>
    </row>
    <row r="502" spans="4:56" x14ac:dyDescent="0.2">
      <c r="D502" s="342"/>
      <c r="F502" s="342"/>
      <c r="G502" s="342"/>
      <c r="H502" s="342"/>
      <c r="I502" s="342"/>
      <c r="J502" s="342"/>
      <c r="L502" s="342"/>
      <c r="M502" s="342"/>
      <c r="R502" s="342"/>
      <c r="AJ502" s="342"/>
      <c r="AL502" s="342"/>
      <c r="AM502" s="342"/>
      <c r="BD502" s="342"/>
    </row>
    <row r="503" spans="4:56" x14ac:dyDescent="0.2">
      <c r="D503" s="342"/>
      <c r="F503" s="342"/>
      <c r="G503" s="342"/>
      <c r="H503" s="342"/>
      <c r="I503" s="342"/>
      <c r="J503" s="342"/>
      <c r="L503" s="342"/>
      <c r="M503" s="342"/>
      <c r="R503" s="342"/>
      <c r="AJ503" s="342"/>
      <c r="AL503" s="342"/>
      <c r="AM503" s="342"/>
      <c r="BD503" s="342"/>
    </row>
    <row r="504" spans="4:56" x14ac:dyDescent="0.2">
      <c r="D504" s="342"/>
      <c r="F504" s="342"/>
      <c r="G504" s="342"/>
      <c r="H504" s="342"/>
      <c r="I504" s="342"/>
      <c r="J504" s="342"/>
      <c r="L504" s="342"/>
      <c r="M504" s="342"/>
      <c r="R504" s="342"/>
      <c r="AJ504" s="342"/>
      <c r="AL504" s="342"/>
      <c r="AM504" s="342"/>
      <c r="BD504" s="342"/>
    </row>
    <row r="505" spans="4:56" x14ac:dyDescent="0.2">
      <c r="D505" s="342"/>
      <c r="F505" s="342"/>
      <c r="G505" s="342"/>
      <c r="H505" s="342"/>
      <c r="I505" s="342"/>
      <c r="J505" s="342"/>
      <c r="L505" s="342"/>
      <c r="M505" s="342"/>
      <c r="R505" s="342"/>
      <c r="AJ505" s="342"/>
      <c r="AL505" s="342"/>
      <c r="AM505" s="342"/>
      <c r="BD505" s="342"/>
    </row>
    <row r="506" spans="4:56" x14ac:dyDescent="0.2">
      <c r="D506" s="342"/>
      <c r="F506" s="342"/>
      <c r="G506" s="342"/>
      <c r="H506" s="342"/>
      <c r="I506" s="342"/>
      <c r="J506" s="342"/>
      <c r="L506" s="342"/>
      <c r="M506" s="342"/>
      <c r="R506" s="342"/>
      <c r="AJ506" s="342"/>
      <c r="AL506" s="342"/>
      <c r="AM506" s="342"/>
      <c r="BD506" s="342"/>
    </row>
    <row r="507" spans="4:56" x14ac:dyDescent="0.2">
      <c r="D507" s="342"/>
      <c r="F507" s="342"/>
      <c r="G507" s="342"/>
      <c r="H507" s="342"/>
      <c r="I507" s="342"/>
      <c r="J507" s="342"/>
      <c r="L507" s="342"/>
      <c r="M507" s="342"/>
      <c r="R507" s="342"/>
      <c r="AJ507" s="342"/>
      <c r="AL507" s="342"/>
      <c r="AM507" s="342"/>
      <c r="BD507" s="342"/>
    </row>
    <row r="508" spans="4:56" x14ac:dyDescent="0.2">
      <c r="D508" s="342"/>
      <c r="F508" s="342"/>
      <c r="G508" s="342"/>
      <c r="H508" s="342"/>
      <c r="I508" s="342"/>
      <c r="J508" s="342"/>
      <c r="L508" s="342"/>
      <c r="M508" s="342"/>
      <c r="R508" s="342"/>
      <c r="AJ508" s="342"/>
      <c r="AL508" s="342"/>
      <c r="AM508" s="342"/>
      <c r="BD508" s="342"/>
    </row>
    <row r="509" spans="4:56" x14ac:dyDescent="0.2">
      <c r="D509" s="342"/>
      <c r="F509" s="342"/>
      <c r="G509" s="342"/>
      <c r="H509" s="342"/>
      <c r="I509" s="342"/>
      <c r="J509" s="342"/>
      <c r="L509" s="342"/>
      <c r="M509" s="342"/>
      <c r="R509" s="342"/>
      <c r="AJ509" s="342"/>
      <c r="AL509" s="342"/>
      <c r="AM509" s="342"/>
      <c r="BD509" s="342"/>
    </row>
    <row r="510" spans="4:56" x14ac:dyDescent="0.2">
      <c r="D510" s="342"/>
      <c r="F510" s="342"/>
      <c r="G510" s="342"/>
      <c r="H510" s="342"/>
      <c r="I510" s="342"/>
      <c r="J510" s="342"/>
      <c r="L510" s="342"/>
      <c r="M510" s="342"/>
      <c r="R510" s="342"/>
      <c r="AJ510" s="342"/>
      <c r="AL510" s="342"/>
      <c r="AM510" s="342"/>
      <c r="BD510" s="342"/>
    </row>
    <row r="511" spans="4:56" x14ac:dyDescent="0.2">
      <c r="D511" s="342"/>
      <c r="F511" s="342"/>
      <c r="G511" s="342"/>
      <c r="H511" s="342"/>
      <c r="I511" s="342"/>
      <c r="J511" s="342"/>
      <c r="L511" s="342"/>
      <c r="M511" s="342"/>
      <c r="R511" s="342"/>
      <c r="AJ511" s="342"/>
      <c r="AL511" s="342"/>
      <c r="AM511" s="342"/>
      <c r="BD511" s="342"/>
    </row>
    <row r="512" spans="4:56" x14ac:dyDescent="0.2">
      <c r="D512" s="342"/>
      <c r="F512" s="342"/>
      <c r="G512" s="342"/>
      <c r="H512" s="342"/>
      <c r="I512" s="342"/>
      <c r="J512" s="342"/>
      <c r="L512" s="342"/>
      <c r="M512" s="342"/>
      <c r="R512" s="342"/>
      <c r="AJ512" s="342"/>
      <c r="AL512" s="342"/>
      <c r="AM512" s="342"/>
      <c r="BD512" s="342"/>
    </row>
    <row r="513" spans="4:56" x14ac:dyDescent="0.2">
      <c r="D513" s="342"/>
      <c r="F513" s="342"/>
      <c r="G513" s="342"/>
      <c r="H513" s="342"/>
      <c r="I513" s="342"/>
      <c r="J513" s="342"/>
      <c r="L513" s="342"/>
      <c r="M513" s="342"/>
      <c r="R513" s="342"/>
      <c r="AJ513" s="342"/>
      <c r="AL513" s="342"/>
      <c r="AM513" s="342"/>
      <c r="BD513" s="342"/>
    </row>
    <row r="514" spans="4:56" x14ac:dyDescent="0.2">
      <c r="D514" s="342"/>
      <c r="F514" s="342"/>
      <c r="G514" s="342"/>
      <c r="H514" s="342"/>
      <c r="I514" s="342"/>
      <c r="J514" s="342"/>
      <c r="L514" s="342"/>
      <c r="M514" s="342"/>
      <c r="R514" s="342"/>
      <c r="AJ514" s="342"/>
      <c r="AL514" s="342"/>
      <c r="AM514" s="342"/>
      <c r="BD514" s="342"/>
    </row>
    <row r="515" spans="4:56" x14ac:dyDescent="0.2">
      <c r="D515" s="342"/>
      <c r="F515" s="342"/>
      <c r="G515" s="342"/>
      <c r="H515" s="342"/>
      <c r="I515" s="342"/>
      <c r="J515" s="342"/>
      <c r="L515" s="342"/>
      <c r="M515" s="342"/>
      <c r="R515" s="342"/>
      <c r="AJ515" s="342"/>
      <c r="AL515" s="342"/>
      <c r="AM515" s="342"/>
      <c r="BD515" s="342"/>
    </row>
    <row r="516" spans="4:56" x14ac:dyDescent="0.2">
      <c r="D516" s="342"/>
      <c r="F516" s="342"/>
      <c r="G516" s="342"/>
      <c r="H516" s="342"/>
      <c r="I516" s="342"/>
      <c r="J516" s="342"/>
      <c r="L516" s="342"/>
      <c r="M516" s="342"/>
      <c r="R516" s="342"/>
      <c r="AJ516" s="342"/>
      <c r="AL516" s="342"/>
      <c r="AM516" s="342"/>
      <c r="BD516" s="342"/>
    </row>
    <row r="517" spans="4:56" x14ac:dyDescent="0.2">
      <c r="D517" s="342"/>
      <c r="F517" s="342"/>
      <c r="G517" s="342"/>
      <c r="H517" s="342"/>
      <c r="I517" s="342"/>
      <c r="J517" s="342"/>
      <c r="L517" s="342"/>
      <c r="M517" s="342"/>
      <c r="R517" s="342"/>
      <c r="AJ517" s="342"/>
      <c r="AL517" s="342"/>
      <c r="AM517" s="342"/>
      <c r="BD517" s="342"/>
    </row>
    <row r="518" spans="4:56" x14ac:dyDescent="0.2">
      <c r="D518" s="342"/>
      <c r="F518" s="342"/>
      <c r="G518" s="342"/>
      <c r="H518" s="342"/>
      <c r="I518" s="342"/>
      <c r="J518" s="342"/>
      <c r="L518" s="342"/>
      <c r="M518" s="342"/>
      <c r="R518" s="342"/>
      <c r="AJ518" s="342"/>
      <c r="AL518" s="342"/>
      <c r="AM518" s="342"/>
      <c r="BD518" s="342"/>
    </row>
    <row r="519" spans="4:56" x14ac:dyDescent="0.2">
      <c r="D519" s="342"/>
      <c r="F519" s="342"/>
      <c r="G519" s="342"/>
      <c r="H519" s="342"/>
      <c r="I519" s="342"/>
      <c r="J519" s="342"/>
      <c r="L519" s="342"/>
      <c r="M519" s="342"/>
      <c r="R519" s="342"/>
      <c r="AJ519" s="342"/>
      <c r="AL519" s="342"/>
      <c r="AM519" s="342"/>
      <c r="BD519" s="342"/>
    </row>
    <row r="520" spans="4:56" x14ac:dyDescent="0.2">
      <c r="D520" s="342"/>
      <c r="F520" s="342"/>
      <c r="G520" s="342"/>
      <c r="H520" s="342"/>
      <c r="I520" s="342"/>
      <c r="J520" s="342"/>
      <c r="L520" s="342"/>
      <c r="M520" s="342"/>
      <c r="R520" s="342"/>
      <c r="AJ520" s="342"/>
      <c r="AL520" s="342"/>
      <c r="AM520" s="342"/>
      <c r="BD520" s="342"/>
    </row>
    <row r="521" spans="4:56" x14ac:dyDescent="0.2">
      <c r="D521" s="342"/>
      <c r="F521" s="342"/>
      <c r="G521" s="342"/>
      <c r="H521" s="342"/>
      <c r="I521" s="342"/>
      <c r="J521" s="342"/>
      <c r="L521" s="342"/>
      <c r="M521" s="342"/>
      <c r="R521" s="342"/>
      <c r="AJ521" s="342"/>
      <c r="AL521" s="342"/>
      <c r="AM521" s="342"/>
      <c r="BD521" s="342"/>
    </row>
    <row r="522" spans="4:56" x14ac:dyDescent="0.2">
      <c r="D522" s="342"/>
      <c r="F522" s="342"/>
      <c r="G522" s="342"/>
      <c r="H522" s="342"/>
      <c r="I522" s="342"/>
      <c r="J522" s="342"/>
      <c r="L522" s="342"/>
      <c r="M522" s="342"/>
      <c r="R522" s="342"/>
      <c r="AJ522" s="342"/>
      <c r="AL522" s="342"/>
      <c r="AM522" s="342"/>
      <c r="BD522" s="342"/>
    </row>
    <row r="523" spans="4:56" x14ac:dyDescent="0.2">
      <c r="D523" s="342"/>
      <c r="F523" s="342"/>
      <c r="G523" s="342"/>
      <c r="H523" s="342"/>
      <c r="I523" s="342"/>
      <c r="J523" s="342"/>
      <c r="L523" s="342"/>
      <c r="M523" s="342"/>
      <c r="R523" s="342"/>
      <c r="AJ523" s="342"/>
      <c r="AL523" s="342"/>
      <c r="AM523" s="342"/>
      <c r="BD523" s="342"/>
    </row>
    <row r="524" spans="4:56" x14ac:dyDescent="0.2">
      <c r="D524" s="342"/>
      <c r="F524" s="342"/>
      <c r="G524" s="342"/>
      <c r="H524" s="342"/>
      <c r="I524" s="342"/>
      <c r="J524" s="342"/>
      <c r="L524" s="342"/>
      <c r="M524" s="342"/>
      <c r="R524" s="342"/>
      <c r="AJ524" s="342"/>
      <c r="AL524" s="342"/>
      <c r="AM524" s="342"/>
      <c r="BD524" s="342"/>
    </row>
    <row r="525" spans="4:56" x14ac:dyDescent="0.2">
      <c r="D525" s="342"/>
      <c r="F525" s="342"/>
      <c r="G525" s="342"/>
      <c r="H525" s="342"/>
      <c r="I525" s="342"/>
      <c r="J525" s="342"/>
      <c r="L525" s="342"/>
      <c r="M525" s="342"/>
      <c r="R525" s="342"/>
      <c r="AJ525" s="342"/>
      <c r="AL525" s="342"/>
      <c r="AM525" s="342"/>
      <c r="BD525" s="342"/>
    </row>
    <row r="526" spans="4:56" x14ac:dyDescent="0.2">
      <c r="D526" s="342"/>
      <c r="F526" s="342"/>
      <c r="G526" s="342"/>
      <c r="H526" s="342"/>
      <c r="I526" s="342"/>
      <c r="J526" s="342"/>
      <c r="L526" s="342"/>
      <c r="M526" s="342"/>
      <c r="R526" s="342"/>
      <c r="AJ526" s="342"/>
      <c r="AL526" s="342"/>
      <c r="AM526" s="342"/>
      <c r="BD526" s="342"/>
    </row>
    <row r="527" spans="4:56" x14ac:dyDescent="0.2">
      <c r="D527" s="342"/>
      <c r="F527" s="342"/>
      <c r="G527" s="342"/>
      <c r="H527" s="342"/>
      <c r="I527" s="342"/>
      <c r="J527" s="342"/>
      <c r="L527" s="342"/>
      <c r="M527" s="342"/>
      <c r="R527" s="342"/>
      <c r="AJ527" s="342"/>
      <c r="AL527" s="342"/>
      <c r="AM527" s="342"/>
      <c r="BD527" s="342"/>
    </row>
    <row r="528" spans="4:56" x14ac:dyDescent="0.2">
      <c r="D528" s="342"/>
      <c r="F528" s="342"/>
      <c r="G528" s="342"/>
      <c r="H528" s="342"/>
      <c r="I528" s="342"/>
      <c r="J528" s="342"/>
      <c r="L528" s="342"/>
      <c r="M528" s="342"/>
      <c r="R528" s="342"/>
      <c r="AJ528" s="342"/>
      <c r="AL528" s="342"/>
      <c r="AM528" s="342"/>
      <c r="BD528" s="342"/>
    </row>
    <row r="529" spans="4:56" x14ac:dyDescent="0.2">
      <c r="D529" s="342"/>
      <c r="F529" s="342"/>
      <c r="G529" s="342"/>
      <c r="H529" s="342"/>
      <c r="I529" s="342"/>
      <c r="J529" s="342"/>
      <c r="L529" s="342"/>
      <c r="M529" s="342"/>
      <c r="R529" s="342"/>
      <c r="AJ529" s="342"/>
      <c r="AL529" s="342"/>
      <c r="AM529" s="342"/>
      <c r="BD529" s="342"/>
    </row>
    <row r="530" spans="4:56" x14ac:dyDescent="0.2">
      <c r="D530" s="342"/>
      <c r="F530" s="342"/>
      <c r="G530" s="342"/>
      <c r="H530" s="342"/>
      <c r="I530" s="342"/>
      <c r="J530" s="342"/>
      <c r="L530" s="342"/>
      <c r="M530" s="342"/>
      <c r="R530" s="342"/>
      <c r="AJ530" s="342"/>
      <c r="AL530" s="342"/>
      <c r="AM530" s="342"/>
      <c r="BD530" s="342"/>
    </row>
    <row r="531" spans="4:56" x14ac:dyDescent="0.2">
      <c r="D531" s="342"/>
      <c r="F531" s="342"/>
      <c r="G531" s="342"/>
      <c r="H531" s="342"/>
      <c r="I531" s="342"/>
      <c r="J531" s="342"/>
      <c r="L531" s="342"/>
      <c r="M531" s="342"/>
      <c r="R531" s="342"/>
      <c r="AJ531" s="342"/>
      <c r="AL531" s="342"/>
      <c r="AM531" s="342"/>
      <c r="BD531" s="342"/>
    </row>
    <row r="532" spans="4:56" x14ac:dyDescent="0.2">
      <c r="D532" s="342"/>
      <c r="F532" s="342"/>
      <c r="G532" s="342"/>
      <c r="H532" s="342"/>
      <c r="I532" s="342"/>
      <c r="J532" s="342"/>
      <c r="L532" s="342"/>
      <c r="M532" s="342"/>
      <c r="R532" s="342"/>
      <c r="AJ532" s="342"/>
      <c r="AL532" s="342"/>
      <c r="AM532" s="342"/>
      <c r="BD532" s="342"/>
    </row>
    <row r="533" spans="4:56" x14ac:dyDescent="0.2">
      <c r="D533" s="342"/>
      <c r="F533" s="342"/>
      <c r="G533" s="342"/>
      <c r="H533" s="342"/>
      <c r="I533" s="342"/>
      <c r="J533" s="342"/>
      <c r="L533" s="342"/>
      <c r="M533" s="342"/>
      <c r="R533" s="342"/>
      <c r="AJ533" s="342"/>
      <c r="AL533" s="342"/>
      <c r="AM533" s="342"/>
      <c r="BD533" s="342"/>
    </row>
    <row r="534" spans="4:56" x14ac:dyDescent="0.2">
      <c r="D534" s="342"/>
      <c r="F534" s="342"/>
      <c r="G534" s="342"/>
      <c r="H534" s="342"/>
      <c r="I534" s="342"/>
      <c r="J534" s="342"/>
      <c r="L534" s="342"/>
      <c r="M534" s="342"/>
      <c r="R534" s="342"/>
      <c r="AJ534" s="342"/>
      <c r="AL534" s="342"/>
      <c r="AM534" s="342"/>
      <c r="BD534" s="342"/>
    </row>
    <row r="535" spans="4:56" x14ac:dyDescent="0.2">
      <c r="D535" s="342"/>
      <c r="F535" s="342"/>
      <c r="G535" s="342"/>
      <c r="H535" s="342"/>
      <c r="I535" s="342"/>
      <c r="J535" s="342"/>
      <c r="L535" s="342"/>
      <c r="M535" s="342"/>
      <c r="R535" s="342"/>
      <c r="AJ535" s="342"/>
      <c r="AL535" s="342"/>
      <c r="AM535" s="342"/>
      <c r="BD535" s="342"/>
    </row>
    <row r="536" spans="4:56" x14ac:dyDescent="0.2">
      <c r="D536" s="342"/>
      <c r="F536" s="342"/>
      <c r="G536" s="342"/>
      <c r="H536" s="342"/>
      <c r="I536" s="342"/>
      <c r="J536" s="342"/>
      <c r="L536" s="342"/>
      <c r="M536" s="342"/>
      <c r="R536" s="342"/>
      <c r="AJ536" s="342"/>
      <c r="AL536" s="342"/>
      <c r="AM536" s="342"/>
      <c r="BD536" s="342"/>
    </row>
    <row r="537" spans="4:56" x14ac:dyDescent="0.2">
      <c r="D537" s="342"/>
      <c r="F537" s="342"/>
      <c r="G537" s="342"/>
      <c r="H537" s="342"/>
      <c r="I537" s="342"/>
      <c r="J537" s="342"/>
      <c r="L537" s="342"/>
      <c r="M537" s="342"/>
      <c r="R537" s="342"/>
      <c r="AJ537" s="342"/>
      <c r="AL537" s="342"/>
      <c r="AM537" s="342"/>
      <c r="BD537" s="342"/>
    </row>
    <row r="538" spans="4:56" x14ac:dyDescent="0.2">
      <c r="D538" s="342"/>
      <c r="F538" s="342"/>
      <c r="G538" s="342"/>
      <c r="H538" s="342"/>
      <c r="I538" s="342"/>
      <c r="J538" s="342"/>
      <c r="L538" s="342"/>
      <c r="M538" s="342"/>
      <c r="R538" s="342"/>
      <c r="AJ538" s="342"/>
      <c r="AL538" s="342"/>
      <c r="AM538" s="342"/>
      <c r="BD538" s="342"/>
    </row>
    <row r="539" spans="4:56" x14ac:dyDescent="0.2">
      <c r="D539" s="342"/>
      <c r="F539" s="342"/>
      <c r="G539" s="342"/>
      <c r="H539" s="342"/>
      <c r="I539" s="342"/>
      <c r="J539" s="342"/>
      <c r="L539" s="342"/>
      <c r="M539" s="342"/>
      <c r="R539" s="342"/>
      <c r="AJ539" s="342"/>
      <c r="AL539" s="342"/>
      <c r="AM539" s="342"/>
      <c r="BD539" s="342"/>
    </row>
    <row r="540" spans="4:56" x14ac:dyDescent="0.2">
      <c r="D540" s="342"/>
      <c r="F540" s="342"/>
      <c r="G540" s="342"/>
      <c r="H540" s="342"/>
      <c r="I540" s="342"/>
      <c r="J540" s="342"/>
      <c r="L540" s="342"/>
      <c r="M540" s="342"/>
      <c r="R540" s="342"/>
      <c r="AJ540" s="342"/>
      <c r="AL540" s="342"/>
      <c r="AM540" s="342"/>
      <c r="BD540" s="342"/>
    </row>
    <row r="541" spans="4:56" x14ac:dyDescent="0.2">
      <c r="D541" s="342"/>
      <c r="F541" s="342"/>
      <c r="G541" s="342"/>
      <c r="H541" s="342"/>
      <c r="I541" s="342"/>
      <c r="J541" s="342"/>
      <c r="L541" s="342"/>
      <c r="M541" s="342"/>
      <c r="R541" s="342"/>
      <c r="AJ541" s="342"/>
      <c r="AL541" s="342"/>
      <c r="AM541" s="342"/>
      <c r="BD541" s="342"/>
    </row>
    <row r="542" spans="4:56" x14ac:dyDescent="0.2">
      <c r="D542" s="342"/>
      <c r="F542" s="342"/>
      <c r="G542" s="342"/>
      <c r="H542" s="342"/>
      <c r="I542" s="342"/>
      <c r="J542" s="342"/>
      <c r="L542" s="342"/>
      <c r="M542" s="342"/>
      <c r="R542" s="342"/>
      <c r="AJ542" s="342"/>
      <c r="AL542" s="342"/>
      <c r="AM542" s="342"/>
      <c r="BD542" s="342"/>
    </row>
    <row r="543" spans="4:56" x14ac:dyDescent="0.2">
      <c r="D543" s="342"/>
      <c r="F543" s="342"/>
      <c r="G543" s="342"/>
      <c r="H543" s="342"/>
      <c r="I543" s="342"/>
      <c r="J543" s="342"/>
      <c r="L543" s="342"/>
      <c r="M543" s="342"/>
      <c r="R543" s="342"/>
      <c r="AJ543" s="342"/>
      <c r="AL543" s="342"/>
      <c r="AM543" s="342"/>
      <c r="BD543" s="342"/>
    </row>
    <row r="544" spans="4:56" x14ac:dyDescent="0.2">
      <c r="D544" s="342"/>
      <c r="F544" s="342"/>
      <c r="G544" s="342"/>
      <c r="H544" s="342"/>
      <c r="I544" s="342"/>
      <c r="J544" s="342"/>
      <c r="L544" s="342"/>
      <c r="M544" s="342"/>
      <c r="R544" s="342"/>
      <c r="AJ544" s="342"/>
      <c r="AL544" s="342"/>
      <c r="AM544" s="342"/>
      <c r="BD544" s="342"/>
    </row>
    <row r="545" spans="4:56" x14ac:dyDescent="0.2">
      <c r="D545" s="342"/>
      <c r="F545" s="342"/>
      <c r="G545" s="342"/>
      <c r="H545" s="342"/>
      <c r="I545" s="342"/>
      <c r="J545" s="342"/>
      <c r="L545" s="342"/>
      <c r="M545" s="342"/>
      <c r="R545" s="342"/>
      <c r="AJ545" s="342"/>
      <c r="AL545" s="342"/>
      <c r="AM545" s="342"/>
      <c r="BD545" s="342"/>
    </row>
    <row r="546" spans="4:56" x14ac:dyDescent="0.2">
      <c r="D546" s="342"/>
      <c r="F546" s="342"/>
      <c r="G546" s="342"/>
      <c r="H546" s="342"/>
      <c r="I546" s="342"/>
      <c r="J546" s="342"/>
      <c r="L546" s="342"/>
      <c r="M546" s="342"/>
      <c r="R546" s="342"/>
      <c r="AJ546" s="342"/>
      <c r="AL546" s="342"/>
      <c r="AM546" s="342"/>
      <c r="BD546" s="342"/>
    </row>
    <row r="547" spans="4:56" x14ac:dyDescent="0.2">
      <c r="D547" s="342"/>
      <c r="F547" s="342"/>
      <c r="G547" s="342"/>
      <c r="H547" s="342"/>
      <c r="I547" s="342"/>
      <c r="J547" s="342"/>
      <c r="L547" s="342"/>
      <c r="M547" s="342"/>
      <c r="R547" s="342"/>
      <c r="AJ547" s="342"/>
      <c r="AL547" s="342"/>
      <c r="AM547" s="342"/>
      <c r="BD547" s="342"/>
    </row>
    <row r="548" spans="4:56" x14ac:dyDescent="0.2">
      <c r="D548" s="342"/>
      <c r="F548" s="342"/>
      <c r="G548" s="342"/>
      <c r="H548" s="342"/>
      <c r="I548" s="342"/>
      <c r="J548" s="342"/>
      <c r="L548" s="342"/>
      <c r="M548" s="342"/>
      <c r="R548" s="342"/>
      <c r="AJ548" s="342"/>
      <c r="AL548" s="342"/>
      <c r="AM548" s="342"/>
      <c r="BD548" s="342"/>
    </row>
    <row r="549" spans="4:56" x14ac:dyDescent="0.2">
      <c r="D549" s="342"/>
      <c r="F549" s="342"/>
      <c r="G549" s="342"/>
      <c r="H549" s="342"/>
      <c r="I549" s="342"/>
      <c r="J549" s="342"/>
      <c r="L549" s="342"/>
      <c r="M549" s="342"/>
      <c r="R549" s="342"/>
      <c r="AJ549" s="342"/>
      <c r="AL549" s="342"/>
      <c r="AM549" s="342"/>
      <c r="BD549" s="342"/>
    </row>
    <row r="550" spans="4:56" x14ac:dyDescent="0.2">
      <c r="D550" s="342"/>
      <c r="F550" s="342"/>
      <c r="G550" s="342"/>
      <c r="H550" s="342"/>
      <c r="I550" s="342"/>
      <c r="J550" s="342"/>
      <c r="L550" s="342"/>
      <c r="M550" s="342"/>
      <c r="R550" s="342"/>
      <c r="AJ550" s="342"/>
      <c r="AL550" s="342"/>
      <c r="AM550" s="342"/>
      <c r="BD550" s="342"/>
    </row>
    <row r="551" spans="4:56" x14ac:dyDescent="0.2">
      <c r="D551" s="342"/>
      <c r="F551" s="342"/>
      <c r="G551" s="342"/>
      <c r="H551" s="342"/>
      <c r="I551" s="342"/>
      <c r="J551" s="342"/>
      <c r="L551" s="342"/>
      <c r="M551" s="342"/>
      <c r="R551" s="342"/>
      <c r="AJ551" s="342"/>
      <c r="AL551" s="342"/>
      <c r="AM551" s="342"/>
      <c r="BD551" s="342"/>
    </row>
    <row r="552" spans="4:56" x14ac:dyDescent="0.2">
      <c r="D552" s="342"/>
      <c r="F552" s="342"/>
      <c r="G552" s="342"/>
      <c r="H552" s="342"/>
      <c r="I552" s="342"/>
      <c r="J552" s="342"/>
      <c r="L552" s="342"/>
      <c r="M552" s="342"/>
      <c r="R552" s="342"/>
      <c r="AJ552" s="342"/>
      <c r="AL552" s="342"/>
      <c r="AM552" s="342"/>
      <c r="BD552" s="342"/>
    </row>
    <row r="553" spans="4:56" x14ac:dyDescent="0.2">
      <c r="D553" s="342"/>
      <c r="F553" s="342"/>
      <c r="G553" s="342"/>
      <c r="H553" s="342"/>
      <c r="I553" s="342"/>
      <c r="J553" s="342"/>
      <c r="L553" s="342"/>
      <c r="M553" s="342"/>
      <c r="R553" s="342"/>
      <c r="AJ553" s="342"/>
      <c r="AL553" s="342"/>
      <c r="AM553" s="342"/>
      <c r="BD553" s="342"/>
    </row>
    <row r="554" spans="4:56" x14ac:dyDescent="0.2">
      <c r="D554" s="342"/>
      <c r="F554" s="342"/>
      <c r="G554" s="342"/>
      <c r="H554" s="342"/>
      <c r="I554" s="342"/>
      <c r="J554" s="342"/>
      <c r="L554" s="342"/>
      <c r="M554" s="342"/>
      <c r="R554" s="342"/>
      <c r="AJ554" s="342"/>
      <c r="AL554" s="342"/>
      <c r="AM554" s="342"/>
      <c r="BD554" s="342"/>
    </row>
    <row r="555" spans="4:56" x14ac:dyDescent="0.2">
      <c r="D555" s="342"/>
      <c r="F555" s="342"/>
      <c r="G555" s="342"/>
      <c r="H555" s="342"/>
      <c r="I555" s="342"/>
      <c r="J555" s="342"/>
      <c r="L555" s="342"/>
      <c r="M555" s="342"/>
      <c r="R555" s="342"/>
      <c r="AJ555" s="342"/>
      <c r="AL555" s="342"/>
      <c r="AM555" s="342"/>
      <c r="BD555" s="342"/>
    </row>
    <row r="556" spans="4:56" x14ac:dyDescent="0.2">
      <c r="D556" s="342"/>
      <c r="F556" s="342"/>
      <c r="G556" s="342"/>
      <c r="H556" s="342"/>
      <c r="I556" s="342"/>
      <c r="J556" s="342"/>
      <c r="L556" s="342"/>
      <c r="M556" s="342"/>
      <c r="R556" s="342"/>
      <c r="AJ556" s="342"/>
      <c r="AL556" s="342"/>
      <c r="AM556" s="342"/>
      <c r="BD556" s="342"/>
    </row>
    <row r="557" spans="4:56" x14ac:dyDescent="0.2">
      <c r="D557" s="342"/>
      <c r="F557" s="342"/>
      <c r="G557" s="342"/>
      <c r="H557" s="342"/>
      <c r="I557" s="342"/>
      <c r="J557" s="342"/>
      <c r="L557" s="342"/>
      <c r="M557" s="342"/>
      <c r="R557" s="342"/>
      <c r="AJ557" s="342"/>
      <c r="AL557" s="342"/>
      <c r="AM557" s="342"/>
      <c r="BD557" s="342"/>
    </row>
    <row r="558" spans="4:56" x14ac:dyDescent="0.2">
      <c r="D558" s="342"/>
      <c r="F558" s="342"/>
      <c r="G558" s="342"/>
      <c r="H558" s="342"/>
      <c r="I558" s="342"/>
      <c r="J558" s="342"/>
      <c r="L558" s="342"/>
      <c r="M558" s="342"/>
      <c r="R558" s="342"/>
      <c r="AJ558" s="342"/>
      <c r="AL558" s="342"/>
      <c r="AM558" s="342"/>
      <c r="BD558" s="342"/>
    </row>
    <row r="559" spans="4:56" x14ac:dyDescent="0.2">
      <c r="D559" s="342"/>
      <c r="F559" s="342"/>
      <c r="G559" s="342"/>
      <c r="H559" s="342"/>
      <c r="I559" s="342"/>
      <c r="J559" s="342"/>
      <c r="L559" s="342"/>
      <c r="M559" s="342"/>
      <c r="R559" s="342"/>
      <c r="AJ559" s="342"/>
      <c r="AL559" s="342"/>
      <c r="AM559" s="342"/>
      <c r="BD559" s="342"/>
    </row>
    <row r="560" spans="4:56" x14ac:dyDescent="0.2">
      <c r="D560" s="342"/>
      <c r="F560" s="342"/>
      <c r="G560" s="342"/>
      <c r="H560" s="342"/>
      <c r="I560" s="342"/>
      <c r="J560" s="342"/>
      <c r="L560" s="342"/>
      <c r="M560" s="342"/>
      <c r="R560" s="342"/>
      <c r="AJ560" s="342"/>
      <c r="AL560" s="342"/>
      <c r="AM560" s="342"/>
      <c r="BD560" s="342"/>
    </row>
    <row r="561" spans="4:56" x14ac:dyDescent="0.2">
      <c r="D561" s="342"/>
      <c r="F561" s="342"/>
      <c r="G561" s="342"/>
      <c r="H561" s="342"/>
      <c r="I561" s="342"/>
      <c r="J561" s="342"/>
      <c r="L561" s="342"/>
      <c r="M561" s="342"/>
      <c r="R561" s="342"/>
      <c r="AJ561" s="342"/>
      <c r="AL561" s="342"/>
      <c r="AM561" s="342"/>
      <c r="BD561" s="342"/>
    </row>
    <row r="562" spans="4:56" x14ac:dyDescent="0.2">
      <c r="D562" s="342"/>
      <c r="F562" s="342"/>
      <c r="G562" s="342"/>
      <c r="H562" s="342"/>
      <c r="I562" s="342"/>
      <c r="J562" s="342"/>
      <c r="L562" s="342"/>
      <c r="M562" s="342"/>
      <c r="R562" s="342"/>
      <c r="AJ562" s="342"/>
      <c r="AL562" s="342"/>
      <c r="AM562" s="342"/>
      <c r="BD562" s="342"/>
    </row>
    <row r="563" spans="4:56" x14ac:dyDescent="0.2">
      <c r="D563" s="342"/>
      <c r="F563" s="342"/>
      <c r="G563" s="342"/>
      <c r="H563" s="342"/>
      <c r="I563" s="342"/>
      <c r="J563" s="342"/>
      <c r="L563" s="342"/>
      <c r="M563" s="342"/>
      <c r="R563" s="342"/>
      <c r="AJ563" s="342"/>
      <c r="AL563" s="342"/>
      <c r="AM563" s="342"/>
      <c r="BD563" s="342"/>
    </row>
    <row r="564" spans="4:56" x14ac:dyDescent="0.2">
      <c r="D564" s="342"/>
      <c r="F564" s="342"/>
      <c r="G564" s="342"/>
      <c r="H564" s="342"/>
      <c r="I564" s="342"/>
      <c r="J564" s="342"/>
      <c r="L564" s="342"/>
      <c r="M564" s="342"/>
      <c r="R564" s="342"/>
      <c r="AJ564" s="342"/>
      <c r="AL564" s="342"/>
      <c r="AM564" s="342"/>
      <c r="BD564" s="342"/>
    </row>
    <row r="565" spans="4:56" x14ac:dyDescent="0.2">
      <c r="D565" s="342"/>
      <c r="F565" s="342"/>
      <c r="G565" s="342"/>
      <c r="H565" s="342"/>
      <c r="I565" s="342"/>
      <c r="J565" s="342"/>
      <c r="L565" s="342"/>
      <c r="M565" s="342"/>
      <c r="R565" s="342"/>
      <c r="AJ565" s="342"/>
      <c r="AL565" s="342"/>
      <c r="AM565" s="342"/>
      <c r="BD565" s="342"/>
    </row>
    <row r="566" spans="4:56" x14ac:dyDescent="0.2">
      <c r="D566" s="342"/>
      <c r="F566" s="342"/>
      <c r="G566" s="342"/>
      <c r="H566" s="342"/>
      <c r="I566" s="342"/>
      <c r="J566" s="342"/>
      <c r="L566" s="342"/>
      <c r="M566" s="342"/>
      <c r="R566" s="342"/>
      <c r="AJ566" s="342"/>
      <c r="AL566" s="342"/>
      <c r="AM566" s="342"/>
      <c r="BD566" s="342"/>
    </row>
    <row r="567" spans="4:56" x14ac:dyDescent="0.2">
      <c r="D567" s="342"/>
      <c r="F567" s="342"/>
      <c r="G567" s="342"/>
      <c r="H567" s="342"/>
      <c r="I567" s="342"/>
      <c r="J567" s="342"/>
      <c r="L567" s="342"/>
      <c r="M567" s="342"/>
      <c r="R567" s="342"/>
      <c r="AJ567" s="342"/>
      <c r="AL567" s="342"/>
      <c r="AM567" s="342"/>
      <c r="BD567" s="342"/>
    </row>
    <row r="568" spans="4:56" x14ac:dyDescent="0.2">
      <c r="D568" s="342"/>
      <c r="F568" s="342"/>
      <c r="G568" s="342"/>
      <c r="H568" s="342"/>
      <c r="I568" s="342"/>
      <c r="J568" s="342"/>
      <c r="L568" s="342"/>
      <c r="M568" s="342"/>
      <c r="R568" s="342"/>
      <c r="AJ568" s="342"/>
      <c r="AL568" s="342"/>
      <c r="AM568" s="342"/>
      <c r="BD568" s="342"/>
    </row>
    <row r="569" spans="4:56" x14ac:dyDescent="0.2">
      <c r="D569" s="342"/>
      <c r="F569" s="342"/>
      <c r="G569" s="342"/>
      <c r="H569" s="342"/>
      <c r="I569" s="342"/>
      <c r="J569" s="342"/>
      <c r="L569" s="342"/>
      <c r="M569" s="342"/>
      <c r="R569" s="342"/>
      <c r="AJ569" s="342"/>
      <c r="AL569" s="342"/>
      <c r="AM569" s="342"/>
      <c r="BD569" s="342"/>
    </row>
    <row r="570" spans="4:56" x14ac:dyDescent="0.2">
      <c r="D570" s="342"/>
      <c r="F570" s="342"/>
      <c r="G570" s="342"/>
      <c r="H570" s="342"/>
      <c r="I570" s="342"/>
      <c r="J570" s="342"/>
      <c r="L570" s="342"/>
      <c r="M570" s="342"/>
      <c r="R570" s="342"/>
      <c r="AJ570" s="342"/>
      <c r="AL570" s="342"/>
      <c r="AM570" s="342"/>
      <c r="BD570" s="342"/>
    </row>
    <row r="571" spans="4:56" x14ac:dyDescent="0.2">
      <c r="D571" s="342"/>
      <c r="F571" s="342"/>
      <c r="G571" s="342"/>
      <c r="H571" s="342"/>
      <c r="I571" s="342"/>
      <c r="J571" s="342"/>
      <c r="L571" s="342"/>
      <c r="M571" s="342"/>
      <c r="R571" s="342"/>
      <c r="AJ571" s="342"/>
      <c r="AL571" s="342"/>
      <c r="AM571" s="342"/>
      <c r="BD571" s="342"/>
    </row>
    <row r="572" spans="4:56" x14ac:dyDescent="0.2">
      <c r="D572" s="342"/>
      <c r="F572" s="342"/>
      <c r="G572" s="342"/>
      <c r="H572" s="342"/>
      <c r="I572" s="342"/>
      <c r="J572" s="342"/>
      <c r="L572" s="342"/>
      <c r="M572" s="342"/>
      <c r="R572" s="342"/>
      <c r="AJ572" s="342"/>
      <c r="AL572" s="342"/>
      <c r="AM572" s="342"/>
      <c r="BD572" s="342"/>
    </row>
    <row r="573" spans="4:56" x14ac:dyDescent="0.2">
      <c r="D573" s="342"/>
      <c r="F573" s="342"/>
      <c r="G573" s="342"/>
      <c r="H573" s="342"/>
      <c r="I573" s="342"/>
      <c r="J573" s="342"/>
      <c r="L573" s="342"/>
      <c r="M573" s="342"/>
      <c r="R573" s="342"/>
      <c r="AJ573" s="342"/>
      <c r="AL573" s="342"/>
      <c r="AM573" s="342"/>
      <c r="BD573" s="342"/>
    </row>
    <row r="574" spans="4:56" x14ac:dyDescent="0.2">
      <c r="D574" s="342"/>
      <c r="F574" s="342"/>
      <c r="G574" s="342"/>
      <c r="H574" s="342"/>
      <c r="I574" s="342"/>
      <c r="J574" s="342"/>
      <c r="L574" s="342"/>
      <c r="M574" s="342"/>
      <c r="R574" s="342"/>
      <c r="AJ574" s="342"/>
      <c r="AL574" s="342"/>
      <c r="AM574" s="342"/>
      <c r="BD574" s="342"/>
    </row>
    <row r="575" spans="4:56" x14ac:dyDescent="0.2">
      <c r="D575" s="342"/>
      <c r="F575" s="342"/>
      <c r="G575" s="342"/>
      <c r="H575" s="342"/>
      <c r="I575" s="342"/>
      <c r="J575" s="342"/>
      <c r="L575" s="342"/>
      <c r="M575" s="342"/>
      <c r="R575" s="342"/>
      <c r="AJ575" s="342"/>
      <c r="AL575" s="342"/>
      <c r="AM575" s="342"/>
      <c r="BD575" s="342"/>
    </row>
    <row r="576" spans="4:56" x14ac:dyDescent="0.2">
      <c r="D576" s="342"/>
      <c r="F576" s="342"/>
      <c r="G576" s="342"/>
      <c r="H576" s="342"/>
      <c r="I576" s="342"/>
      <c r="J576" s="342"/>
      <c r="L576" s="342"/>
      <c r="M576" s="342"/>
      <c r="R576" s="342"/>
      <c r="AJ576" s="342"/>
      <c r="AL576" s="342"/>
      <c r="AM576" s="342"/>
      <c r="BD576" s="342"/>
    </row>
    <row r="577" spans="4:56" x14ac:dyDescent="0.2">
      <c r="D577" s="342"/>
      <c r="F577" s="342"/>
      <c r="G577" s="342"/>
      <c r="H577" s="342"/>
      <c r="I577" s="342"/>
      <c r="J577" s="342"/>
      <c r="L577" s="342"/>
      <c r="M577" s="342"/>
      <c r="R577" s="342"/>
      <c r="AJ577" s="342"/>
      <c r="AL577" s="342"/>
      <c r="AM577" s="342"/>
      <c r="BD577" s="342"/>
    </row>
    <row r="578" spans="4:56" x14ac:dyDescent="0.2">
      <c r="D578" s="342"/>
      <c r="F578" s="342"/>
      <c r="G578" s="342"/>
      <c r="H578" s="342"/>
      <c r="I578" s="342"/>
      <c r="J578" s="342"/>
      <c r="L578" s="342"/>
      <c r="M578" s="342"/>
      <c r="R578" s="342"/>
      <c r="AJ578" s="342"/>
      <c r="AL578" s="342"/>
      <c r="AM578" s="342"/>
      <c r="BD578" s="342"/>
    </row>
    <row r="579" spans="4:56" x14ac:dyDescent="0.2">
      <c r="D579" s="342"/>
      <c r="F579" s="342"/>
      <c r="G579" s="342"/>
      <c r="H579" s="342"/>
      <c r="I579" s="342"/>
      <c r="J579" s="342"/>
      <c r="L579" s="342"/>
      <c r="M579" s="342"/>
      <c r="R579" s="342"/>
      <c r="AJ579" s="342"/>
      <c r="AL579" s="342"/>
      <c r="AM579" s="342"/>
      <c r="BD579" s="342"/>
    </row>
    <row r="580" spans="4:56" x14ac:dyDescent="0.2">
      <c r="D580" s="342"/>
      <c r="F580" s="342"/>
      <c r="G580" s="342"/>
      <c r="H580" s="342"/>
      <c r="I580" s="342"/>
      <c r="J580" s="342"/>
      <c r="L580" s="342"/>
      <c r="M580" s="342"/>
      <c r="R580" s="342"/>
      <c r="AJ580" s="342"/>
      <c r="AL580" s="342"/>
      <c r="AM580" s="342"/>
      <c r="BD580" s="342"/>
    </row>
    <row r="581" spans="4:56" x14ac:dyDescent="0.2">
      <c r="D581" s="342"/>
      <c r="F581" s="342"/>
      <c r="G581" s="342"/>
      <c r="H581" s="342"/>
      <c r="I581" s="342"/>
      <c r="J581" s="342"/>
      <c r="L581" s="342"/>
      <c r="M581" s="342"/>
      <c r="R581" s="342"/>
      <c r="AJ581" s="342"/>
      <c r="AL581" s="342"/>
      <c r="AM581" s="342"/>
      <c r="BD581" s="342"/>
    </row>
    <row r="582" spans="4:56" x14ac:dyDescent="0.2">
      <c r="D582" s="342"/>
      <c r="F582" s="342"/>
      <c r="G582" s="342"/>
      <c r="H582" s="342"/>
      <c r="I582" s="342"/>
      <c r="J582" s="342"/>
      <c r="L582" s="342"/>
      <c r="M582" s="342"/>
      <c r="R582" s="342"/>
      <c r="AJ582" s="342"/>
      <c r="AL582" s="342"/>
      <c r="AM582" s="342"/>
      <c r="BD582" s="342"/>
    </row>
    <row r="583" spans="4:56" x14ac:dyDescent="0.2">
      <c r="D583" s="342"/>
      <c r="F583" s="342"/>
      <c r="G583" s="342"/>
      <c r="H583" s="342"/>
      <c r="I583" s="342"/>
      <c r="J583" s="342"/>
      <c r="L583" s="342"/>
      <c r="M583" s="342"/>
      <c r="R583" s="342"/>
      <c r="AJ583" s="342"/>
      <c r="AL583" s="342"/>
      <c r="AM583" s="342"/>
      <c r="BD583" s="342"/>
    </row>
    <row r="584" spans="4:56" x14ac:dyDescent="0.2">
      <c r="D584" s="342"/>
      <c r="F584" s="342"/>
      <c r="G584" s="342"/>
      <c r="H584" s="342"/>
      <c r="I584" s="342"/>
      <c r="J584" s="342"/>
      <c r="L584" s="342"/>
      <c r="M584" s="342"/>
      <c r="R584" s="342"/>
      <c r="AJ584" s="342"/>
      <c r="AL584" s="342"/>
      <c r="AM584" s="342"/>
      <c r="BD584" s="342"/>
    </row>
    <row r="585" spans="4:56" x14ac:dyDescent="0.2">
      <c r="D585" s="342"/>
      <c r="F585" s="342"/>
      <c r="G585" s="342"/>
      <c r="H585" s="342"/>
      <c r="I585" s="342"/>
      <c r="J585" s="342"/>
      <c r="L585" s="342"/>
      <c r="M585" s="342"/>
      <c r="R585" s="342"/>
      <c r="AJ585" s="342"/>
      <c r="AL585" s="342"/>
      <c r="AM585" s="342"/>
      <c r="BD585" s="342"/>
    </row>
    <row r="586" spans="4:56" x14ac:dyDescent="0.2">
      <c r="D586" s="342"/>
      <c r="F586" s="342"/>
      <c r="G586" s="342"/>
      <c r="H586" s="342"/>
      <c r="I586" s="342"/>
      <c r="J586" s="342"/>
      <c r="L586" s="342"/>
      <c r="M586" s="342"/>
      <c r="R586" s="342"/>
      <c r="AJ586" s="342"/>
      <c r="AL586" s="342"/>
      <c r="AM586" s="342"/>
      <c r="BD586" s="342"/>
    </row>
    <row r="587" spans="4:56" x14ac:dyDescent="0.2">
      <c r="D587" s="342"/>
      <c r="F587" s="342"/>
      <c r="G587" s="342"/>
      <c r="H587" s="342"/>
      <c r="I587" s="342"/>
      <c r="J587" s="342"/>
      <c r="L587" s="342"/>
      <c r="M587" s="342"/>
      <c r="R587" s="342"/>
      <c r="AJ587" s="342"/>
      <c r="AL587" s="342"/>
      <c r="AM587" s="342"/>
      <c r="BD587" s="342"/>
    </row>
    <row r="588" spans="4:56" x14ac:dyDescent="0.2">
      <c r="D588" s="342"/>
      <c r="F588" s="342"/>
      <c r="G588" s="342"/>
      <c r="H588" s="342"/>
      <c r="I588" s="342"/>
      <c r="J588" s="342"/>
      <c r="L588" s="342"/>
      <c r="M588" s="342"/>
      <c r="R588" s="342"/>
      <c r="AJ588" s="342"/>
      <c r="AL588" s="342"/>
      <c r="AM588" s="342"/>
      <c r="BD588" s="342"/>
    </row>
    <row r="589" spans="4:56" x14ac:dyDescent="0.2">
      <c r="D589" s="342"/>
      <c r="F589" s="342"/>
      <c r="G589" s="342"/>
      <c r="H589" s="342"/>
      <c r="I589" s="342"/>
      <c r="J589" s="342"/>
      <c r="L589" s="342"/>
      <c r="M589" s="342"/>
      <c r="R589" s="342"/>
      <c r="AJ589" s="342"/>
      <c r="AL589" s="342"/>
      <c r="AM589" s="342"/>
      <c r="BD589" s="342"/>
    </row>
    <row r="590" spans="4:56" x14ac:dyDescent="0.2">
      <c r="D590" s="342"/>
      <c r="F590" s="342"/>
      <c r="G590" s="342"/>
      <c r="H590" s="342"/>
      <c r="I590" s="342"/>
      <c r="J590" s="342"/>
      <c r="L590" s="342"/>
      <c r="M590" s="342"/>
      <c r="R590" s="342"/>
      <c r="AJ590" s="342"/>
      <c r="AL590" s="342"/>
      <c r="AM590" s="342"/>
      <c r="BD590" s="342"/>
    </row>
    <row r="591" spans="4:56" x14ac:dyDescent="0.2">
      <c r="D591" s="342"/>
      <c r="F591" s="342"/>
      <c r="G591" s="342"/>
      <c r="H591" s="342"/>
      <c r="I591" s="342"/>
      <c r="J591" s="342"/>
      <c r="L591" s="342"/>
      <c r="M591" s="342"/>
      <c r="R591" s="342"/>
      <c r="AJ591" s="342"/>
      <c r="AL591" s="342"/>
      <c r="AM591" s="342"/>
      <c r="BD591" s="342"/>
    </row>
    <row r="592" spans="4:56" x14ac:dyDescent="0.2">
      <c r="D592" s="342"/>
      <c r="F592" s="342"/>
      <c r="G592" s="342"/>
      <c r="H592" s="342"/>
      <c r="I592" s="342"/>
      <c r="J592" s="342"/>
      <c r="L592" s="342"/>
      <c r="M592" s="342"/>
      <c r="R592" s="342"/>
      <c r="AJ592" s="342"/>
      <c r="AL592" s="342"/>
      <c r="AM592" s="342"/>
      <c r="BD592" s="342"/>
    </row>
    <row r="593" spans="4:56" x14ac:dyDescent="0.2">
      <c r="D593" s="342"/>
      <c r="F593" s="342"/>
      <c r="G593" s="342"/>
      <c r="H593" s="342"/>
      <c r="I593" s="342"/>
      <c r="J593" s="342"/>
      <c r="L593" s="342"/>
      <c r="M593" s="342"/>
      <c r="R593" s="342"/>
      <c r="AJ593" s="342"/>
      <c r="AL593" s="342"/>
      <c r="AM593" s="342"/>
      <c r="BD593" s="342"/>
    </row>
    <row r="594" spans="4:56" x14ac:dyDescent="0.2">
      <c r="D594" s="342"/>
      <c r="F594" s="342"/>
      <c r="G594" s="342"/>
      <c r="H594" s="342"/>
      <c r="I594" s="342"/>
      <c r="J594" s="342"/>
      <c r="L594" s="342"/>
      <c r="M594" s="342"/>
      <c r="R594" s="342"/>
      <c r="AJ594" s="342"/>
      <c r="AL594" s="342"/>
      <c r="AM594" s="342"/>
      <c r="BD594" s="342"/>
    </row>
    <row r="595" spans="4:56" x14ac:dyDescent="0.2">
      <c r="D595" s="342"/>
      <c r="F595" s="342"/>
      <c r="G595" s="342"/>
      <c r="H595" s="342"/>
      <c r="I595" s="342"/>
      <c r="J595" s="342"/>
      <c r="L595" s="342"/>
      <c r="M595" s="342"/>
      <c r="R595" s="342"/>
      <c r="AJ595" s="342"/>
      <c r="AL595" s="342"/>
      <c r="AM595" s="342"/>
      <c r="BD595" s="342"/>
    </row>
    <row r="596" spans="4:56" x14ac:dyDescent="0.2">
      <c r="D596" s="342"/>
      <c r="F596" s="342"/>
      <c r="G596" s="342"/>
      <c r="H596" s="342"/>
      <c r="I596" s="342"/>
      <c r="J596" s="342"/>
      <c r="L596" s="342"/>
      <c r="M596" s="342"/>
      <c r="R596" s="342"/>
      <c r="AJ596" s="342"/>
      <c r="AL596" s="342"/>
      <c r="AM596" s="342"/>
      <c r="BD596" s="342"/>
    </row>
    <row r="597" spans="4:56" x14ac:dyDescent="0.2">
      <c r="D597" s="342"/>
      <c r="F597" s="342"/>
      <c r="G597" s="342"/>
      <c r="H597" s="342"/>
      <c r="I597" s="342"/>
      <c r="J597" s="342"/>
      <c r="L597" s="342"/>
      <c r="M597" s="342"/>
      <c r="R597" s="342"/>
      <c r="AJ597" s="342"/>
      <c r="AL597" s="342"/>
      <c r="AM597" s="342"/>
      <c r="BD597" s="342"/>
    </row>
    <row r="598" spans="4:56" x14ac:dyDescent="0.2">
      <c r="D598" s="342"/>
      <c r="F598" s="342"/>
      <c r="G598" s="342"/>
      <c r="H598" s="342"/>
      <c r="I598" s="342"/>
      <c r="J598" s="342"/>
      <c r="L598" s="342"/>
      <c r="M598" s="342"/>
      <c r="R598" s="342"/>
      <c r="AJ598" s="342"/>
      <c r="AL598" s="342"/>
      <c r="AM598" s="342"/>
      <c r="BD598" s="342"/>
    </row>
    <row r="599" spans="4:56" x14ac:dyDescent="0.2">
      <c r="D599" s="342"/>
      <c r="F599" s="342"/>
      <c r="G599" s="342"/>
      <c r="H599" s="342"/>
      <c r="I599" s="342"/>
      <c r="J599" s="342"/>
      <c r="L599" s="342"/>
      <c r="M599" s="342"/>
      <c r="R599" s="342"/>
      <c r="AJ599" s="342"/>
      <c r="AL599" s="342"/>
      <c r="AM599" s="342"/>
      <c r="BD599" s="342"/>
    </row>
    <row r="600" spans="4:56" x14ac:dyDescent="0.2">
      <c r="D600" s="342"/>
      <c r="F600" s="342"/>
      <c r="G600" s="342"/>
      <c r="H600" s="342"/>
      <c r="I600" s="342"/>
      <c r="J600" s="342"/>
      <c r="L600" s="342"/>
      <c r="M600" s="342"/>
      <c r="R600" s="342"/>
      <c r="AJ600" s="342"/>
      <c r="AL600" s="342"/>
      <c r="AM600" s="342"/>
      <c r="BD600" s="342"/>
    </row>
    <row r="601" spans="4:56" x14ac:dyDescent="0.2">
      <c r="D601" s="342"/>
      <c r="F601" s="342"/>
      <c r="G601" s="342"/>
      <c r="H601" s="342"/>
      <c r="I601" s="342"/>
      <c r="J601" s="342"/>
      <c r="L601" s="342"/>
      <c r="M601" s="342"/>
      <c r="R601" s="342"/>
      <c r="AJ601" s="342"/>
      <c r="AL601" s="342"/>
      <c r="AM601" s="342"/>
      <c r="BD601" s="342"/>
    </row>
    <row r="602" spans="4:56" x14ac:dyDescent="0.2">
      <c r="D602" s="342"/>
      <c r="F602" s="342"/>
      <c r="G602" s="342"/>
      <c r="H602" s="342"/>
      <c r="I602" s="342"/>
      <c r="J602" s="342"/>
      <c r="L602" s="342"/>
      <c r="M602" s="342"/>
      <c r="R602" s="342"/>
      <c r="AJ602" s="342"/>
      <c r="AL602" s="342"/>
      <c r="AM602" s="342"/>
      <c r="BD602" s="342"/>
    </row>
    <row r="603" spans="4:56" x14ac:dyDescent="0.2">
      <c r="D603" s="342"/>
      <c r="F603" s="342"/>
      <c r="G603" s="342"/>
      <c r="H603" s="342"/>
      <c r="I603" s="342"/>
      <c r="J603" s="342"/>
      <c r="L603" s="342"/>
      <c r="M603" s="342"/>
      <c r="R603" s="342"/>
      <c r="AJ603" s="342"/>
      <c r="AL603" s="342"/>
      <c r="AM603" s="342"/>
      <c r="BD603" s="342"/>
    </row>
    <row r="604" spans="4:56" x14ac:dyDescent="0.2">
      <c r="D604" s="342"/>
      <c r="F604" s="342"/>
      <c r="G604" s="342"/>
      <c r="H604" s="342"/>
      <c r="I604" s="342"/>
      <c r="J604" s="342"/>
      <c r="L604" s="342"/>
      <c r="M604" s="342"/>
      <c r="R604" s="342"/>
      <c r="AJ604" s="342"/>
      <c r="AL604" s="342"/>
      <c r="AM604" s="342"/>
      <c r="BD604" s="342"/>
    </row>
    <row r="605" spans="4:56" x14ac:dyDescent="0.2">
      <c r="D605" s="342"/>
      <c r="F605" s="342"/>
      <c r="G605" s="342"/>
      <c r="H605" s="342"/>
      <c r="I605" s="342"/>
      <c r="J605" s="342"/>
      <c r="L605" s="342"/>
      <c r="M605" s="342"/>
      <c r="R605" s="342"/>
      <c r="AJ605" s="342"/>
      <c r="AL605" s="342"/>
      <c r="AM605" s="342"/>
      <c r="BD605" s="342"/>
    </row>
    <row r="606" spans="4:56" x14ac:dyDescent="0.2">
      <c r="D606" s="342"/>
      <c r="F606" s="342"/>
      <c r="G606" s="342"/>
      <c r="H606" s="342"/>
      <c r="I606" s="342"/>
      <c r="J606" s="342"/>
      <c r="L606" s="342"/>
      <c r="M606" s="342"/>
      <c r="R606" s="342"/>
      <c r="AJ606" s="342"/>
      <c r="AL606" s="342"/>
      <c r="AM606" s="342"/>
      <c r="BD606" s="342"/>
    </row>
    <row r="607" spans="4:56" x14ac:dyDescent="0.2">
      <c r="D607" s="342"/>
      <c r="F607" s="342"/>
      <c r="G607" s="342"/>
      <c r="H607" s="342"/>
      <c r="I607" s="342"/>
      <c r="J607" s="342"/>
      <c r="L607" s="342"/>
      <c r="M607" s="342"/>
      <c r="R607" s="342"/>
      <c r="AJ607" s="342"/>
      <c r="AL607" s="342"/>
      <c r="AM607" s="342"/>
      <c r="BD607" s="342"/>
    </row>
    <row r="608" spans="4:56" x14ac:dyDescent="0.2">
      <c r="D608" s="342"/>
      <c r="F608" s="342"/>
      <c r="G608" s="342"/>
      <c r="H608" s="342"/>
      <c r="I608" s="342"/>
      <c r="J608" s="342"/>
      <c r="L608" s="342"/>
      <c r="M608" s="342"/>
      <c r="R608" s="342"/>
      <c r="AJ608" s="342"/>
      <c r="AL608" s="342"/>
      <c r="AM608" s="342"/>
      <c r="BD608" s="342"/>
    </row>
    <row r="609" spans="4:56" x14ac:dyDescent="0.2">
      <c r="D609" s="342"/>
      <c r="F609" s="342"/>
      <c r="G609" s="342"/>
      <c r="H609" s="342"/>
      <c r="I609" s="342"/>
      <c r="J609" s="342"/>
      <c r="L609" s="342"/>
      <c r="M609" s="342"/>
      <c r="R609" s="342"/>
      <c r="AJ609" s="342"/>
      <c r="AL609" s="342"/>
      <c r="AM609" s="342"/>
      <c r="BD609" s="342"/>
    </row>
    <row r="610" spans="4:56" x14ac:dyDescent="0.2">
      <c r="D610" s="342"/>
      <c r="F610" s="342"/>
      <c r="G610" s="342"/>
      <c r="H610" s="342"/>
      <c r="I610" s="342"/>
      <c r="J610" s="342"/>
      <c r="L610" s="342"/>
      <c r="M610" s="342"/>
      <c r="R610" s="342"/>
      <c r="AJ610" s="342"/>
      <c r="AL610" s="342"/>
      <c r="AM610" s="342"/>
      <c r="BD610" s="342"/>
    </row>
    <row r="611" spans="4:56" x14ac:dyDescent="0.2">
      <c r="D611" s="342"/>
      <c r="F611" s="342"/>
      <c r="G611" s="342"/>
      <c r="H611" s="342"/>
      <c r="I611" s="342"/>
      <c r="J611" s="342"/>
      <c r="L611" s="342"/>
      <c r="M611" s="342"/>
      <c r="R611" s="342"/>
      <c r="AJ611" s="342"/>
      <c r="AL611" s="342"/>
      <c r="AM611" s="342"/>
      <c r="BD611" s="342"/>
    </row>
    <row r="612" spans="4:56" x14ac:dyDescent="0.2">
      <c r="D612" s="342"/>
      <c r="F612" s="342"/>
      <c r="G612" s="342"/>
      <c r="H612" s="342"/>
      <c r="I612" s="342"/>
      <c r="J612" s="342"/>
      <c r="L612" s="342"/>
      <c r="M612" s="342"/>
      <c r="R612" s="342"/>
      <c r="AJ612" s="342"/>
      <c r="AL612" s="342"/>
      <c r="AM612" s="342"/>
      <c r="BD612" s="342"/>
    </row>
    <row r="613" spans="4:56" x14ac:dyDescent="0.2">
      <c r="D613" s="342"/>
      <c r="F613" s="342"/>
      <c r="G613" s="342"/>
      <c r="H613" s="342"/>
      <c r="I613" s="342"/>
      <c r="J613" s="342"/>
      <c r="L613" s="342"/>
      <c r="M613" s="342"/>
      <c r="R613" s="342"/>
      <c r="AJ613" s="342"/>
      <c r="AL613" s="342"/>
      <c r="AM613" s="342"/>
      <c r="BD613" s="342"/>
    </row>
    <row r="614" spans="4:56" x14ac:dyDescent="0.2">
      <c r="D614" s="342"/>
      <c r="F614" s="342"/>
      <c r="G614" s="342"/>
      <c r="H614" s="342"/>
      <c r="I614" s="342"/>
      <c r="J614" s="342"/>
      <c r="L614" s="342"/>
      <c r="M614" s="342"/>
      <c r="R614" s="342"/>
      <c r="AJ614" s="342"/>
      <c r="AL614" s="342"/>
      <c r="AM614" s="342"/>
      <c r="BD614" s="342"/>
    </row>
    <row r="615" spans="4:56" x14ac:dyDescent="0.2">
      <c r="D615" s="342"/>
      <c r="F615" s="342"/>
      <c r="G615" s="342"/>
      <c r="H615" s="342"/>
      <c r="I615" s="342"/>
      <c r="J615" s="342"/>
      <c r="L615" s="342"/>
      <c r="M615" s="342"/>
      <c r="R615" s="342"/>
      <c r="AJ615" s="342"/>
      <c r="AL615" s="342"/>
      <c r="AM615" s="342"/>
      <c r="BD615" s="342"/>
    </row>
    <row r="616" spans="4:56" x14ac:dyDescent="0.2">
      <c r="D616" s="342"/>
      <c r="F616" s="342"/>
      <c r="G616" s="342"/>
      <c r="H616" s="342"/>
      <c r="I616" s="342"/>
      <c r="J616" s="342"/>
      <c r="L616" s="342"/>
      <c r="M616" s="342"/>
      <c r="R616" s="342"/>
      <c r="AJ616" s="342"/>
      <c r="AL616" s="342"/>
      <c r="AM616" s="342"/>
      <c r="BD616" s="342"/>
    </row>
    <row r="617" spans="4:56" x14ac:dyDescent="0.2">
      <c r="D617" s="342"/>
      <c r="F617" s="342"/>
      <c r="G617" s="342"/>
      <c r="H617" s="342"/>
      <c r="I617" s="342"/>
      <c r="J617" s="342"/>
      <c r="L617" s="342"/>
      <c r="M617" s="342"/>
      <c r="R617" s="342"/>
      <c r="AJ617" s="342"/>
      <c r="AL617" s="342"/>
      <c r="AM617" s="342"/>
      <c r="BD617" s="342"/>
    </row>
    <row r="618" spans="4:56" x14ac:dyDescent="0.2">
      <c r="D618" s="342"/>
      <c r="F618" s="342"/>
      <c r="G618" s="342"/>
      <c r="H618" s="342"/>
      <c r="I618" s="342"/>
      <c r="J618" s="342"/>
      <c r="L618" s="342"/>
      <c r="M618" s="342"/>
      <c r="R618" s="342"/>
      <c r="AJ618" s="342"/>
      <c r="AL618" s="342"/>
      <c r="AM618" s="342"/>
      <c r="BD618" s="342"/>
    </row>
    <row r="619" spans="4:56" x14ac:dyDescent="0.2">
      <c r="D619" s="342"/>
      <c r="F619" s="342"/>
      <c r="G619" s="342"/>
      <c r="H619" s="342"/>
      <c r="I619" s="342"/>
      <c r="J619" s="342"/>
      <c r="L619" s="342"/>
      <c r="M619" s="342"/>
      <c r="R619" s="342"/>
      <c r="AJ619" s="342"/>
      <c r="AL619" s="342"/>
      <c r="AM619" s="342"/>
      <c r="BD619" s="342"/>
    </row>
    <row r="620" spans="4:56" x14ac:dyDescent="0.2">
      <c r="D620" s="342"/>
      <c r="F620" s="342"/>
      <c r="G620" s="342"/>
      <c r="H620" s="342"/>
      <c r="I620" s="342"/>
      <c r="J620" s="342"/>
      <c r="L620" s="342"/>
      <c r="M620" s="342"/>
      <c r="R620" s="342"/>
      <c r="AJ620" s="342"/>
      <c r="AL620" s="342"/>
      <c r="AM620" s="342"/>
      <c r="BD620" s="342"/>
    </row>
    <row r="621" spans="4:56" x14ac:dyDescent="0.2">
      <c r="D621" s="342"/>
      <c r="F621" s="342"/>
      <c r="G621" s="342"/>
      <c r="H621" s="342"/>
      <c r="I621" s="342"/>
      <c r="J621" s="342"/>
      <c r="L621" s="342"/>
      <c r="M621" s="342"/>
      <c r="R621" s="342"/>
      <c r="AJ621" s="342"/>
      <c r="AL621" s="342"/>
      <c r="AM621" s="342"/>
      <c r="BD621" s="342"/>
    </row>
    <row r="622" spans="4:56" x14ac:dyDescent="0.2">
      <c r="D622" s="342"/>
      <c r="F622" s="342"/>
      <c r="G622" s="342"/>
      <c r="H622" s="342"/>
      <c r="I622" s="342"/>
      <c r="J622" s="342"/>
      <c r="L622" s="342"/>
      <c r="M622" s="342"/>
      <c r="R622" s="342"/>
      <c r="AJ622" s="342"/>
      <c r="AL622" s="342"/>
      <c r="AM622" s="342"/>
      <c r="BD622" s="342"/>
    </row>
    <row r="623" spans="4:56" x14ac:dyDescent="0.2">
      <c r="D623" s="342"/>
      <c r="F623" s="342"/>
      <c r="G623" s="342"/>
      <c r="H623" s="342"/>
      <c r="I623" s="342"/>
      <c r="J623" s="342"/>
      <c r="L623" s="342"/>
      <c r="M623" s="342"/>
      <c r="R623" s="342"/>
      <c r="AJ623" s="342"/>
      <c r="AL623" s="342"/>
      <c r="AM623" s="342"/>
      <c r="BD623" s="342"/>
    </row>
    <row r="624" spans="4:56" x14ac:dyDescent="0.2">
      <c r="D624" s="342"/>
      <c r="F624" s="342"/>
      <c r="G624" s="342"/>
      <c r="H624" s="342"/>
      <c r="I624" s="342"/>
      <c r="J624" s="342"/>
      <c r="L624" s="342"/>
      <c r="M624" s="342"/>
      <c r="R624" s="342"/>
      <c r="AJ624" s="342"/>
      <c r="AL624" s="342"/>
      <c r="AM624" s="342"/>
      <c r="BD624" s="342"/>
    </row>
    <row r="625" spans="4:56" x14ac:dyDescent="0.2">
      <c r="D625" s="342"/>
      <c r="F625" s="342"/>
      <c r="G625" s="342"/>
      <c r="H625" s="342"/>
      <c r="I625" s="342"/>
      <c r="J625" s="342"/>
      <c r="L625" s="342"/>
      <c r="M625" s="342"/>
      <c r="R625" s="342"/>
      <c r="AJ625" s="342"/>
      <c r="AL625" s="342"/>
      <c r="AM625" s="342"/>
      <c r="BD625" s="342"/>
    </row>
    <row r="626" spans="4:56" x14ac:dyDescent="0.2">
      <c r="D626" s="342"/>
      <c r="F626" s="342"/>
      <c r="G626" s="342"/>
      <c r="H626" s="342"/>
      <c r="I626" s="342"/>
      <c r="J626" s="342"/>
      <c r="L626" s="342"/>
      <c r="M626" s="342"/>
      <c r="R626" s="342"/>
      <c r="AJ626" s="342"/>
      <c r="AL626" s="342"/>
      <c r="AM626" s="342"/>
      <c r="BD626" s="342"/>
    </row>
    <row r="627" spans="4:56" x14ac:dyDescent="0.2">
      <c r="D627" s="342"/>
      <c r="F627" s="342"/>
      <c r="G627" s="342"/>
      <c r="H627" s="342"/>
      <c r="I627" s="342"/>
      <c r="J627" s="342"/>
      <c r="L627" s="342"/>
      <c r="M627" s="342"/>
      <c r="R627" s="342"/>
      <c r="AJ627" s="342"/>
      <c r="AL627" s="342"/>
      <c r="AM627" s="342"/>
      <c r="BD627" s="342"/>
    </row>
    <row r="628" spans="4:56" x14ac:dyDescent="0.2">
      <c r="D628" s="342"/>
      <c r="F628" s="342"/>
      <c r="G628" s="342"/>
      <c r="H628" s="342"/>
      <c r="I628" s="342"/>
      <c r="J628" s="342"/>
      <c r="L628" s="342"/>
      <c r="M628" s="342"/>
      <c r="R628" s="342"/>
      <c r="AJ628" s="342"/>
      <c r="AL628" s="342"/>
      <c r="AM628" s="342"/>
      <c r="BD628" s="342"/>
    </row>
    <row r="629" spans="4:56" x14ac:dyDescent="0.2">
      <c r="D629" s="342"/>
      <c r="F629" s="342"/>
      <c r="G629" s="342"/>
      <c r="H629" s="342"/>
      <c r="I629" s="342"/>
      <c r="J629" s="342"/>
      <c r="L629" s="342"/>
      <c r="M629" s="342"/>
      <c r="R629" s="342"/>
      <c r="AJ629" s="342"/>
      <c r="AL629" s="342"/>
      <c r="AM629" s="342"/>
      <c r="BD629" s="342"/>
    </row>
    <row r="630" spans="4:56" x14ac:dyDescent="0.2">
      <c r="D630" s="342"/>
      <c r="F630" s="342"/>
      <c r="G630" s="342"/>
      <c r="H630" s="342"/>
      <c r="I630" s="342"/>
      <c r="J630" s="342"/>
      <c r="L630" s="342"/>
      <c r="M630" s="342"/>
      <c r="R630" s="342"/>
      <c r="AJ630" s="342"/>
      <c r="AL630" s="342"/>
      <c r="AM630" s="342"/>
      <c r="BD630" s="342"/>
    </row>
    <row r="631" spans="4:56" x14ac:dyDescent="0.2">
      <c r="D631" s="342"/>
      <c r="F631" s="342"/>
      <c r="G631" s="342"/>
      <c r="H631" s="342"/>
      <c r="I631" s="342"/>
      <c r="J631" s="342"/>
      <c r="L631" s="342"/>
      <c r="M631" s="342"/>
      <c r="R631" s="342"/>
      <c r="AJ631" s="342"/>
      <c r="AL631" s="342"/>
      <c r="AM631" s="342"/>
      <c r="BD631" s="342"/>
    </row>
    <row r="632" spans="4:56" x14ac:dyDescent="0.2">
      <c r="D632" s="342"/>
      <c r="F632" s="342"/>
      <c r="G632" s="342"/>
      <c r="H632" s="342"/>
      <c r="I632" s="342"/>
      <c r="J632" s="342"/>
      <c r="L632" s="342"/>
      <c r="M632" s="342"/>
      <c r="R632" s="342"/>
      <c r="AJ632" s="342"/>
      <c r="AL632" s="342"/>
      <c r="AM632" s="342"/>
      <c r="BD632" s="342"/>
    </row>
    <row r="633" spans="4:56" x14ac:dyDescent="0.2">
      <c r="D633" s="342"/>
      <c r="F633" s="342"/>
      <c r="G633" s="342"/>
      <c r="H633" s="342"/>
      <c r="I633" s="342"/>
      <c r="J633" s="342"/>
      <c r="L633" s="342"/>
      <c r="M633" s="342"/>
      <c r="R633" s="342"/>
      <c r="AJ633" s="342"/>
      <c r="AL633" s="342"/>
      <c r="AM633" s="342"/>
      <c r="BD633" s="342"/>
    </row>
    <row r="634" spans="4:56" x14ac:dyDescent="0.2">
      <c r="D634" s="342"/>
      <c r="F634" s="342"/>
      <c r="G634" s="342"/>
      <c r="H634" s="342"/>
      <c r="I634" s="342"/>
      <c r="J634" s="342"/>
      <c r="L634" s="342"/>
      <c r="M634" s="342"/>
      <c r="R634" s="342"/>
      <c r="AJ634" s="342"/>
      <c r="AL634" s="342"/>
      <c r="AM634" s="342"/>
      <c r="BD634" s="342"/>
    </row>
    <row r="635" spans="4:56" x14ac:dyDescent="0.2">
      <c r="D635" s="342"/>
      <c r="F635" s="342"/>
      <c r="G635" s="342"/>
      <c r="H635" s="342"/>
      <c r="I635" s="342"/>
      <c r="J635" s="342"/>
      <c r="L635" s="342"/>
      <c r="M635" s="342"/>
      <c r="R635" s="342"/>
      <c r="AJ635" s="342"/>
      <c r="AL635" s="342"/>
      <c r="AM635" s="342"/>
      <c r="BD635" s="342"/>
    </row>
    <row r="636" spans="4:56" x14ac:dyDescent="0.2">
      <c r="D636" s="342"/>
      <c r="F636" s="342"/>
      <c r="G636" s="342"/>
      <c r="H636" s="342"/>
      <c r="I636" s="342"/>
      <c r="J636" s="342"/>
      <c r="L636" s="342"/>
      <c r="M636" s="342"/>
      <c r="R636" s="342"/>
      <c r="AJ636" s="342"/>
      <c r="AL636" s="342"/>
      <c r="AM636" s="342"/>
      <c r="BD636" s="342"/>
    </row>
    <row r="637" spans="4:56" x14ac:dyDescent="0.2">
      <c r="D637" s="342"/>
      <c r="F637" s="342"/>
      <c r="G637" s="342"/>
      <c r="H637" s="342"/>
      <c r="I637" s="342"/>
      <c r="J637" s="342"/>
      <c r="L637" s="342"/>
      <c r="M637" s="342"/>
      <c r="R637" s="342"/>
      <c r="AJ637" s="342"/>
      <c r="AL637" s="342"/>
      <c r="AM637" s="342"/>
      <c r="BD637" s="342"/>
    </row>
    <row r="638" spans="4:56" x14ac:dyDescent="0.2">
      <c r="D638" s="342"/>
      <c r="F638" s="342"/>
      <c r="G638" s="342"/>
      <c r="H638" s="342"/>
      <c r="I638" s="342"/>
      <c r="J638" s="342"/>
      <c r="L638" s="342"/>
      <c r="M638" s="342"/>
      <c r="R638" s="342"/>
      <c r="AJ638" s="342"/>
      <c r="AL638" s="342"/>
      <c r="AM638" s="342"/>
      <c r="BD638" s="342"/>
    </row>
    <row r="639" spans="4:56" x14ac:dyDescent="0.2">
      <c r="D639" s="342"/>
      <c r="F639" s="342"/>
      <c r="G639" s="342"/>
      <c r="H639" s="342"/>
      <c r="I639" s="342"/>
      <c r="J639" s="342"/>
      <c r="L639" s="342"/>
      <c r="M639" s="342"/>
      <c r="R639" s="342"/>
      <c r="AJ639" s="342"/>
      <c r="AL639" s="342"/>
      <c r="AM639" s="342"/>
      <c r="BD639" s="342"/>
    </row>
    <row r="640" spans="4:56" x14ac:dyDescent="0.2">
      <c r="D640" s="342"/>
      <c r="F640" s="342"/>
      <c r="G640" s="342"/>
      <c r="H640" s="342"/>
      <c r="I640" s="342"/>
      <c r="J640" s="342"/>
      <c r="L640" s="342"/>
      <c r="M640" s="342"/>
      <c r="R640" s="342"/>
      <c r="AJ640" s="342"/>
      <c r="AL640" s="342"/>
      <c r="AM640" s="342"/>
      <c r="BD640" s="342"/>
    </row>
    <row r="641" spans="4:56" x14ac:dyDescent="0.2">
      <c r="D641" s="342"/>
      <c r="F641" s="342"/>
      <c r="G641" s="342"/>
      <c r="H641" s="342"/>
      <c r="I641" s="342"/>
      <c r="J641" s="342"/>
      <c r="L641" s="342"/>
      <c r="M641" s="342"/>
      <c r="R641" s="342"/>
      <c r="AJ641" s="342"/>
      <c r="AL641" s="342"/>
      <c r="AM641" s="342"/>
      <c r="BD641" s="342"/>
    </row>
    <row r="642" spans="4:56" x14ac:dyDescent="0.2">
      <c r="D642" s="342"/>
      <c r="F642" s="342"/>
      <c r="G642" s="342"/>
      <c r="H642" s="342"/>
      <c r="I642" s="342"/>
      <c r="J642" s="342"/>
      <c r="L642" s="342"/>
      <c r="M642" s="342"/>
      <c r="R642" s="342"/>
      <c r="AJ642" s="342"/>
      <c r="AL642" s="342"/>
      <c r="AM642" s="342"/>
      <c r="BD642" s="342"/>
    </row>
    <row r="643" spans="4:56" x14ac:dyDescent="0.2">
      <c r="D643" s="342"/>
      <c r="F643" s="342"/>
      <c r="G643" s="342"/>
      <c r="H643" s="342"/>
      <c r="I643" s="342"/>
      <c r="J643" s="342"/>
      <c r="L643" s="342"/>
      <c r="M643" s="342"/>
      <c r="R643" s="342"/>
      <c r="AJ643" s="342"/>
      <c r="AL643" s="342"/>
      <c r="AM643" s="342"/>
      <c r="BD643" s="342"/>
    </row>
    <row r="644" spans="4:56" x14ac:dyDescent="0.2">
      <c r="D644" s="342"/>
      <c r="F644" s="342"/>
      <c r="G644" s="342"/>
      <c r="H644" s="342"/>
      <c r="I644" s="342"/>
      <c r="J644" s="342"/>
      <c r="L644" s="342"/>
      <c r="M644" s="342"/>
      <c r="R644" s="342"/>
      <c r="AJ644" s="342"/>
      <c r="AL644" s="342"/>
      <c r="AM644" s="342"/>
      <c r="BD644" s="342"/>
    </row>
    <row r="645" spans="4:56" x14ac:dyDescent="0.2">
      <c r="D645" s="342"/>
      <c r="F645" s="342"/>
      <c r="G645" s="342"/>
      <c r="H645" s="342"/>
      <c r="I645" s="342"/>
      <c r="J645" s="342"/>
      <c r="L645" s="342"/>
      <c r="M645" s="342"/>
      <c r="R645" s="342"/>
      <c r="AJ645" s="342"/>
      <c r="AL645" s="342"/>
      <c r="AM645" s="342"/>
      <c r="BD645" s="342"/>
    </row>
    <row r="646" spans="4:56" x14ac:dyDescent="0.2">
      <c r="D646" s="342"/>
      <c r="F646" s="342"/>
      <c r="G646" s="342"/>
      <c r="H646" s="342"/>
      <c r="I646" s="342"/>
      <c r="J646" s="342"/>
      <c r="L646" s="342"/>
      <c r="M646" s="342"/>
      <c r="R646" s="342"/>
      <c r="AJ646" s="342"/>
      <c r="AL646" s="342"/>
      <c r="AM646" s="342"/>
      <c r="BD646" s="342"/>
    </row>
    <row r="647" spans="4:56" x14ac:dyDescent="0.2">
      <c r="D647" s="342"/>
      <c r="F647" s="342"/>
      <c r="G647" s="342"/>
      <c r="H647" s="342"/>
      <c r="I647" s="342"/>
      <c r="J647" s="342"/>
      <c r="L647" s="342"/>
      <c r="M647" s="342"/>
      <c r="R647" s="342"/>
      <c r="AJ647" s="342"/>
      <c r="AL647" s="342"/>
      <c r="AM647" s="342"/>
      <c r="BD647" s="342"/>
    </row>
    <row r="648" spans="4:56" x14ac:dyDescent="0.2">
      <c r="D648" s="342"/>
      <c r="F648" s="342"/>
      <c r="G648" s="342"/>
      <c r="H648" s="342"/>
      <c r="I648" s="342"/>
      <c r="J648" s="342"/>
      <c r="L648" s="342"/>
      <c r="M648" s="342"/>
      <c r="R648" s="342"/>
      <c r="AJ648" s="342"/>
      <c r="AL648" s="342"/>
      <c r="AM648" s="342"/>
      <c r="BD648" s="342"/>
    </row>
    <row r="649" spans="4:56" x14ac:dyDescent="0.2">
      <c r="D649" s="342"/>
      <c r="F649" s="342"/>
      <c r="G649" s="342"/>
      <c r="H649" s="342"/>
      <c r="I649" s="342"/>
      <c r="J649" s="342"/>
      <c r="L649" s="342"/>
      <c r="M649" s="342"/>
      <c r="R649" s="342"/>
      <c r="AJ649" s="342"/>
      <c r="AL649" s="342"/>
      <c r="AM649" s="342"/>
      <c r="BD649" s="342"/>
    </row>
    <row r="650" spans="4:56" x14ac:dyDescent="0.2">
      <c r="D650" s="342"/>
      <c r="F650" s="342"/>
      <c r="G650" s="342"/>
      <c r="H650" s="342"/>
      <c r="I650" s="342"/>
      <c r="J650" s="342"/>
      <c r="L650" s="342"/>
      <c r="M650" s="342"/>
      <c r="R650" s="342"/>
      <c r="AJ650" s="342"/>
      <c r="AL650" s="342"/>
      <c r="AM650" s="342"/>
      <c r="BD650" s="342"/>
    </row>
    <row r="651" spans="4:56" x14ac:dyDescent="0.2">
      <c r="D651" s="342"/>
      <c r="F651" s="342"/>
      <c r="G651" s="342"/>
      <c r="H651" s="342"/>
      <c r="I651" s="342"/>
      <c r="J651" s="342"/>
      <c r="L651" s="342"/>
      <c r="M651" s="342"/>
      <c r="R651" s="342"/>
      <c r="AJ651" s="342"/>
      <c r="AL651" s="342"/>
      <c r="AM651" s="342"/>
      <c r="BD651" s="342"/>
    </row>
    <row r="652" spans="4:56" x14ac:dyDescent="0.2">
      <c r="D652" s="342"/>
      <c r="F652" s="342"/>
      <c r="G652" s="342"/>
      <c r="H652" s="342"/>
      <c r="I652" s="342"/>
      <c r="J652" s="342"/>
      <c r="L652" s="342"/>
      <c r="M652" s="342"/>
      <c r="R652" s="342"/>
      <c r="AJ652" s="342"/>
      <c r="AL652" s="342"/>
      <c r="AM652" s="342"/>
      <c r="BD652" s="342"/>
    </row>
    <row r="653" spans="4:56" x14ac:dyDescent="0.2">
      <c r="D653" s="342"/>
      <c r="F653" s="342"/>
      <c r="G653" s="342"/>
      <c r="H653" s="342"/>
      <c r="I653" s="342"/>
      <c r="J653" s="342"/>
      <c r="L653" s="342"/>
      <c r="M653" s="342"/>
      <c r="R653" s="342"/>
      <c r="AJ653" s="342"/>
      <c r="AL653" s="342"/>
      <c r="AM653" s="342"/>
      <c r="BD653" s="342"/>
    </row>
    <row r="654" spans="4:56" x14ac:dyDescent="0.2">
      <c r="D654" s="342"/>
      <c r="F654" s="342"/>
      <c r="G654" s="342"/>
      <c r="H654" s="342"/>
      <c r="I654" s="342"/>
      <c r="J654" s="342"/>
      <c r="L654" s="342"/>
      <c r="M654" s="342"/>
      <c r="R654" s="342"/>
      <c r="AJ654" s="342"/>
      <c r="AL654" s="342"/>
      <c r="AM654" s="342"/>
      <c r="BD654" s="342"/>
    </row>
    <row r="655" spans="4:56" x14ac:dyDescent="0.2">
      <c r="D655" s="342"/>
      <c r="F655" s="342"/>
      <c r="G655" s="342"/>
      <c r="H655" s="342"/>
      <c r="I655" s="342"/>
      <c r="J655" s="342"/>
      <c r="L655" s="342"/>
      <c r="M655" s="342"/>
      <c r="R655" s="342"/>
      <c r="AJ655" s="342"/>
      <c r="AL655" s="342"/>
      <c r="AM655" s="342"/>
      <c r="BD655" s="342"/>
    </row>
    <row r="656" spans="4:56" x14ac:dyDescent="0.2">
      <c r="D656" s="342"/>
      <c r="F656" s="342"/>
      <c r="G656" s="342"/>
      <c r="H656" s="342"/>
      <c r="I656" s="342"/>
      <c r="J656" s="342"/>
      <c r="L656" s="342"/>
      <c r="M656" s="342"/>
      <c r="R656" s="342"/>
      <c r="AJ656" s="342"/>
      <c r="AL656" s="342"/>
      <c r="AM656" s="342"/>
      <c r="BD656" s="342"/>
    </row>
    <row r="657" spans="4:56" x14ac:dyDescent="0.2">
      <c r="D657" s="342"/>
      <c r="F657" s="342"/>
      <c r="G657" s="342"/>
      <c r="H657" s="342"/>
      <c r="I657" s="342"/>
      <c r="J657" s="342"/>
      <c r="L657" s="342"/>
      <c r="M657" s="342"/>
      <c r="R657" s="342"/>
      <c r="AJ657" s="342"/>
      <c r="AL657" s="342"/>
      <c r="AM657" s="342"/>
      <c r="BD657" s="342"/>
    </row>
    <row r="658" spans="4:56" x14ac:dyDescent="0.2">
      <c r="D658" s="342"/>
      <c r="F658" s="342"/>
      <c r="G658" s="342"/>
      <c r="H658" s="342"/>
      <c r="I658" s="342"/>
      <c r="J658" s="342"/>
      <c r="L658" s="342"/>
      <c r="M658" s="342"/>
      <c r="R658" s="342"/>
      <c r="AJ658" s="342"/>
      <c r="AL658" s="342"/>
      <c r="AM658" s="342"/>
      <c r="BD658" s="342"/>
    </row>
    <row r="659" spans="4:56" x14ac:dyDescent="0.2">
      <c r="D659" s="342"/>
      <c r="F659" s="342"/>
      <c r="G659" s="342"/>
      <c r="H659" s="342"/>
      <c r="I659" s="342"/>
      <c r="J659" s="342"/>
      <c r="L659" s="342"/>
      <c r="M659" s="342"/>
      <c r="R659" s="342"/>
      <c r="AJ659" s="342"/>
      <c r="AL659" s="342"/>
      <c r="AM659" s="342"/>
      <c r="BD659" s="342"/>
    </row>
    <row r="660" spans="4:56" x14ac:dyDescent="0.2">
      <c r="D660" s="342"/>
      <c r="F660" s="342"/>
      <c r="G660" s="342"/>
      <c r="H660" s="342"/>
      <c r="I660" s="342"/>
      <c r="J660" s="342"/>
      <c r="L660" s="342"/>
      <c r="M660" s="342"/>
      <c r="R660" s="342"/>
      <c r="AJ660" s="342"/>
      <c r="AL660" s="342"/>
      <c r="AM660" s="342"/>
      <c r="BD660" s="342"/>
    </row>
    <row r="661" spans="4:56" x14ac:dyDescent="0.2">
      <c r="D661" s="342"/>
      <c r="F661" s="342"/>
      <c r="G661" s="342"/>
      <c r="H661" s="342"/>
      <c r="I661" s="342"/>
      <c r="J661" s="342"/>
      <c r="L661" s="342"/>
      <c r="M661" s="342"/>
      <c r="R661" s="342"/>
      <c r="AJ661" s="342"/>
      <c r="AL661" s="342"/>
      <c r="AM661" s="342"/>
      <c r="BD661" s="342"/>
    </row>
    <row r="662" spans="4:56" x14ac:dyDescent="0.2">
      <c r="D662" s="342"/>
      <c r="F662" s="342"/>
      <c r="G662" s="342"/>
      <c r="H662" s="342"/>
      <c r="I662" s="342"/>
      <c r="J662" s="342"/>
      <c r="L662" s="342"/>
      <c r="M662" s="342"/>
      <c r="R662" s="342"/>
      <c r="AJ662" s="342"/>
      <c r="AL662" s="342"/>
      <c r="AM662" s="342"/>
      <c r="BD662" s="342"/>
    </row>
    <row r="663" spans="4:56" x14ac:dyDescent="0.2">
      <c r="D663" s="342"/>
      <c r="F663" s="342"/>
      <c r="G663" s="342"/>
      <c r="H663" s="342"/>
      <c r="I663" s="342"/>
      <c r="J663" s="342"/>
      <c r="L663" s="342"/>
      <c r="M663" s="342"/>
      <c r="R663" s="342"/>
      <c r="AJ663" s="342"/>
      <c r="AL663" s="342"/>
      <c r="AM663" s="342"/>
      <c r="BD663" s="342"/>
    </row>
    <row r="664" spans="4:56" x14ac:dyDescent="0.2">
      <c r="D664" s="342"/>
      <c r="F664" s="342"/>
      <c r="G664" s="342"/>
      <c r="H664" s="342"/>
      <c r="I664" s="342"/>
      <c r="J664" s="342"/>
      <c r="L664" s="342"/>
      <c r="M664" s="342"/>
      <c r="R664" s="342"/>
      <c r="AJ664" s="342"/>
      <c r="AL664" s="342"/>
      <c r="AM664" s="342"/>
      <c r="BD664" s="342"/>
    </row>
    <row r="665" spans="4:56" x14ac:dyDescent="0.2">
      <c r="D665" s="342"/>
      <c r="F665" s="342"/>
      <c r="G665" s="342"/>
      <c r="H665" s="342"/>
      <c r="I665" s="342"/>
      <c r="J665" s="342"/>
      <c r="L665" s="342"/>
      <c r="M665" s="342"/>
      <c r="R665" s="342"/>
      <c r="AJ665" s="342"/>
      <c r="AL665" s="342"/>
      <c r="AM665" s="342"/>
      <c r="BD665" s="342"/>
    </row>
    <row r="666" spans="4:56" x14ac:dyDescent="0.2">
      <c r="D666" s="342"/>
      <c r="F666" s="342"/>
      <c r="G666" s="342"/>
      <c r="H666" s="342"/>
      <c r="I666" s="342"/>
      <c r="J666" s="342"/>
      <c r="L666" s="342"/>
      <c r="M666" s="342"/>
      <c r="R666" s="342"/>
      <c r="AJ666" s="342"/>
      <c r="AL666" s="342"/>
      <c r="AM666" s="342"/>
      <c r="BD666" s="342"/>
    </row>
    <row r="667" spans="4:56" x14ac:dyDescent="0.2">
      <c r="D667" s="342"/>
      <c r="F667" s="342"/>
      <c r="G667" s="342"/>
      <c r="H667" s="342"/>
      <c r="I667" s="342"/>
      <c r="J667" s="342"/>
      <c r="L667" s="342"/>
      <c r="M667" s="342"/>
      <c r="R667" s="342"/>
      <c r="AJ667" s="342"/>
      <c r="AL667" s="342"/>
      <c r="AM667" s="342"/>
      <c r="BD667" s="342"/>
    </row>
    <row r="668" spans="4:56" x14ac:dyDescent="0.2">
      <c r="D668" s="342"/>
      <c r="F668" s="342"/>
      <c r="G668" s="342"/>
      <c r="H668" s="342"/>
      <c r="I668" s="342"/>
      <c r="J668" s="342"/>
      <c r="L668" s="342"/>
      <c r="M668" s="342"/>
      <c r="R668" s="342"/>
      <c r="AJ668" s="342"/>
      <c r="AL668" s="342"/>
      <c r="AM668" s="342"/>
      <c r="BD668" s="342"/>
    </row>
    <row r="669" spans="4:56" x14ac:dyDescent="0.2">
      <c r="D669" s="342"/>
      <c r="F669" s="342"/>
      <c r="G669" s="342"/>
      <c r="H669" s="342"/>
      <c r="I669" s="342"/>
      <c r="J669" s="342"/>
      <c r="L669" s="342"/>
      <c r="M669" s="342"/>
      <c r="R669" s="342"/>
      <c r="AJ669" s="342"/>
      <c r="AL669" s="342"/>
      <c r="AM669" s="342"/>
      <c r="BD669" s="342"/>
    </row>
    <row r="670" spans="4:56" x14ac:dyDescent="0.2">
      <c r="D670" s="342"/>
      <c r="F670" s="342"/>
      <c r="G670" s="342"/>
      <c r="H670" s="342"/>
      <c r="I670" s="342"/>
      <c r="J670" s="342"/>
      <c r="L670" s="342"/>
      <c r="M670" s="342"/>
      <c r="R670" s="342"/>
      <c r="AJ670" s="342"/>
      <c r="AL670" s="342"/>
      <c r="AM670" s="342"/>
      <c r="BD670" s="342"/>
    </row>
    <row r="671" spans="4:56" x14ac:dyDescent="0.2">
      <c r="D671" s="342"/>
      <c r="F671" s="342"/>
      <c r="G671" s="342"/>
      <c r="H671" s="342"/>
      <c r="I671" s="342"/>
      <c r="J671" s="342"/>
      <c r="L671" s="342"/>
      <c r="M671" s="342"/>
      <c r="R671" s="342"/>
      <c r="AJ671" s="342"/>
      <c r="AL671" s="342"/>
      <c r="AM671" s="342"/>
      <c r="BD671" s="342"/>
    </row>
    <row r="672" spans="4:56" x14ac:dyDescent="0.2">
      <c r="D672" s="342"/>
      <c r="F672" s="342"/>
      <c r="G672" s="342"/>
      <c r="H672" s="342"/>
      <c r="I672" s="342"/>
      <c r="J672" s="342"/>
      <c r="L672" s="342"/>
      <c r="M672" s="342"/>
      <c r="R672" s="342"/>
      <c r="AJ672" s="342"/>
      <c r="AL672" s="342"/>
      <c r="AM672" s="342"/>
      <c r="BD672" s="342"/>
    </row>
    <row r="673" spans="4:56" x14ac:dyDescent="0.2">
      <c r="D673" s="342"/>
      <c r="F673" s="342"/>
      <c r="G673" s="342"/>
      <c r="H673" s="342"/>
      <c r="I673" s="342"/>
      <c r="J673" s="342"/>
      <c r="L673" s="342"/>
      <c r="M673" s="342"/>
      <c r="R673" s="342"/>
      <c r="AJ673" s="342"/>
      <c r="AL673" s="342"/>
      <c r="AM673" s="342"/>
      <c r="BD673" s="342"/>
    </row>
    <row r="674" spans="4:56" x14ac:dyDescent="0.2">
      <c r="D674" s="342"/>
      <c r="F674" s="342"/>
      <c r="G674" s="342"/>
      <c r="H674" s="342"/>
      <c r="I674" s="342"/>
      <c r="J674" s="342"/>
      <c r="L674" s="342"/>
      <c r="M674" s="342"/>
      <c r="R674" s="342"/>
      <c r="AJ674" s="342"/>
      <c r="AL674" s="342"/>
      <c r="AM674" s="342"/>
      <c r="BD674" s="342"/>
    </row>
    <row r="675" spans="4:56" x14ac:dyDescent="0.2">
      <c r="D675" s="342"/>
      <c r="F675" s="342"/>
      <c r="G675" s="342"/>
      <c r="H675" s="342"/>
      <c r="I675" s="342"/>
      <c r="J675" s="342"/>
      <c r="L675" s="342"/>
      <c r="M675" s="342"/>
      <c r="R675" s="342"/>
      <c r="AJ675" s="342"/>
      <c r="AL675" s="342"/>
      <c r="AM675" s="342"/>
      <c r="BD675" s="342"/>
    </row>
    <row r="676" spans="4:56" x14ac:dyDescent="0.2">
      <c r="D676" s="342"/>
      <c r="F676" s="342"/>
      <c r="G676" s="342"/>
      <c r="H676" s="342"/>
      <c r="I676" s="342"/>
      <c r="J676" s="342"/>
      <c r="L676" s="342"/>
      <c r="M676" s="342"/>
      <c r="R676" s="342"/>
      <c r="AJ676" s="342"/>
      <c r="AL676" s="342"/>
      <c r="AM676" s="342"/>
      <c r="BD676" s="342"/>
    </row>
    <row r="677" spans="4:56" x14ac:dyDescent="0.2">
      <c r="D677" s="342"/>
      <c r="F677" s="342"/>
      <c r="G677" s="342"/>
      <c r="H677" s="342"/>
      <c r="I677" s="342"/>
      <c r="J677" s="342"/>
      <c r="L677" s="342"/>
      <c r="M677" s="342"/>
      <c r="R677" s="342"/>
      <c r="AJ677" s="342"/>
      <c r="AL677" s="342"/>
      <c r="AM677" s="342"/>
      <c r="BD677" s="342"/>
    </row>
    <row r="678" spans="4:56" x14ac:dyDescent="0.2">
      <c r="D678" s="342"/>
      <c r="F678" s="342"/>
      <c r="G678" s="342"/>
      <c r="H678" s="342"/>
      <c r="I678" s="342"/>
      <c r="J678" s="342"/>
      <c r="L678" s="342"/>
      <c r="M678" s="342"/>
      <c r="R678" s="342"/>
      <c r="AJ678" s="342"/>
      <c r="AL678" s="342"/>
      <c r="AM678" s="342"/>
      <c r="BD678" s="342"/>
    </row>
    <row r="679" spans="4:56" x14ac:dyDescent="0.2">
      <c r="D679" s="342"/>
      <c r="F679" s="342"/>
      <c r="G679" s="342"/>
      <c r="H679" s="342"/>
      <c r="I679" s="342"/>
      <c r="J679" s="342"/>
      <c r="L679" s="342"/>
      <c r="M679" s="342"/>
      <c r="R679" s="342"/>
      <c r="AJ679" s="342"/>
      <c r="AL679" s="342"/>
      <c r="AM679" s="342"/>
      <c r="BD679" s="342"/>
    </row>
    <row r="680" spans="4:56" x14ac:dyDescent="0.2">
      <c r="D680" s="342"/>
      <c r="F680" s="342"/>
      <c r="G680" s="342"/>
      <c r="H680" s="342"/>
      <c r="I680" s="342"/>
      <c r="J680" s="342"/>
      <c r="L680" s="342"/>
      <c r="M680" s="342"/>
      <c r="R680" s="342"/>
      <c r="AJ680" s="342"/>
      <c r="AL680" s="342"/>
      <c r="AM680" s="342"/>
      <c r="BD680" s="342"/>
    </row>
    <row r="681" spans="4:56" x14ac:dyDescent="0.2">
      <c r="D681" s="342"/>
      <c r="F681" s="342"/>
      <c r="G681" s="342"/>
      <c r="H681" s="342"/>
      <c r="I681" s="342"/>
      <c r="J681" s="342"/>
      <c r="L681" s="342"/>
      <c r="M681" s="342"/>
      <c r="R681" s="342"/>
      <c r="AJ681" s="342"/>
      <c r="AL681" s="342"/>
      <c r="AM681" s="342"/>
      <c r="BD681" s="342"/>
    </row>
    <row r="682" spans="4:56" x14ac:dyDescent="0.2">
      <c r="D682" s="342"/>
      <c r="F682" s="342"/>
      <c r="G682" s="342"/>
      <c r="H682" s="342"/>
      <c r="I682" s="342"/>
      <c r="J682" s="342"/>
      <c r="L682" s="342"/>
      <c r="M682" s="342"/>
      <c r="R682" s="342"/>
      <c r="AJ682" s="342"/>
      <c r="AL682" s="342"/>
      <c r="AM682" s="342"/>
      <c r="BD682" s="342"/>
    </row>
    <row r="683" spans="4:56" x14ac:dyDescent="0.2">
      <c r="D683" s="342"/>
      <c r="F683" s="342"/>
      <c r="G683" s="342"/>
      <c r="H683" s="342"/>
      <c r="I683" s="342"/>
      <c r="J683" s="342"/>
      <c r="L683" s="342"/>
      <c r="M683" s="342"/>
      <c r="R683" s="342"/>
      <c r="AJ683" s="342"/>
      <c r="AL683" s="342"/>
      <c r="AM683" s="342"/>
      <c r="BD683" s="342"/>
    </row>
    <row r="684" spans="4:56" x14ac:dyDescent="0.2">
      <c r="D684" s="342"/>
      <c r="F684" s="342"/>
      <c r="G684" s="342"/>
      <c r="H684" s="342"/>
      <c r="I684" s="342"/>
      <c r="J684" s="342"/>
      <c r="L684" s="342"/>
      <c r="M684" s="342"/>
      <c r="R684" s="342"/>
      <c r="AJ684" s="342"/>
      <c r="AL684" s="342"/>
      <c r="AM684" s="342"/>
      <c r="BD684" s="342"/>
    </row>
    <row r="685" spans="4:56" x14ac:dyDescent="0.2">
      <c r="D685" s="342"/>
      <c r="F685" s="342"/>
      <c r="G685" s="342"/>
      <c r="H685" s="342"/>
      <c r="I685" s="342"/>
      <c r="J685" s="342"/>
      <c r="L685" s="342"/>
      <c r="M685" s="342"/>
      <c r="R685" s="342"/>
      <c r="AJ685" s="342"/>
      <c r="AL685" s="342"/>
      <c r="AM685" s="342"/>
      <c r="BD685" s="342"/>
    </row>
    <row r="686" spans="4:56" x14ac:dyDescent="0.2">
      <c r="D686" s="342"/>
      <c r="F686" s="342"/>
      <c r="G686" s="342"/>
      <c r="H686" s="342"/>
      <c r="I686" s="342"/>
      <c r="J686" s="342"/>
      <c r="L686" s="342"/>
      <c r="M686" s="342"/>
      <c r="R686" s="342"/>
      <c r="AJ686" s="342"/>
      <c r="AL686" s="342"/>
      <c r="AM686" s="342"/>
      <c r="BD686" s="342"/>
    </row>
    <row r="687" spans="4:56" x14ac:dyDescent="0.2">
      <c r="D687" s="342"/>
      <c r="F687" s="342"/>
      <c r="G687" s="342"/>
      <c r="H687" s="342"/>
      <c r="I687" s="342"/>
      <c r="J687" s="342"/>
      <c r="L687" s="342"/>
      <c r="M687" s="342"/>
      <c r="R687" s="342"/>
      <c r="AJ687" s="342"/>
      <c r="AL687" s="342"/>
      <c r="AM687" s="342"/>
      <c r="BD687" s="342"/>
    </row>
    <row r="688" spans="4:56" x14ac:dyDescent="0.2">
      <c r="D688" s="342"/>
      <c r="F688" s="342"/>
      <c r="G688" s="342"/>
      <c r="H688" s="342"/>
      <c r="I688" s="342"/>
      <c r="J688" s="342"/>
      <c r="L688" s="342"/>
      <c r="M688" s="342"/>
      <c r="R688" s="342"/>
      <c r="AJ688" s="342"/>
      <c r="AL688" s="342"/>
      <c r="AM688" s="342"/>
      <c r="BD688" s="342"/>
    </row>
    <row r="689" spans="4:56" x14ac:dyDescent="0.2">
      <c r="D689" s="342"/>
      <c r="F689" s="342"/>
      <c r="G689" s="342"/>
      <c r="H689" s="342"/>
      <c r="I689" s="342"/>
      <c r="J689" s="342"/>
      <c r="L689" s="342"/>
      <c r="M689" s="342"/>
      <c r="R689" s="342"/>
      <c r="AJ689" s="342"/>
      <c r="AL689" s="342"/>
      <c r="AM689" s="342"/>
      <c r="BD689" s="342"/>
    </row>
    <row r="690" spans="4:56" x14ac:dyDescent="0.2">
      <c r="D690" s="342"/>
      <c r="F690" s="342"/>
      <c r="G690" s="342"/>
      <c r="H690" s="342"/>
      <c r="I690" s="342"/>
      <c r="J690" s="342"/>
      <c r="L690" s="342"/>
      <c r="M690" s="342"/>
      <c r="R690" s="342"/>
      <c r="AJ690" s="342"/>
      <c r="AL690" s="342"/>
      <c r="AM690" s="342"/>
      <c r="BD690" s="342"/>
    </row>
    <row r="691" spans="4:56" x14ac:dyDescent="0.2">
      <c r="D691" s="342"/>
      <c r="F691" s="342"/>
      <c r="G691" s="342"/>
      <c r="H691" s="342"/>
      <c r="I691" s="342"/>
      <c r="J691" s="342"/>
      <c r="L691" s="342"/>
      <c r="M691" s="342"/>
      <c r="R691" s="342"/>
      <c r="AJ691" s="342"/>
      <c r="AL691" s="342"/>
      <c r="AM691" s="342"/>
      <c r="BD691" s="342"/>
    </row>
    <row r="692" spans="4:56" x14ac:dyDescent="0.2">
      <c r="D692" s="342"/>
      <c r="F692" s="342"/>
      <c r="G692" s="342"/>
      <c r="H692" s="342"/>
      <c r="I692" s="342"/>
      <c r="J692" s="342"/>
      <c r="L692" s="342"/>
      <c r="M692" s="342"/>
      <c r="R692" s="342"/>
      <c r="AJ692" s="342"/>
      <c r="AL692" s="342"/>
      <c r="AM692" s="342"/>
      <c r="BD692" s="342"/>
    </row>
    <row r="693" spans="4:56" x14ac:dyDescent="0.2">
      <c r="D693" s="342"/>
      <c r="F693" s="342"/>
      <c r="G693" s="342"/>
      <c r="H693" s="342"/>
      <c r="I693" s="342"/>
      <c r="J693" s="342"/>
      <c r="L693" s="342"/>
      <c r="M693" s="342"/>
      <c r="R693" s="342"/>
      <c r="AJ693" s="342"/>
      <c r="AL693" s="342"/>
      <c r="AM693" s="342"/>
      <c r="BD693" s="342"/>
    </row>
    <row r="694" spans="4:56" x14ac:dyDescent="0.2">
      <c r="D694" s="342"/>
      <c r="F694" s="342"/>
      <c r="G694" s="342"/>
      <c r="H694" s="342"/>
      <c r="I694" s="342"/>
      <c r="J694" s="342"/>
      <c r="L694" s="342"/>
      <c r="M694" s="342"/>
      <c r="R694" s="342"/>
      <c r="AJ694" s="342"/>
      <c r="AL694" s="342"/>
      <c r="AM694" s="342"/>
      <c r="BD694" s="342"/>
    </row>
    <row r="695" spans="4:56" x14ac:dyDescent="0.2">
      <c r="D695" s="342"/>
      <c r="F695" s="342"/>
      <c r="G695" s="342"/>
      <c r="H695" s="342"/>
      <c r="I695" s="342"/>
      <c r="J695" s="342"/>
      <c r="L695" s="342"/>
      <c r="M695" s="342"/>
      <c r="R695" s="342"/>
      <c r="AJ695" s="342"/>
      <c r="AL695" s="342"/>
      <c r="AM695" s="342"/>
      <c r="BD695" s="342"/>
    </row>
    <row r="696" spans="4:56" x14ac:dyDescent="0.2">
      <c r="D696" s="342"/>
      <c r="F696" s="342"/>
      <c r="G696" s="342"/>
      <c r="H696" s="342"/>
      <c r="I696" s="342"/>
      <c r="J696" s="342"/>
      <c r="L696" s="342"/>
      <c r="M696" s="342"/>
      <c r="R696" s="342"/>
      <c r="AJ696" s="342"/>
      <c r="AL696" s="342"/>
      <c r="AM696" s="342"/>
      <c r="BD696" s="342"/>
    </row>
    <row r="697" spans="4:56" x14ac:dyDescent="0.2">
      <c r="D697" s="342"/>
      <c r="F697" s="342"/>
      <c r="G697" s="342"/>
      <c r="H697" s="342"/>
      <c r="I697" s="342"/>
      <c r="J697" s="342"/>
      <c r="L697" s="342"/>
      <c r="M697" s="342"/>
      <c r="R697" s="342"/>
      <c r="AJ697" s="342"/>
      <c r="AL697" s="342"/>
      <c r="AM697" s="342"/>
      <c r="BD697" s="342"/>
    </row>
    <row r="698" spans="4:56" x14ac:dyDescent="0.2">
      <c r="D698" s="342"/>
      <c r="F698" s="342"/>
      <c r="G698" s="342"/>
      <c r="H698" s="342"/>
      <c r="I698" s="342"/>
      <c r="J698" s="342"/>
      <c r="L698" s="342"/>
      <c r="M698" s="342"/>
      <c r="R698" s="342"/>
      <c r="AJ698" s="342"/>
      <c r="AL698" s="342"/>
      <c r="AM698" s="342"/>
      <c r="BD698" s="342"/>
    </row>
    <row r="699" spans="4:56" x14ac:dyDescent="0.2">
      <c r="D699" s="342"/>
      <c r="F699" s="342"/>
      <c r="G699" s="342"/>
      <c r="H699" s="342"/>
      <c r="I699" s="342"/>
      <c r="J699" s="342"/>
      <c r="L699" s="342"/>
      <c r="M699" s="342"/>
      <c r="R699" s="342"/>
      <c r="AJ699" s="342"/>
      <c r="AL699" s="342"/>
      <c r="AM699" s="342"/>
      <c r="BD699" s="342"/>
    </row>
    <row r="700" spans="4:56" x14ac:dyDescent="0.2">
      <c r="D700" s="342"/>
      <c r="F700" s="342"/>
      <c r="G700" s="342"/>
      <c r="H700" s="342"/>
      <c r="I700" s="342"/>
      <c r="J700" s="342"/>
      <c r="L700" s="342"/>
      <c r="M700" s="342"/>
      <c r="R700" s="342"/>
      <c r="AJ700" s="342"/>
      <c r="AL700" s="342"/>
      <c r="AM700" s="342"/>
      <c r="BD700" s="342"/>
    </row>
    <row r="701" spans="4:56" x14ac:dyDescent="0.2">
      <c r="D701" s="342"/>
      <c r="F701" s="342"/>
      <c r="G701" s="342"/>
      <c r="H701" s="342"/>
      <c r="I701" s="342"/>
      <c r="J701" s="342"/>
      <c r="L701" s="342"/>
      <c r="M701" s="342"/>
      <c r="R701" s="342"/>
      <c r="AJ701" s="342"/>
      <c r="AL701" s="342"/>
      <c r="AM701" s="342"/>
      <c r="BD701" s="342"/>
    </row>
    <row r="702" spans="4:56" x14ac:dyDescent="0.2">
      <c r="D702" s="342"/>
      <c r="F702" s="342"/>
      <c r="G702" s="342"/>
      <c r="H702" s="342"/>
      <c r="I702" s="342"/>
      <c r="J702" s="342"/>
      <c r="L702" s="342"/>
      <c r="M702" s="342"/>
      <c r="R702" s="342"/>
      <c r="AJ702" s="342"/>
      <c r="AL702" s="342"/>
      <c r="AM702" s="342"/>
      <c r="BD702" s="342"/>
    </row>
    <row r="703" spans="4:56" x14ac:dyDescent="0.2">
      <c r="D703" s="342"/>
      <c r="F703" s="342"/>
      <c r="G703" s="342"/>
      <c r="H703" s="342"/>
      <c r="I703" s="342"/>
      <c r="J703" s="342"/>
      <c r="L703" s="342"/>
      <c r="M703" s="342"/>
      <c r="R703" s="342"/>
      <c r="AJ703" s="342"/>
      <c r="AL703" s="342"/>
      <c r="AM703" s="342"/>
      <c r="BD703" s="342"/>
    </row>
    <row r="704" spans="4:56" x14ac:dyDescent="0.2">
      <c r="D704" s="342"/>
      <c r="F704" s="342"/>
      <c r="G704" s="342"/>
      <c r="H704" s="342"/>
      <c r="I704" s="342"/>
      <c r="J704" s="342"/>
      <c r="L704" s="342"/>
      <c r="M704" s="342"/>
      <c r="R704" s="342"/>
      <c r="AJ704" s="342"/>
      <c r="AL704" s="342"/>
      <c r="AM704" s="342"/>
      <c r="BD704" s="342"/>
    </row>
    <row r="705" spans="4:56" x14ac:dyDescent="0.2">
      <c r="D705" s="342"/>
      <c r="F705" s="342"/>
      <c r="G705" s="342"/>
      <c r="H705" s="342"/>
      <c r="I705" s="342"/>
      <c r="J705" s="342"/>
      <c r="L705" s="342"/>
      <c r="M705" s="342"/>
      <c r="R705" s="342"/>
      <c r="AJ705" s="342"/>
      <c r="AL705" s="342"/>
      <c r="AM705" s="342"/>
      <c r="BD705" s="342"/>
    </row>
    <row r="706" spans="4:56" x14ac:dyDescent="0.2">
      <c r="D706" s="342"/>
      <c r="F706" s="342"/>
      <c r="G706" s="342"/>
      <c r="H706" s="342"/>
      <c r="I706" s="342"/>
      <c r="J706" s="342"/>
      <c r="L706" s="342"/>
      <c r="M706" s="342"/>
      <c r="R706" s="342"/>
      <c r="AJ706" s="342"/>
      <c r="AL706" s="342"/>
      <c r="AM706" s="342"/>
      <c r="BD706" s="342"/>
    </row>
    <row r="707" spans="4:56" x14ac:dyDescent="0.2">
      <c r="D707" s="342"/>
      <c r="F707" s="342"/>
      <c r="G707" s="342"/>
      <c r="H707" s="342"/>
      <c r="I707" s="342"/>
      <c r="J707" s="342"/>
      <c r="L707" s="342"/>
      <c r="M707" s="342"/>
      <c r="R707" s="342"/>
      <c r="AJ707" s="342"/>
      <c r="AL707" s="342"/>
      <c r="AM707" s="342"/>
      <c r="BD707" s="342"/>
    </row>
    <row r="708" spans="4:56" x14ac:dyDescent="0.2">
      <c r="D708" s="342"/>
      <c r="F708" s="342"/>
      <c r="G708" s="342"/>
      <c r="H708" s="342"/>
      <c r="I708" s="342"/>
      <c r="J708" s="342"/>
      <c r="L708" s="342"/>
      <c r="M708" s="342"/>
      <c r="R708" s="342"/>
      <c r="AJ708" s="342"/>
      <c r="AL708" s="342"/>
      <c r="AM708" s="342"/>
      <c r="BD708" s="342"/>
    </row>
    <row r="709" spans="4:56" x14ac:dyDescent="0.2">
      <c r="D709" s="342"/>
      <c r="F709" s="342"/>
      <c r="G709" s="342"/>
      <c r="H709" s="342"/>
      <c r="I709" s="342"/>
      <c r="J709" s="342"/>
      <c r="L709" s="342"/>
      <c r="M709" s="342"/>
      <c r="R709" s="342"/>
      <c r="AJ709" s="342"/>
      <c r="AL709" s="342"/>
      <c r="AM709" s="342"/>
      <c r="BD709" s="342"/>
    </row>
    <row r="710" spans="4:56" x14ac:dyDescent="0.2">
      <c r="D710" s="342"/>
      <c r="F710" s="342"/>
      <c r="G710" s="342"/>
      <c r="H710" s="342"/>
      <c r="I710" s="342"/>
      <c r="J710" s="342"/>
      <c r="L710" s="342"/>
      <c r="M710" s="342"/>
      <c r="R710" s="342"/>
      <c r="AJ710" s="342"/>
      <c r="AL710" s="342"/>
      <c r="AM710" s="342"/>
      <c r="BD710" s="342"/>
    </row>
    <row r="711" spans="4:56" x14ac:dyDescent="0.2">
      <c r="D711" s="342"/>
      <c r="F711" s="342"/>
      <c r="G711" s="342"/>
      <c r="H711" s="342"/>
      <c r="I711" s="342"/>
      <c r="J711" s="342"/>
      <c r="L711" s="342"/>
      <c r="M711" s="342"/>
      <c r="R711" s="342"/>
      <c r="AJ711" s="342"/>
      <c r="AL711" s="342"/>
      <c r="AM711" s="342"/>
      <c r="BD711" s="342"/>
    </row>
    <row r="712" spans="4:56" x14ac:dyDescent="0.2">
      <c r="D712" s="342"/>
      <c r="F712" s="342"/>
      <c r="G712" s="342"/>
      <c r="H712" s="342"/>
      <c r="I712" s="342"/>
      <c r="J712" s="342"/>
      <c r="L712" s="342"/>
      <c r="M712" s="342"/>
      <c r="R712" s="342"/>
      <c r="AJ712" s="342"/>
      <c r="AL712" s="342"/>
      <c r="AM712" s="342"/>
      <c r="BD712" s="342"/>
    </row>
    <row r="713" spans="4:56" x14ac:dyDescent="0.2">
      <c r="D713" s="342"/>
      <c r="F713" s="342"/>
      <c r="G713" s="342"/>
      <c r="H713" s="342"/>
      <c r="I713" s="342"/>
      <c r="J713" s="342"/>
      <c r="L713" s="342"/>
      <c r="M713" s="342"/>
      <c r="R713" s="342"/>
      <c r="AJ713" s="342"/>
      <c r="AL713" s="342"/>
      <c r="AM713" s="342"/>
      <c r="BD713" s="342"/>
    </row>
    <row r="714" spans="4:56" x14ac:dyDescent="0.2">
      <c r="D714" s="342"/>
      <c r="F714" s="342"/>
      <c r="G714" s="342"/>
      <c r="H714" s="342"/>
      <c r="I714" s="342"/>
      <c r="J714" s="342"/>
      <c r="L714" s="342"/>
      <c r="M714" s="342"/>
      <c r="R714" s="342"/>
      <c r="AJ714" s="342"/>
      <c r="AL714" s="342"/>
      <c r="AM714" s="342"/>
      <c r="BD714" s="342"/>
    </row>
    <row r="715" spans="4:56" x14ac:dyDescent="0.2">
      <c r="D715" s="342"/>
      <c r="F715" s="342"/>
      <c r="G715" s="342"/>
      <c r="H715" s="342"/>
      <c r="I715" s="342"/>
      <c r="J715" s="342"/>
      <c r="L715" s="342"/>
      <c r="M715" s="342"/>
      <c r="R715" s="342"/>
      <c r="AJ715" s="342"/>
      <c r="AL715" s="342"/>
      <c r="AM715" s="342"/>
      <c r="BD715" s="342"/>
    </row>
    <row r="716" spans="4:56" x14ac:dyDescent="0.2">
      <c r="D716" s="342"/>
      <c r="F716" s="342"/>
      <c r="G716" s="342"/>
      <c r="H716" s="342"/>
      <c r="I716" s="342"/>
      <c r="J716" s="342"/>
      <c r="L716" s="342"/>
      <c r="M716" s="342"/>
      <c r="R716" s="342"/>
      <c r="AJ716" s="342"/>
      <c r="AL716" s="342"/>
      <c r="AM716" s="342"/>
      <c r="BD716" s="342"/>
    </row>
    <row r="717" spans="4:56" x14ac:dyDescent="0.2">
      <c r="D717" s="342"/>
      <c r="F717" s="342"/>
      <c r="G717" s="342"/>
      <c r="H717" s="342"/>
      <c r="I717" s="342"/>
      <c r="J717" s="342"/>
      <c r="L717" s="342"/>
      <c r="M717" s="342"/>
      <c r="R717" s="342"/>
      <c r="AJ717" s="342"/>
      <c r="AL717" s="342"/>
      <c r="AM717" s="342"/>
      <c r="BD717" s="342"/>
    </row>
    <row r="718" spans="4:56" x14ac:dyDescent="0.2">
      <c r="D718" s="342"/>
      <c r="F718" s="342"/>
      <c r="G718" s="342"/>
      <c r="H718" s="342"/>
      <c r="I718" s="342"/>
      <c r="J718" s="342"/>
      <c r="L718" s="342"/>
      <c r="M718" s="342"/>
      <c r="R718" s="342"/>
      <c r="AJ718" s="342"/>
      <c r="AL718" s="342"/>
      <c r="AM718" s="342"/>
      <c r="BD718" s="342"/>
    </row>
    <row r="719" spans="4:56" x14ac:dyDescent="0.2">
      <c r="D719" s="342"/>
      <c r="F719" s="342"/>
      <c r="G719" s="342"/>
      <c r="H719" s="342"/>
      <c r="I719" s="342"/>
      <c r="J719" s="342"/>
      <c r="L719" s="342"/>
      <c r="M719" s="342"/>
      <c r="R719" s="342"/>
      <c r="AJ719" s="342"/>
      <c r="AL719" s="342"/>
      <c r="AM719" s="342"/>
      <c r="BD719" s="342"/>
    </row>
    <row r="720" spans="4:56" x14ac:dyDescent="0.2">
      <c r="D720" s="342"/>
      <c r="F720" s="342"/>
      <c r="G720" s="342"/>
      <c r="H720" s="342"/>
      <c r="I720" s="342"/>
      <c r="J720" s="342"/>
      <c r="L720" s="342"/>
      <c r="M720" s="342"/>
      <c r="R720" s="342"/>
      <c r="AJ720" s="342"/>
      <c r="AL720" s="342"/>
      <c r="AM720" s="342"/>
      <c r="BD720" s="342"/>
    </row>
    <row r="721" spans="4:56" x14ac:dyDescent="0.2">
      <c r="D721" s="342"/>
      <c r="F721" s="342"/>
      <c r="G721" s="342"/>
      <c r="H721" s="342"/>
      <c r="I721" s="342"/>
      <c r="J721" s="342"/>
      <c r="L721" s="342"/>
      <c r="M721" s="342"/>
      <c r="R721" s="342"/>
      <c r="AJ721" s="342"/>
      <c r="AL721" s="342"/>
      <c r="AM721" s="342"/>
      <c r="BD721" s="342"/>
    </row>
    <row r="722" spans="4:56" x14ac:dyDescent="0.2">
      <c r="D722" s="342"/>
      <c r="F722" s="342"/>
      <c r="G722" s="342"/>
      <c r="H722" s="342"/>
      <c r="I722" s="342"/>
      <c r="J722" s="342"/>
      <c r="L722" s="342"/>
      <c r="M722" s="342"/>
      <c r="R722" s="342"/>
      <c r="AJ722" s="342"/>
      <c r="AL722" s="342"/>
      <c r="AM722" s="342"/>
      <c r="BD722" s="342"/>
    </row>
    <row r="723" spans="4:56" x14ac:dyDescent="0.2">
      <c r="D723" s="342"/>
      <c r="F723" s="342"/>
      <c r="G723" s="342"/>
      <c r="H723" s="342"/>
      <c r="I723" s="342"/>
      <c r="J723" s="342"/>
      <c r="L723" s="342"/>
      <c r="M723" s="342"/>
      <c r="R723" s="342"/>
      <c r="AJ723" s="342"/>
      <c r="AL723" s="342"/>
      <c r="AM723" s="342"/>
      <c r="BD723" s="342"/>
    </row>
    <row r="724" spans="4:56" x14ac:dyDescent="0.2">
      <c r="D724" s="342"/>
      <c r="F724" s="342"/>
      <c r="G724" s="342"/>
      <c r="H724" s="342"/>
      <c r="I724" s="342"/>
      <c r="J724" s="342"/>
      <c r="L724" s="342"/>
      <c r="M724" s="342"/>
      <c r="R724" s="342"/>
      <c r="AJ724" s="342"/>
      <c r="AL724" s="342"/>
      <c r="AM724" s="342"/>
      <c r="BD724" s="342"/>
    </row>
    <row r="725" spans="4:56" x14ac:dyDescent="0.2">
      <c r="D725" s="342"/>
      <c r="F725" s="342"/>
      <c r="G725" s="342"/>
      <c r="H725" s="342"/>
      <c r="I725" s="342"/>
      <c r="J725" s="342"/>
      <c r="L725" s="342"/>
      <c r="M725" s="342"/>
      <c r="R725" s="342"/>
      <c r="AJ725" s="342"/>
      <c r="AL725" s="342"/>
      <c r="AM725" s="342"/>
      <c r="BD725" s="342"/>
    </row>
    <row r="726" spans="4:56" x14ac:dyDescent="0.2">
      <c r="D726" s="342"/>
      <c r="F726" s="342"/>
      <c r="G726" s="342"/>
      <c r="H726" s="342"/>
      <c r="I726" s="342"/>
      <c r="J726" s="342"/>
      <c r="L726" s="342"/>
      <c r="M726" s="342"/>
      <c r="R726" s="342"/>
      <c r="AJ726" s="342"/>
      <c r="AL726" s="342"/>
      <c r="AM726" s="342"/>
      <c r="BD726" s="342"/>
    </row>
    <row r="727" spans="4:56" x14ac:dyDescent="0.2">
      <c r="D727" s="342"/>
      <c r="F727" s="342"/>
      <c r="G727" s="342"/>
      <c r="H727" s="342"/>
      <c r="I727" s="342"/>
      <c r="J727" s="342"/>
      <c r="L727" s="342"/>
      <c r="M727" s="342"/>
      <c r="R727" s="342"/>
      <c r="AJ727" s="342"/>
      <c r="AL727" s="342"/>
      <c r="AM727" s="342"/>
      <c r="BD727" s="342"/>
    </row>
    <row r="728" spans="4:56" x14ac:dyDescent="0.2">
      <c r="D728" s="342"/>
      <c r="F728" s="342"/>
      <c r="G728" s="342"/>
      <c r="H728" s="342"/>
      <c r="I728" s="342"/>
      <c r="J728" s="342"/>
      <c r="L728" s="342"/>
      <c r="M728" s="342"/>
      <c r="R728" s="342"/>
      <c r="AJ728" s="342"/>
      <c r="AL728" s="342"/>
      <c r="AM728" s="342"/>
      <c r="BD728" s="342"/>
    </row>
    <row r="729" spans="4:56" x14ac:dyDescent="0.2">
      <c r="D729" s="342"/>
      <c r="F729" s="342"/>
      <c r="G729" s="342"/>
      <c r="H729" s="342"/>
      <c r="I729" s="342"/>
      <c r="J729" s="342"/>
      <c r="L729" s="342"/>
      <c r="M729" s="342"/>
      <c r="R729" s="342"/>
      <c r="AJ729" s="342"/>
      <c r="AL729" s="342"/>
      <c r="AM729" s="342"/>
      <c r="BD729" s="342"/>
    </row>
    <row r="730" spans="4:56" x14ac:dyDescent="0.2">
      <c r="D730" s="342"/>
      <c r="F730" s="342"/>
      <c r="G730" s="342"/>
      <c r="H730" s="342"/>
      <c r="I730" s="342"/>
      <c r="J730" s="342"/>
      <c r="L730" s="342"/>
      <c r="M730" s="342"/>
      <c r="R730" s="342"/>
      <c r="AJ730" s="342"/>
      <c r="AL730" s="342"/>
      <c r="AM730" s="342"/>
      <c r="BD730" s="342"/>
    </row>
    <row r="731" spans="4:56" x14ac:dyDescent="0.2">
      <c r="D731" s="342"/>
      <c r="F731" s="342"/>
      <c r="G731" s="342"/>
      <c r="H731" s="342"/>
      <c r="I731" s="342"/>
      <c r="J731" s="342"/>
      <c r="L731" s="342"/>
      <c r="M731" s="342"/>
      <c r="R731" s="342"/>
      <c r="AJ731" s="342"/>
      <c r="AL731" s="342"/>
      <c r="AM731" s="342"/>
      <c r="BD731" s="342"/>
    </row>
    <row r="732" spans="4:56" x14ac:dyDescent="0.2">
      <c r="D732" s="342"/>
      <c r="F732" s="342"/>
      <c r="G732" s="342"/>
      <c r="H732" s="342"/>
      <c r="I732" s="342"/>
      <c r="J732" s="342"/>
      <c r="L732" s="342"/>
      <c r="M732" s="342"/>
      <c r="R732" s="342"/>
      <c r="AJ732" s="342"/>
      <c r="AL732" s="342"/>
      <c r="AM732" s="342"/>
      <c r="BD732" s="342"/>
    </row>
    <row r="733" spans="4:56" x14ac:dyDescent="0.2">
      <c r="D733" s="342"/>
      <c r="F733" s="342"/>
      <c r="G733" s="342"/>
      <c r="H733" s="342"/>
      <c r="I733" s="342"/>
      <c r="J733" s="342"/>
      <c r="L733" s="342"/>
      <c r="M733" s="342"/>
      <c r="R733" s="342"/>
      <c r="AJ733" s="342"/>
      <c r="AL733" s="342"/>
      <c r="AM733" s="342"/>
      <c r="BD733" s="342"/>
    </row>
    <row r="734" spans="4:56" x14ac:dyDescent="0.2">
      <c r="D734" s="342"/>
      <c r="F734" s="342"/>
      <c r="G734" s="342"/>
      <c r="H734" s="342"/>
      <c r="I734" s="342"/>
      <c r="J734" s="342"/>
      <c r="L734" s="342"/>
      <c r="M734" s="342"/>
      <c r="R734" s="342"/>
      <c r="AJ734" s="342"/>
      <c r="AL734" s="342"/>
      <c r="AM734" s="342"/>
      <c r="BD734" s="342"/>
    </row>
    <row r="735" spans="4:56" x14ac:dyDescent="0.2">
      <c r="D735" s="342"/>
      <c r="F735" s="342"/>
      <c r="G735" s="342"/>
      <c r="H735" s="342"/>
      <c r="I735" s="342"/>
      <c r="J735" s="342"/>
      <c r="L735" s="342"/>
      <c r="M735" s="342"/>
      <c r="R735" s="342"/>
      <c r="AJ735" s="342"/>
      <c r="AL735" s="342"/>
      <c r="AM735" s="342"/>
      <c r="BD735" s="342"/>
    </row>
    <row r="736" spans="4:56" x14ac:dyDescent="0.2">
      <c r="D736" s="342"/>
      <c r="F736" s="342"/>
      <c r="G736" s="342"/>
      <c r="H736" s="342"/>
      <c r="I736" s="342"/>
      <c r="J736" s="342"/>
      <c r="L736" s="342"/>
      <c r="M736" s="342"/>
      <c r="R736" s="342"/>
      <c r="AJ736" s="342"/>
      <c r="AL736" s="342"/>
      <c r="AM736" s="342"/>
      <c r="BD736" s="342"/>
    </row>
    <row r="737" spans="4:56" x14ac:dyDescent="0.2">
      <c r="D737" s="342"/>
      <c r="F737" s="342"/>
      <c r="G737" s="342"/>
      <c r="H737" s="342"/>
      <c r="I737" s="342"/>
      <c r="J737" s="342"/>
      <c r="L737" s="342"/>
      <c r="M737" s="342"/>
      <c r="R737" s="342"/>
      <c r="AJ737" s="342"/>
      <c r="AL737" s="342"/>
      <c r="AM737" s="342"/>
      <c r="BD737" s="342"/>
    </row>
    <row r="738" spans="4:56" x14ac:dyDescent="0.2">
      <c r="D738" s="342"/>
      <c r="F738" s="342"/>
      <c r="G738" s="342"/>
      <c r="H738" s="342"/>
      <c r="I738" s="342"/>
      <c r="J738" s="342"/>
      <c r="L738" s="342"/>
      <c r="M738" s="342"/>
      <c r="R738" s="342"/>
      <c r="AJ738" s="342"/>
      <c r="AL738" s="342"/>
      <c r="AM738" s="342"/>
      <c r="BD738" s="342"/>
    </row>
    <row r="739" spans="4:56" x14ac:dyDescent="0.2">
      <c r="D739" s="342"/>
      <c r="F739" s="342"/>
      <c r="G739" s="342"/>
      <c r="H739" s="342"/>
      <c r="I739" s="342"/>
      <c r="J739" s="342"/>
      <c r="L739" s="342"/>
      <c r="M739" s="342"/>
      <c r="R739" s="342"/>
      <c r="AJ739" s="342"/>
      <c r="AL739" s="342"/>
      <c r="AM739" s="342"/>
      <c r="BD739" s="342"/>
    </row>
    <row r="740" spans="4:56" x14ac:dyDescent="0.2">
      <c r="D740" s="342"/>
      <c r="F740" s="342"/>
      <c r="G740" s="342"/>
      <c r="H740" s="342"/>
      <c r="I740" s="342"/>
      <c r="J740" s="342"/>
      <c r="L740" s="342"/>
      <c r="M740" s="342"/>
      <c r="R740" s="342"/>
      <c r="AJ740" s="342"/>
      <c r="AL740" s="342"/>
      <c r="AM740" s="342"/>
      <c r="BD740" s="342"/>
    </row>
    <row r="741" spans="4:56" x14ac:dyDescent="0.2">
      <c r="D741" s="342"/>
      <c r="F741" s="342"/>
      <c r="G741" s="342"/>
      <c r="H741" s="342"/>
      <c r="I741" s="342"/>
      <c r="J741" s="342"/>
      <c r="L741" s="342"/>
      <c r="M741" s="342"/>
      <c r="R741" s="342"/>
      <c r="AJ741" s="342"/>
      <c r="AL741" s="342"/>
      <c r="AM741" s="342"/>
      <c r="BD741" s="342"/>
    </row>
    <row r="742" spans="4:56" x14ac:dyDescent="0.2">
      <c r="D742" s="342"/>
      <c r="F742" s="342"/>
      <c r="G742" s="342"/>
      <c r="H742" s="342"/>
      <c r="I742" s="342"/>
      <c r="J742" s="342"/>
      <c r="L742" s="342"/>
      <c r="M742" s="342"/>
      <c r="R742" s="342"/>
      <c r="AJ742" s="342"/>
      <c r="AL742" s="342"/>
      <c r="AM742" s="342"/>
      <c r="BD742" s="342"/>
    </row>
    <row r="743" spans="4:56" x14ac:dyDescent="0.2">
      <c r="D743" s="342"/>
      <c r="F743" s="342"/>
      <c r="G743" s="342"/>
      <c r="H743" s="342"/>
      <c r="I743" s="342"/>
      <c r="J743" s="342"/>
      <c r="L743" s="342"/>
      <c r="M743" s="342"/>
      <c r="R743" s="342"/>
      <c r="AJ743" s="342"/>
      <c r="AL743" s="342"/>
      <c r="AM743" s="342"/>
      <c r="BD743" s="342"/>
    </row>
    <row r="744" spans="4:56" x14ac:dyDescent="0.2">
      <c r="D744" s="342"/>
      <c r="F744" s="342"/>
      <c r="G744" s="342"/>
      <c r="H744" s="342"/>
      <c r="I744" s="342"/>
      <c r="J744" s="342"/>
      <c r="L744" s="342"/>
      <c r="M744" s="342"/>
      <c r="R744" s="342"/>
      <c r="AJ744" s="342"/>
      <c r="AL744" s="342"/>
      <c r="AM744" s="342"/>
      <c r="BD744" s="342"/>
    </row>
    <row r="745" spans="4:56" x14ac:dyDescent="0.2">
      <c r="D745" s="342"/>
      <c r="F745" s="342"/>
      <c r="G745" s="342"/>
      <c r="H745" s="342"/>
      <c r="I745" s="342"/>
      <c r="J745" s="342"/>
      <c r="L745" s="342"/>
      <c r="M745" s="342"/>
      <c r="R745" s="342"/>
      <c r="AJ745" s="342"/>
      <c r="AL745" s="342"/>
      <c r="AM745" s="342"/>
      <c r="BD745" s="342"/>
    </row>
    <row r="746" spans="4:56" x14ac:dyDescent="0.2">
      <c r="D746" s="342"/>
      <c r="F746" s="342"/>
      <c r="G746" s="342"/>
      <c r="H746" s="342"/>
      <c r="I746" s="342"/>
      <c r="J746" s="342"/>
      <c r="L746" s="342"/>
      <c r="M746" s="342"/>
      <c r="R746" s="342"/>
      <c r="AJ746" s="342"/>
      <c r="AL746" s="342"/>
      <c r="AM746" s="342"/>
      <c r="BD746" s="342"/>
    </row>
    <row r="747" spans="4:56" x14ac:dyDescent="0.2">
      <c r="D747" s="342"/>
      <c r="F747" s="342"/>
      <c r="G747" s="342"/>
      <c r="H747" s="342"/>
      <c r="I747" s="342"/>
      <c r="J747" s="342"/>
      <c r="L747" s="342"/>
      <c r="M747" s="342"/>
      <c r="R747" s="342"/>
      <c r="AJ747" s="342"/>
      <c r="AL747" s="342"/>
      <c r="AM747" s="342"/>
      <c r="BD747" s="342"/>
    </row>
    <row r="748" spans="4:56" x14ac:dyDescent="0.2">
      <c r="D748" s="342"/>
      <c r="F748" s="342"/>
      <c r="G748" s="342"/>
      <c r="H748" s="342"/>
      <c r="I748" s="342"/>
      <c r="J748" s="342"/>
      <c r="L748" s="342"/>
      <c r="M748" s="342"/>
      <c r="R748" s="342"/>
      <c r="AJ748" s="342"/>
      <c r="AL748" s="342"/>
      <c r="AM748" s="342"/>
      <c r="BD748" s="342"/>
    </row>
    <row r="749" spans="4:56" x14ac:dyDescent="0.2">
      <c r="D749" s="342"/>
      <c r="F749" s="342"/>
      <c r="G749" s="342"/>
      <c r="H749" s="342"/>
      <c r="I749" s="342"/>
      <c r="J749" s="342"/>
      <c r="L749" s="342"/>
      <c r="M749" s="342"/>
      <c r="R749" s="342"/>
      <c r="AJ749" s="342"/>
      <c r="AL749" s="342"/>
      <c r="AM749" s="342"/>
      <c r="BD749" s="342"/>
    </row>
    <row r="750" spans="4:56" x14ac:dyDescent="0.2">
      <c r="D750" s="342"/>
      <c r="F750" s="342"/>
      <c r="G750" s="342"/>
      <c r="H750" s="342"/>
      <c r="I750" s="342"/>
      <c r="J750" s="342"/>
      <c r="L750" s="342"/>
      <c r="M750" s="342"/>
      <c r="R750" s="342"/>
      <c r="AJ750" s="342"/>
      <c r="AL750" s="342"/>
      <c r="AM750" s="342"/>
      <c r="BD750" s="342"/>
    </row>
    <row r="751" spans="4:56" x14ac:dyDescent="0.2">
      <c r="D751" s="342"/>
      <c r="F751" s="342"/>
      <c r="G751" s="342"/>
      <c r="H751" s="342"/>
      <c r="I751" s="342"/>
      <c r="J751" s="342"/>
      <c r="L751" s="342"/>
      <c r="M751" s="342"/>
      <c r="R751" s="342"/>
      <c r="AJ751" s="342"/>
      <c r="AL751" s="342"/>
      <c r="AM751" s="342"/>
      <c r="BD751" s="342"/>
    </row>
    <row r="752" spans="4:56" x14ac:dyDescent="0.2">
      <c r="D752" s="342"/>
      <c r="F752" s="342"/>
      <c r="G752" s="342"/>
      <c r="H752" s="342"/>
      <c r="I752" s="342"/>
      <c r="J752" s="342"/>
      <c r="L752" s="342"/>
      <c r="M752" s="342"/>
      <c r="R752" s="342"/>
      <c r="AJ752" s="342"/>
      <c r="AL752" s="342"/>
      <c r="AM752" s="342"/>
      <c r="BD752" s="342"/>
    </row>
    <row r="753" spans="4:56" x14ac:dyDescent="0.2">
      <c r="D753" s="342"/>
      <c r="F753" s="342"/>
      <c r="G753" s="342"/>
      <c r="H753" s="342"/>
      <c r="I753" s="342"/>
      <c r="J753" s="342"/>
      <c r="L753" s="342"/>
      <c r="M753" s="342"/>
      <c r="R753" s="342"/>
      <c r="AJ753" s="342"/>
      <c r="AL753" s="342"/>
      <c r="AM753" s="342"/>
      <c r="BD753" s="342"/>
    </row>
    <row r="754" spans="4:56" x14ac:dyDescent="0.2">
      <c r="D754" s="342"/>
      <c r="F754" s="342"/>
      <c r="G754" s="342"/>
      <c r="H754" s="342"/>
      <c r="I754" s="342"/>
      <c r="J754" s="342"/>
      <c r="L754" s="342"/>
      <c r="M754" s="342"/>
      <c r="R754" s="342"/>
      <c r="AJ754" s="342"/>
      <c r="AL754" s="342"/>
      <c r="AM754" s="342"/>
      <c r="BD754" s="342"/>
    </row>
    <row r="755" spans="4:56" x14ac:dyDescent="0.2">
      <c r="D755" s="342"/>
      <c r="F755" s="342"/>
      <c r="G755" s="342"/>
      <c r="H755" s="342"/>
      <c r="I755" s="342"/>
      <c r="J755" s="342"/>
      <c r="L755" s="342"/>
      <c r="M755" s="342"/>
      <c r="R755" s="342"/>
      <c r="AJ755" s="342"/>
      <c r="AL755" s="342"/>
      <c r="AM755" s="342"/>
      <c r="BD755" s="342"/>
    </row>
    <row r="756" spans="4:56" x14ac:dyDescent="0.2">
      <c r="D756" s="342"/>
      <c r="F756" s="342"/>
      <c r="G756" s="342"/>
      <c r="H756" s="342"/>
      <c r="I756" s="342"/>
      <c r="J756" s="342"/>
      <c r="L756" s="342"/>
      <c r="M756" s="342"/>
      <c r="R756" s="342"/>
      <c r="AJ756" s="342"/>
      <c r="AL756" s="342"/>
      <c r="AM756" s="342"/>
      <c r="BD756" s="342"/>
    </row>
    <row r="757" spans="4:56" x14ac:dyDescent="0.2">
      <c r="D757" s="342"/>
      <c r="F757" s="342"/>
      <c r="G757" s="342"/>
      <c r="H757" s="342"/>
      <c r="I757" s="342"/>
      <c r="J757" s="342"/>
      <c r="L757" s="342"/>
      <c r="M757" s="342"/>
      <c r="R757" s="342"/>
      <c r="AJ757" s="342"/>
      <c r="AL757" s="342"/>
      <c r="AM757" s="342"/>
      <c r="BD757" s="342"/>
    </row>
    <row r="758" spans="4:56" x14ac:dyDescent="0.2">
      <c r="D758" s="342"/>
      <c r="F758" s="342"/>
      <c r="G758" s="342"/>
      <c r="H758" s="342"/>
      <c r="I758" s="342"/>
      <c r="J758" s="342"/>
      <c r="L758" s="342"/>
      <c r="M758" s="342"/>
      <c r="R758" s="342"/>
      <c r="AJ758" s="342"/>
      <c r="AL758" s="342"/>
      <c r="AM758" s="342"/>
      <c r="BD758" s="342"/>
    </row>
    <row r="759" spans="4:56" x14ac:dyDescent="0.2">
      <c r="D759" s="342"/>
      <c r="F759" s="342"/>
      <c r="G759" s="342"/>
      <c r="H759" s="342"/>
      <c r="I759" s="342"/>
      <c r="J759" s="342"/>
      <c r="L759" s="342"/>
      <c r="M759" s="342"/>
      <c r="R759" s="342"/>
      <c r="AJ759" s="342"/>
      <c r="AL759" s="342"/>
      <c r="AM759" s="342"/>
      <c r="BD759" s="342"/>
    </row>
    <row r="760" spans="4:56" x14ac:dyDescent="0.2">
      <c r="D760" s="342"/>
      <c r="F760" s="342"/>
      <c r="G760" s="342"/>
      <c r="H760" s="342"/>
      <c r="I760" s="342"/>
      <c r="J760" s="342"/>
      <c r="L760" s="342"/>
      <c r="M760" s="342"/>
      <c r="R760" s="342"/>
      <c r="AJ760" s="342"/>
      <c r="AL760" s="342"/>
      <c r="AM760" s="342"/>
      <c r="BD760" s="342"/>
    </row>
    <row r="761" spans="4:56" x14ac:dyDescent="0.2">
      <c r="D761" s="342"/>
      <c r="F761" s="342"/>
      <c r="G761" s="342"/>
      <c r="H761" s="342"/>
      <c r="I761" s="342"/>
      <c r="J761" s="342"/>
      <c r="L761" s="342"/>
      <c r="M761" s="342"/>
      <c r="R761" s="342"/>
      <c r="AJ761" s="342"/>
      <c r="AL761" s="342"/>
      <c r="AM761" s="342"/>
      <c r="BD761" s="342"/>
    </row>
    <row r="762" spans="4:56" x14ac:dyDescent="0.2">
      <c r="D762" s="342"/>
      <c r="F762" s="342"/>
      <c r="G762" s="342"/>
      <c r="H762" s="342"/>
      <c r="I762" s="342"/>
      <c r="J762" s="342"/>
      <c r="L762" s="342"/>
      <c r="M762" s="342"/>
      <c r="R762" s="342"/>
      <c r="AJ762" s="342"/>
      <c r="AL762" s="342"/>
      <c r="AM762" s="342"/>
      <c r="BD762" s="342"/>
    </row>
    <row r="763" spans="4:56" x14ac:dyDescent="0.2">
      <c r="D763" s="342"/>
      <c r="F763" s="342"/>
      <c r="G763" s="342"/>
      <c r="H763" s="342"/>
      <c r="I763" s="342"/>
      <c r="J763" s="342"/>
      <c r="L763" s="342"/>
      <c r="M763" s="342"/>
      <c r="R763" s="342"/>
      <c r="AJ763" s="342"/>
      <c r="AL763" s="342"/>
      <c r="AM763" s="342"/>
      <c r="BD763" s="342"/>
    </row>
    <row r="764" spans="4:56" x14ac:dyDescent="0.2">
      <c r="D764" s="342"/>
      <c r="F764" s="342"/>
      <c r="G764" s="342"/>
      <c r="H764" s="342"/>
      <c r="I764" s="342"/>
      <c r="J764" s="342"/>
      <c r="L764" s="342"/>
      <c r="M764" s="342"/>
      <c r="R764" s="342"/>
      <c r="AJ764" s="342"/>
      <c r="AL764" s="342"/>
      <c r="AM764" s="342"/>
      <c r="BD764" s="342"/>
    </row>
    <row r="765" spans="4:56" x14ac:dyDescent="0.2">
      <c r="D765" s="342"/>
      <c r="F765" s="342"/>
      <c r="G765" s="342"/>
      <c r="H765" s="342"/>
      <c r="I765" s="342"/>
      <c r="J765" s="342"/>
      <c r="L765" s="342"/>
      <c r="M765" s="342"/>
      <c r="R765" s="342"/>
      <c r="AJ765" s="342"/>
      <c r="AL765" s="342"/>
      <c r="AM765" s="342"/>
      <c r="BD765" s="342"/>
    </row>
    <row r="766" spans="4:56" x14ac:dyDescent="0.2">
      <c r="D766" s="342"/>
      <c r="F766" s="342"/>
      <c r="G766" s="342"/>
      <c r="H766" s="342"/>
      <c r="I766" s="342"/>
      <c r="J766" s="342"/>
      <c r="L766" s="342"/>
      <c r="M766" s="342"/>
      <c r="R766" s="342"/>
      <c r="AJ766" s="342"/>
      <c r="AL766" s="342"/>
      <c r="AM766" s="342"/>
      <c r="BD766" s="342"/>
    </row>
    <row r="767" spans="4:56" x14ac:dyDescent="0.2">
      <c r="D767" s="342"/>
      <c r="F767" s="342"/>
      <c r="G767" s="342"/>
      <c r="H767" s="342"/>
      <c r="I767" s="342"/>
      <c r="J767" s="342"/>
      <c r="L767" s="342"/>
      <c r="M767" s="342"/>
      <c r="R767" s="342"/>
      <c r="AJ767" s="342"/>
      <c r="AL767" s="342"/>
      <c r="AM767" s="342"/>
      <c r="BD767" s="342"/>
    </row>
    <row r="768" spans="4:56" x14ac:dyDescent="0.2">
      <c r="D768" s="342"/>
      <c r="F768" s="342"/>
      <c r="G768" s="342"/>
      <c r="H768" s="342"/>
      <c r="I768" s="342"/>
      <c r="J768" s="342"/>
      <c r="L768" s="342"/>
      <c r="M768" s="342"/>
      <c r="R768" s="342"/>
      <c r="AJ768" s="342"/>
      <c r="AL768" s="342"/>
      <c r="AM768" s="342"/>
      <c r="BD768" s="342"/>
    </row>
    <row r="769" spans="4:56" x14ac:dyDescent="0.2">
      <c r="D769" s="342"/>
      <c r="F769" s="342"/>
      <c r="G769" s="342"/>
      <c r="H769" s="342"/>
      <c r="I769" s="342"/>
      <c r="J769" s="342"/>
      <c r="L769" s="342"/>
      <c r="M769" s="342"/>
      <c r="R769" s="342"/>
      <c r="AJ769" s="342"/>
      <c r="AL769" s="342"/>
      <c r="AM769" s="342"/>
      <c r="BD769" s="342"/>
    </row>
    <row r="770" spans="4:56" x14ac:dyDescent="0.2">
      <c r="D770" s="342"/>
      <c r="F770" s="342"/>
      <c r="G770" s="342"/>
      <c r="H770" s="342"/>
      <c r="I770" s="342"/>
      <c r="J770" s="342"/>
      <c r="L770" s="342"/>
      <c r="M770" s="342"/>
      <c r="R770" s="342"/>
      <c r="AJ770" s="342"/>
      <c r="AL770" s="342"/>
      <c r="AM770" s="342"/>
      <c r="BD770" s="342"/>
    </row>
    <row r="771" spans="4:56" x14ac:dyDescent="0.2">
      <c r="D771" s="342"/>
      <c r="F771" s="342"/>
      <c r="G771" s="342"/>
      <c r="H771" s="342"/>
      <c r="I771" s="342"/>
      <c r="J771" s="342"/>
      <c r="L771" s="342"/>
      <c r="M771" s="342"/>
      <c r="R771" s="342"/>
      <c r="AJ771" s="342"/>
      <c r="AL771" s="342"/>
      <c r="AM771" s="342"/>
      <c r="BD771" s="342"/>
    </row>
    <row r="772" spans="4:56" x14ac:dyDescent="0.2">
      <c r="D772" s="342"/>
      <c r="F772" s="342"/>
      <c r="G772" s="342"/>
      <c r="H772" s="342"/>
      <c r="I772" s="342"/>
      <c r="J772" s="342"/>
      <c r="L772" s="342"/>
      <c r="M772" s="342"/>
      <c r="R772" s="342"/>
      <c r="AJ772" s="342"/>
      <c r="AL772" s="342"/>
      <c r="AM772" s="342"/>
      <c r="BD772" s="342"/>
    </row>
    <row r="773" spans="4:56" x14ac:dyDescent="0.2">
      <c r="D773" s="342"/>
      <c r="F773" s="342"/>
      <c r="G773" s="342"/>
      <c r="H773" s="342"/>
      <c r="I773" s="342"/>
      <c r="J773" s="342"/>
      <c r="L773" s="342"/>
      <c r="M773" s="342"/>
      <c r="R773" s="342"/>
      <c r="AJ773" s="342"/>
      <c r="AL773" s="342"/>
      <c r="AM773" s="342"/>
      <c r="BD773" s="342"/>
    </row>
    <row r="774" spans="4:56" x14ac:dyDescent="0.2">
      <c r="D774" s="342"/>
      <c r="F774" s="342"/>
      <c r="G774" s="342"/>
      <c r="H774" s="342"/>
      <c r="I774" s="342"/>
      <c r="J774" s="342"/>
      <c r="L774" s="342"/>
      <c r="M774" s="342"/>
      <c r="R774" s="342"/>
      <c r="AJ774" s="342"/>
      <c r="AL774" s="342"/>
      <c r="AM774" s="342"/>
      <c r="BD774" s="342"/>
    </row>
    <row r="775" spans="4:56" x14ac:dyDescent="0.2">
      <c r="D775" s="342"/>
      <c r="F775" s="342"/>
      <c r="G775" s="342"/>
      <c r="H775" s="342"/>
      <c r="I775" s="342"/>
      <c r="J775" s="342"/>
      <c r="L775" s="342"/>
      <c r="M775" s="342"/>
      <c r="R775" s="342"/>
      <c r="AJ775" s="342"/>
      <c r="AL775" s="342"/>
      <c r="AM775" s="342"/>
      <c r="BD775" s="342"/>
    </row>
    <row r="776" spans="4:56" x14ac:dyDescent="0.2">
      <c r="D776" s="342"/>
      <c r="F776" s="342"/>
      <c r="G776" s="342"/>
      <c r="H776" s="342"/>
      <c r="I776" s="342"/>
      <c r="J776" s="342"/>
      <c r="L776" s="342"/>
      <c r="M776" s="342"/>
      <c r="R776" s="342"/>
      <c r="AJ776" s="342"/>
      <c r="AL776" s="342"/>
      <c r="AM776" s="342"/>
      <c r="BD776" s="342"/>
    </row>
    <row r="777" spans="4:56" x14ac:dyDescent="0.2">
      <c r="D777" s="342"/>
      <c r="F777" s="342"/>
      <c r="G777" s="342"/>
      <c r="H777" s="342"/>
      <c r="I777" s="342"/>
      <c r="J777" s="342"/>
      <c r="L777" s="342"/>
      <c r="M777" s="342"/>
      <c r="R777" s="342"/>
      <c r="AJ777" s="342"/>
      <c r="AL777" s="342"/>
      <c r="AM777" s="342"/>
      <c r="BD777" s="342"/>
    </row>
    <row r="778" spans="4:56" x14ac:dyDescent="0.2">
      <c r="D778" s="342"/>
      <c r="F778" s="342"/>
      <c r="G778" s="342"/>
      <c r="H778" s="342"/>
      <c r="I778" s="342"/>
      <c r="J778" s="342"/>
      <c r="L778" s="342"/>
      <c r="M778" s="342"/>
      <c r="R778" s="342"/>
      <c r="AJ778" s="342"/>
      <c r="AL778" s="342"/>
      <c r="AM778" s="342"/>
      <c r="BD778" s="342"/>
    </row>
    <row r="779" spans="4:56" x14ac:dyDescent="0.2">
      <c r="D779" s="342"/>
      <c r="F779" s="342"/>
      <c r="G779" s="342"/>
      <c r="H779" s="342"/>
      <c r="I779" s="342"/>
      <c r="J779" s="342"/>
      <c r="L779" s="342"/>
      <c r="M779" s="342"/>
      <c r="R779" s="342"/>
      <c r="AJ779" s="342"/>
      <c r="AL779" s="342"/>
      <c r="AM779" s="342"/>
      <c r="BD779" s="342"/>
    </row>
    <row r="780" spans="4:56" x14ac:dyDescent="0.2">
      <c r="D780" s="342"/>
      <c r="F780" s="342"/>
      <c r="G780" s="342"/>
      <c r="H780" s="342"/>
      <c r="I780" s="342"/>
      <c r="J780" s="342"/>
      <c r="L780" s="342"/>
      <c r="M780" s="342"/>
      <c r="R780" s="342"/>
      <c r="AJ780" s="342"/>
      <c r="AL780" s="342"/>
      <c r="AM780" s="342"/>
      <c r="BD780" s="342"/>
    </row>
    <row r="781" spans="4:56" x14ac:dyDescent="0.2">
      <c r="D781" s="342"/>
      <c r="F781" s="342"/>
      <c r="G781" s="342"/>
      <c r="H781" s="342"/>
      <c r="I781" s="342"/>
      <c r="J781" s="342"/>
      <c r="L781" s="342"/>
      <c r="M781" s="342"/>
      <c r="R781" s="342"/>
      <c r="AJ781" s="342"/>
      <c r="AL781" s="342"/>
      <c r="AM781" s="342"/>
      <c r="BD781" s="342"/>
    </row>
    <row r="782" spans="4:56" x14ac:dyDescent="0.2">
      <c r="D782" s="342"/>
      <c r="F782" s="342"/>
      <c r="G782" s="342"/>
      <c r="H782" s="342"/>
      <c r="I782" s="342"/>
      <c r="J782" s="342"/>
      <c r="L782" s="342"/>
      <c r="M782" s="342"/>
      <c r="R782" s="342"/>
      <c r="AJ782" s="342"/>
      <c r="AL782" s="342"/>
      <c r="AM782" s="342"/>
      <c r="BD782" s="342"/>
    </row>
    <row r="783" spans="4:56" x14ac:dyDescent="0.2">
      <c r="D783" s="342"/>
      <c r="F783" s="342"/>
      <c r="G783" s="342"/>
      <c r="H783" s="342"/>
      <c r="I783" s="342"/>
      <c r="J783" s="342"/>
      <c r="L783" s="342"/>
      <c r="M783" s="342"/>
      <c r="R783" s="342"/>
      <c r="AJ783" s="342"/>
      <c r="AL783" s="342"/>
      <c r="AM783" s="342"/>
      <c r="BD783" s="342"/>
    </row>
    <row r="784" spans="4:56" x14ac:dyDescent="0.2">
      <c r="D784" s="342"/>
      <c r="F784" s="342"/>
      <c r="G784" s="342"/>
      <c r="H784" s="342"/>
      <c r="I784" s="342"/>
      <c r="J784" s="342"/>
      <c r="L784" s="342"/>
      <c r="M784" s="342"/>
      <c r="R784" s="342"/>
      <c r="AJ784" s="342"/>
      <c r="AL784" s="342"/>
      <c r="AM784" s="342"/>
      <c r="BD784" s="342"/>
    </row>
    <row r="785" spans="4:56" x14ac:dyDescent="0.2">
      <c r="D785" s="342"/>
      <c r="F785" s="342"/>
      <c r="G785" s="342"/>
      <c r="H785" s="342"/>
      <c r="I785" s="342"/>
      <c r="J785" s="342"/>
      <c r="L785" s="342"/>
      <c r="M785" s="342"/>
      <c r="R785" s="342"/>
      <c r="AJ785" s="342"/>
      <c r="AL785" s="342"/>
      <c r="AM785" s="342"/>
      <c r="BD785" s="342"/>
    </row>
    <row r="786" spans="4:56" x14ac:dyDescent="0.2">
      <c r="D786" s="342"/>
      <c r="F786" s="342"/>
      <c r="G786" s="342"/>
      <c r="H786" s="342"/>
      <c r="I786" s="342"/>
      <c r="J786" s="342"/>
      <c r="L786" s="342"/>
      <c r="M786" s="342"/>
      <c r="R786" s="342"/>
      <c r="AJ786" s="342"/>
      <c r="AL786" s="342"/>
      <c r="AM786" s="342"/>
      <c r="BD786" s="342"/>
    </row>
    <row r="787" spans="4:56" x14ac:dyDescent="0.2">
      <c r="D787" s="342"/>
      <c r="F787" s="342"/>
      <c r="G787" s="342"/>
      <c r="H787" s="342"/>
      <c r="I787" s="342"/>
      <c r="J787" s="342"/>
      <c r="L787" s="342"/>
      <c r="M787" s="342"/>
      <c r="R787" s="342"/>
      <c r="AJ787" s="342"/>
      <c r="AL787" s="342"/>
      <c r="AM787" s="342"/>
      <c r="BD787" s="342"/>
    </row>
    <row r="788" spans="4:56" x14ac:dyDescent="0.2">
      <c r="D788" s="342"/>
      <c r="F788" s="342"/>
      <c r="G788" s="342"/>
      <c r="H788" s="342"/>
      <c r="I788" s="342"/>
      <c r="J788" s="342"/>
      <c r="L788" s="342"/>
      <c r="M788" s="342"/>
      <c r="R788" s="342"/>
      <c r="AJ788" s="342"/>
      <c r="AL788" s="342"/>
      <c r="AM788" s="342"/>
      <c r="BD788" s="342"/>
    </row>
    <row r="789" spans="4:56" x14ac:dyDescent="0.2">
      <c r="D789" s="342"/>
      <c r="F789" s="342"/>
      <c r="G789" s="342"/>
      <c r="H789" s="342"/>
      <c r="I789" s="342"/>
      <c r="J789" s="342"/>
      <c r="L789" s="342"/>
      <c r="M789" s="342"/>
      <c r="R789" s="342"/>
      <c r="AJ789" s="342"/>
      <c r="AL789" s="342"/>
      <c r="AM789" s="342"/>
      <c r="BD789" s="342"/>
    </row>
    <row r="790" spans="4:56" x14ac:dyDescent="0.2">
      <c r="D790" s="342"/>
      <c r="F790" s="342"/>
      <c r="G790" s="342"/>
      <c r="H790" s="342"/>
      <c r="I790" s="342"/>
      <c r="J790" s="342"/>
      <c r="L790" s="342"/>
      <c r="M790" s="342"/>
      <c r="R790" s="342"/>
      <c r="AJ790" s="342"/>
      <c r="AL790" s="342"/>
      <c r="AM790" s="342"/>
      <c r="BD790" s="342"/>
    </row>
    <row r="791" spans="4:56" x14ac:dyDescent="0.2">
      <c r="D791" s="342"/>
      <c r="F791" s="342"/>
      <c r="G791" s="342"/>
      <c r="H791" s="342"/>
      <c r="I791" s="342"/>
      <c r="J791" s="342"/>
      <c r="L791" s="342"/>
      <c r="M791" s="342"/>
      <c r="R791" s="342"/>
      <c r="AJ791" s="342"/>
      <c r="AL791" s="342"/>
      <c r="AM791" s="342"/>
      <c r="BD791" s="342"/>
    </row>
    <row r="792" spans="4:56" x14ac:dyDescent="0.2">
      <c r="D792" s="342"/>
      <c r="F792" s="342"/>
      <c r="G792" s="342"/>
      <c r="H792" s="342"/>
      <c r="I792" s="342"/>
      <c r="J792" s="342"/>
      <c r="L792" s="342"/>
      <c r="M792" s="342"/>
      <c r="R792" s="342"/>
      <c r="AJ792" s="342"/>
      <c r="AL792" s="342"/>
      <c r="AM792" s="342"/>
      <c r="BD792" s="342"/>
    </row>
    <row r="793" spans="4:56" x14ac:dyDescent="0.2">
      <c r="D793" s="342"/>
      <c r="F793" s="342"/>
      <c r="G793" s="342"/>
      <c r="H793" s="342"/>
      <c r="I793" s="342"/>
      <c r="J793" s="342"/>
      <c r="L793" s="342"/>
      <c r="M793" s="342"/>
      <c r="R793" s="342"/>
      <c r="AJ793" s="342"/>
      <c r="AL793" s="342"/>
      <c r="AM793" s="342"/>
      <c r="BD793" s="342"/>
    </row>
    <row r="794" spans="4:56" x14ac:dyDescent="0.2">
      <c r="D794" s="342"/>
      <c r="F794" s="342"/>
      <c r="G794" s="342"/>
      <c r="H794" s="342"/>
      <c r="I794" s="342"/>
      <c r="J794" s="342"/>
      <c r="L794" s="342"/>
      <c r="M794" s="342"/>
      <c r="R794" s="342"/>
      <c r="AJ794" s="342"/>
      <c r="AL794" s="342"/>
      <c r="AM794" s="342"/>
      <c r="BD794" s="342"/>
    </row>
    <row r="795" spans="4:56" x14ac:dyDescent="0.2">
      <c r="D795" s="342"/>
      <c r="F795" s="342"/>
      <c r="G795" s="342"/>
      <c r="H795" s="342"/>
      <c r="I795" s="342"/>
      <c r="J795" s="342"/>
      <c r="L795" s="342"/>
      <c r="M795" s="342"/>
      <c r="R795" s="342"/>
      <c r="AJ795" s="342"/>
      <c r="AL795" s="342"/>
      <c r="AM795" s="342"/>
      <c r="BD795" s="342"/>
    </row>
    <row r="796" spans="4:56" x14ac:dyDescent="0.2">
      <c r="D796" s="342"/>
      <c r="F796" s="342"/>
      <c r="G796" s="342"/>
      <c r="H796" s="342"/>
      <c r="I796" s="342"/>
      <c r="J796" s="342"/>
      <c r="L796" s="342"/>
      <c r="M796" s="342"/>
      <c r="R796" s="342"/>
      <c r="AJ796" s="342"/>
      <c r="AL796" s="342"/>
      <c r="AM796" s="342"/>
      <c r="BD796" s="342"/>
    </row>
    <row r="797" spans="4:56" x14ac:dyDescent="0.2">
      <c r="D797" s="342"/>
      <c r="F797" s="342"/>
      <c r="G797" s="342"/>
      <c r="H797" s="342"/>
      <c r="I797" s="342"/>
      <c r="J797" s="342"/>
      <c r="L797" s="342"/>
      <c r="M797" s="342"/>
      <c r="R797" s="342"/>
      <c r="AJ797" s="342"/>
      <c r="AL797" s="342"/>
      <c r="AM797" s="342"/>
      <c r="BD797" s="342"/>
    </row>
    <row r="798" spans="4:56" x14ac:dyDescent="0.2">
      <c r="D798" s="342"/>
      <c r="F798" s="342"/>
      <c r="G798" s="342"/>
      <c r="H798" s="342"/>
      <c r="I798" s="342"/>
      <c r="J798" s="342"/>
      <c r="L798" s="342"/>
      <c r="M798" s="342"/>
      <c r="R798" s="342"/>
      <c r="AJ798" s="342"/>
      <c r="AL798" s="342"/>
      <c r="AM798" s="342"/>
      <c r="BD798" s="342"/>
    </row>
    <row r="799" spans="4:56" x14ac:dyDescent="0.2">
      <c r="D799" s="342"/>
      <c r="F799" s="342"/>
      <c r="G799" s="342"/>
      <c r="H799" s="342"/>
      <c r="I799" s="342"/>
      <c r="J799" s="342"/>
      <c r="L799" s="342"/>
      <c r="M799" s="342"/>
      <c r="R799" s="342"/>
      <c r="AJ799" s="342"/>
      <c r="AL799" s="342"/>
      <c r="AM799" s="342"/>
      <c r="BD799" s="342"/>
    </row>
    <row r="800" spans="4:56" x14ac:dyDescent="0.2">
      <c r="D800" s="342"/>
      <c r="F800" s="342"/>
      <c r="G800" s="342"/>
      <c r="H800" s="342"/>
      <c r="I800" s="342"/>
      <c r="J800" s="342"/>
      <c r="L800" s="342"/>
      <c r="M800" s="342"/>
      <c r="R800" s="342"/>
      <c r="AJ800" s="342"/>
      <c r="AL800" s="342"/>
      <c r="AM800" s="342"/>
      <c r="BD800" s="342"/>
    </row>
    <row r="801" spans="4:56" x14ac:dyDescent="0.2">
      <c r="D801" s="342"/>
      <c r="F801" s="342"/>
      <c r="G801" s="342"/>
      <c r="H801" s="342"/>
      <c r="I801" s="342"/>
      <c r="J801" s="342"/>
      <c r="L801" s="342"/>
      <c r="M801" s="342"/>
      <c r="R801" s="342"/>
      <c r="AJ801" s="342"/>
      <c r="AL801" s="342"/>
      <c r="AM801" s="342"/>
      <c r="BD801" s="342"/>
    </row>
    <row r="802" spans="4:56" x14ac:dyDescent="0.2">
      <c r="D802" s="342"/>
      <c r="F802" s="342"/>
      <c r="G802" s="342"/>
      <c r="H802" s="342"/>
      <c r="I802" s="342"/>
      <c r="J802" s="342"/>
      <c r="L802" s="342"/>
      <c r="M802" s="342"/>
      <c r="R802" s="342"/>
      <c r="AJ802" s="342"/>
      <c r="AL802" s="342"/>
      <c r="AM802" s="342"/>
      <c r="BD802" s="342"/>
    </row>
    <row r="803" spans="4:56" x14ac:dyDescent="0.2">
      <c r="D803" s="342"/>
      <c r="F803" s="342"/>
      <c r="G803" s="342"/>
      <c r="H803" s="342"/>
      <c r="I803" s="342"/>
      <c r="J803" s="342"/>
      <c r="L803" s="342"/>
      <c r="M803" s="342"/>
      <c r="R803" s="342"/>
      <c r="AJ803" s="342"/>
      <c r="AL803" s="342"/>
      <c r="AM803" s="342"/>
      <c r="BD803" s="342"/>
    </row>
    <row r="804" spans="4:56" x14ac:dyDescent="0.2">
      <c r="D804" s="342"/>
      <c r="F804" s="342"/>
      <c r="G804" s="342"/>
      <c r="H804" s="342"/>
      <c r="I804" s="342"/>
      <c r="J804" s="342"/>
      <c r="L804" s="342"/>
      <c r="M804" s="342"/>
      <c r="R804" s="342"/>
      <c r="AJ804" s="342"/>
      <c r="AL804" s="342"/>
      <c r="AM804" s="342"/>
      <c r="BD804" s="342"/>
    </row>
    <row r="805" spans="4:56" x14ac:dyDescent="0.2">
      <c r="D805" s="342"/>
      <c r="F805" s="342"/>
      <c r="G805" s="342"/>
      <c r="H805" s="342"/>
      <c r="I805" s="342"/>
      <c r="J805" s="342"/>
      <c r="L805" s="342"/>
      <c r="M805" s="342"/>
      <c r="R805" s="342"/>
      <c r="AJ805" s="342"/>
      <c r="AL805" s="342"/>
      <c r="AM805" s="342"/>
      <c r="BD805" s="342"/>
    </row>
    <row r="806" spans="4:56" x14ac:dyDescent="0.2">
      <c r="D806" s="342"/>
      <c r="F806" s="342"/>
      <c r="G806" s="342"/>
      <c r="H806" s="342"/>
      <c r="I806" s="342"/>
      <c r="J806" s="342"/>
      <c r="L806" s="342"/>
      <c r="M806" s="342"/>
      <c r="R806" s="342"/>
      <c r="AJ806" s="342"/>
      <c r="AL806" s="342"/>
      <c r="AM806" s="342"/>
      <c r="BD806" s="342"/>
    </row>
    <row r="807" spans="4:56" x14ac:dyDescent="0.2">
      <c r="D807" s="342"/>
      <c r="F807" s="342"/>
      <c r="G807" s="342"/>
      <c r="H807" s="342"/>
      <c r="I807" s="342"/>
      <c r="J807" s="342"/>
      <c r="L807" s="342"/>
      <c r="M807" s="342"/>
      <c r="R807" s="342"/>
      <c r="AJ807" s="342"/>
      <c r="AL807" s="342"/>
      <c r="AM807" s="342"/>
      <c r="BD807" s="342"/>
    </row>
    <row r="808" spans="4:56" x14ac:dyDescent="0.2">
      <c r="D808" s="342"/>
      <c r="F808" s="342"/>
      <c r="G808" s="342"/>
      <c r="H808" s="342"/>
      <c r="I808" s="342"/>
      <c r="J808" s="342"/>
      <c r="L808" s="342"/>
      <c r="M808" s="342"/>
      <c r="R808" s="342"/>
      <c r="AJ808" s="342"/>
      <c r="AL808" s="342"/>
      <c r="AM808" s="342"/>
      <c r="BD808" s="342"/>
    </row>
    <row r="809" spans="4:56" x14ac:dyDescent="0.2">
      <c r="D809" s="342"/>
      <c r="F809" s="342"/>
      <c r="G809" s="342"/>
      <c r="H809" s="342"/>
      <c r="I809" s="342"/>
      <c r="J809" s="342"/>
      <c r="L809" s="342"/>
      <c r="M809" s="342"/>
      <c r="R809" s="342"/>
      <c r="AJ809" s="342"/>
      <c r="AL809" s="342"/>
      <c r="AM809" s="342"/>
      <c r="BD809" s="342"/>
    </row>
    <row r="810" spans="4:56" x14ac:dyDescent="0.2">
      <c r="D810" s="342"/>
      <c r="F810" s="342"/>
      <c r="G810" s="342"/>
      <c r="H810" s="342"/>
      <c r="I810" s="342"/>
      <c r="J810" s="342"/>
      <c r="L810" s="342"/>
      <c r="M810" s="342"/>
      <c r="R810" s="342"/>
      <c r="AJ810" s="342"/>
      <c r="AL810" s="342"/>
      <c r="AM810" s="342"/>
      <c r="BD810" s="342"/>
    </row>
    <row r="811" spans="4:56" x14ac:dyDescent="0.2">
      <c r="D811" s="342"/>
      <c r="F811" s="342"/>
      <c r="G811" s="342"/>
      <c r="H811" s="342"/>
      <c r="I811" s="342"/>
      <c r="J811" s="342"/>
      <c r="L811" s="342"/>
      <c r="M811" s="342"/>
      <c r="R811" s="342"/>
      <c r="AJ811" s="342"/>
      <c r="AL811" s="342"/>
      <c r="AM811" s="342"/>
      <c r="BD811" s="342"/>
    </row>
    <row r="812" spans="4:56" x14ac:dyDescent="0.2">
      <c r="D812" s="342"/>
      <c r="F812" s="342"/>
      <c r="G812" s="342"/>
      <c r="H812" s="342"/>
      <c r="I812" s="342"/>
      <c r="J812" s="342"/>
      <c r="L812" s="342"/>
      <c r="M812" s="342"/>
      <c r="R812" s="342"/>
      <c r="AJ812" s="342"/>
      <c r="AL812" s="342"/>
      <c r="AM812" s="342"/>
      <c r="BD812" s="342"/>
    </row>
    <row r="813" spans="4:56" x14ac:dyDescent="0.2">
      <c r="D813" s="342"/>
      <c r="F813" s="342"/>
      <c r="G813" s="342"/>
      <c r="H813" s="342"/>
      <c r="I813" s="342"/>
      <c r="J813" s="342"/>
      <c r="L813" s="342"/>
      <c r="M813" s="342"/>
      <c r="R813" s="342"/>
      <c r="AJ813" s="342"/>
      <c r="AL813" s="342"/>
      <c r="AM813" s="342"/>
      <c r="BD813" s="342"/>
    </row>
    <row r="814" spans="4:56" x14ac:dyDescent="0.2">
      <c r="D814" s="342"/>
      <c r="F814" s="342"/>
      <c r="G814" s="342"/>
      <c r="H814" s="342"/>
      <c r="I814" s="342"/>
      <c r="J814" s="342"/>
      <c r="L814" s="342"/>
      <c r="M814" s="342"/>
      <c r="R814" s="342"/>
      <c r="AJ814" s="342"/>
      <c r="AL814" s="342"/>
      <c r="AM814" s="342"/>
      <c r="BD814" s="342"/>
    </row>
    <row r="815" spans="4:56" x14ac:dyDescent="0.2">
      <c r="D815" s="342"/>
      <c r="F815" s="342"/>
      <c r="G815" s="342"/>
      <c r="H815" s="342"/>
      <c r="I815" s="342"/>
      <c r="J815" s="342"/>
      <c r="L815" s="342"/>
      <c r="M815" s="342"/>
      <c r="R815" s="342"/>
      <c r="AJ815" s="342"/>
      <c r="AL815" s="342"/>
      <c r="AM815" s="342"/>
      <c r="BD815" s="342"/>
    </row>
    <row r="816" spans="4:56" x14ac:dyDescent="0.2">
      <c r="D816" s="342"/>
      <c r="F816" s="342"/>
      <c r="G816" s="342"/>
      <c r="H816" s="342"/>
      <c r="I816" s="342"/>
      <c r="J816" s="342"/>
      <c r="L816" s="342"/>
      <c r="M816" s="342"/>
      <c r="R816" s="342"/>
      <c r="AJ816" s="342"/>
      <c r="AL816" s="342"/>
      <c r="AM816" s="342"/>
      <c r="BD816" s="342"/>
    </row>
    <row r="817" spans="4:56" x14ac:dyDescent="0.2">
      <c r="D817" s="342"/>
      <c r="F817" s="342"/>
      <c r="G817" s="342"/>
      <c r="H817" s="342"/>
      <c r="I817" s="342"/>
      <c r="J817" s="342"/>
      <c r="L817" s="342"/>
      <c r="M817" s="342"/>
      <c r="R817" s="342"/>
      <c r="AJ817" s="342"/>
      <c r="AL817" s="342"/>
      <c r="AM817" s="342"/>
      <c r="BD817" s="342"/>
    </row>
    <row r="818" spans="4:56" x14ac:dyDescent="0.2">
      <c r="D818" s="342"/>
      <c r="F818" s="342"/>
      <c r="G818" s="342"/>
      <c r="H818" s="342"/>
      <c r="I818" s="342"/>
      <c r="J818" s="342"/>
      <c r="L818" s="342"/>
      <c r="M818" s="342"/>
      <c r="R818" s="342"/>
      <c r="AJ818" s="342"/>
      <c r="AL818" s="342"/>
      <c r="AM818" s="342"/>
      <c r="BD818" s="342"/>
    </row>
    <row r="819" spans="4:56" x14ac:dyDescent="0.2">
      <c r="D819" s="342"/>
      <c r="F819" s="342"/>
      <c r="G819" s="342"/>
      <c r="H819" s="342"/>
      <c r="I819" s="342"/>
      <c r="J819" s="342"/>
      <c r="L819" s="342"/>
      <c r="M819" s="342"/>
      <c r="R819" s="342"/>
      <c r="AJ819" s="342"/>
      <c r="AL819" s="342"/>
      <c r="AM819" s="342"/>
      <c r="BD819" s="342"/>
    </row>
    <row r="820" spans="4:56" x14ac:dyDescent="0.2">
      <c r="D820" s="342"/>
      <c r="F820" s="342"/>
      <c r="G820" s="342"/>
      <c r="H820" s="342"/>
      <c r="I820" s="342"/>
      <c r="J820" s="342"/>
      <c r="L820" s="342"/>
      <c r="M820" s="342"/>
      <c r="R820" s="342"/>
      <c r="AJ820" s="342"/>
      <c r="AL820" s="342"/>
      <c r="AM820" s="342"/>
      <c r="BD820" s="342"/>
    </row>
    <row r="821" spans="4:56" x14ac:dyDescent="0.2">
      <c r="D821" s="342"/>
      <c r="F821" s="342"/>
      <c r="G821" s="342"/>
      <c r="H821" s="342"/>
      <c r="I821" s="342"/>
      <c r="J821" s="342"/>
      <c r="L821" s="342"/>
      <c r="M821" s="342"/>
      <c r="R821" s="342"/>
      <c r="AJ821" s="342"/>
      <c r="AL821" s="342"/>
      <c r="AM821" s="342"/>
      <c r="BD821" s="342"/>
    </row>
    <row r="822" spans="4:56" x14ac:dyDescent="0.2">
      <c r="D822" s="342"/>
      <c r="F822" s="342"/>
      <c r="G822" s="342"/>
      <c r="H822" s="342"/>
      <c r="I822" s="342"/>
      <c r="J822" s="342"/>
      <c r="L822" s="342"/>
      <c r="M822" s="342"/>
      <c r="R822" s="342"/>
      <c r="AJ822" s="342"/>
      <c r="AL822" s="342"/>
      <c r="AM822" s="342"/>
      <c r="BD822" s="342"/>
    </row>
    <row r="823" spans="4:56" x14ac:dyDescent="0.2">
      <c r="D823" s="342"/>
      <c r="F823" s="342"/>
      <c r="G823" s="342"/>
      <c r="H823" s="342"/>
      <c r="I823" s="342"/>
      <c r="J823" s="342"/>
      <c r="L823" s="342"/>
      <c r="M823" s="342"/>
      <c r="R823" s="342"/>
      <c r="AJ823" s="342"/>
      <c r="AL823" s="342"/>
      <c r="AM823" s="342"/>
      <c r="BD823" s="342"/>
    </row>
    <row r="824" spans="4:56" x14ac:dyDescent="0.2">
      <c r="D824" s="342"/>
      <c r="F824" s="342"/>
      <c r="G824" s="342"/>
      <c r="H824" s="342"/>
      <c r="I824" s="342"/>
      <c r="J824" s="342"/>
      <c r="L824" s="342"/>
      <c r="M824" s="342"/>
      <c r="R824" s="342"/>
      <c r="AJ824" s="342"/>
      <c r="AL824" s="342"/>
      <c r="AM824" s="342"/>
      <c r="BD824" s="342"/>
    </row>
    <row r="825" spans="4:56" x14ac:dyDescent="0.2">
      <c r="D825" s="342"/>
      <c r="F825" s="342"/>
      <c r="G825" s="342"/>
      <c r="H825" s="342"/>
      <c r="I825" s="342"/>
      <c r="J825" s="342"/>
      <c r="L825" s="342"/>
      <c r="M825" s="342"/>
      <c r="R825" s="342"/>
      <c r="AJ825" s="342"/>
      <c r="AL825" s="342"/>
      <c r="AM825" s="342"/>
      <c r="BD825" s="342"/>
    </row>
    <row r="826" spans="4:56" x14ac:dyDescent="0.2">
      <c r="D826" s="342"/>
      <c r="F826" s="342"/>
      <c r="G826" s="342"/>
      <c r="H826" s="342"/>
      <c r="I826" s="342"/>
      <c r="J826" s="342"/>
      <c r="L826" s="342"/>
      <c r="M826" s="342"/>
      <c r="R826" s="342"/>
      <c r="AJ826" s="342"/>
      <c r="AL826" s="342"/>
      <c r="AM826" s="342"/>
      <c r="BD826" s="342"/>
    </row>
    <row r="827" spans="4:56" x14ac:dyDescent="0.2">
      <c r="D827" s="342"/>
      <c r="F827" s="342"/>
      <c r="G827" s="342"/>
      <c r="H827" s="342"/>
      <c r="I827" s="342"/>
      <c r="J827" s="342"/>
      <c r="L827" s="342"/>
      <c r="M827" s="342"/>
      <c r="R827" s="342"/>
      <c r="AJ827" s="342"/>
      <c r="AL827" s="342"/>
      <c r="AM827" s="342"/>
      <c r="BD827" s="342"/>
    </row>
    <row r="828" spans="4:56" x14ac:dyDescent="0.2">
      <c r="D828" s="342"/>
      <c r="F828" s="342"/>
      <c r="G828" s="342"/>
      <c r="H828" s="342"/>
      <c r="I828" s="342"/>
      <c r="J828" s="342"/>
      <c r="L828" s="342"/>
      <c r="M828" s="342"/>
      <c r="R828" s="342"/>
      <c r="AJ828" s="342"/>
      <c r="AL828" s="342"/>
      <c r="AM828" s="342"/>
      <c r="BD828" s="342"/>
    </row>
    <row r="829" spans="4:56" x14ac:dyDescent="0.2">
      <c r="D829" s="342"/>
      <c r="F829" s="342"/>
      <c r="G829" s="342"/>
      <c r="H829" s="342"/>
      <c r="I829" s="342"/>
      <c r="J829" s="342"/>
      <c r="L829" s="342"/>
      <c r="M829" s="342"/>
      <c r="R829" s="342"/>
      <c r="AJ829" s="342"/>
      <c r="AL829" s="342"/>
      <c r="AM829" s="342"/>
      <c r="BD829" s="342"/>
    </row>
    <row r="830" spans="4:56" x14ac:dyDescent="0.2">
      <c r="D830" s="342"/>
      <c r="F830" s="342"/>
      <c r="G830" s="342"/>
      <c r="H830" s="342"/>
      <c r="I830" s="342"/>
      <c r="J830" s="342"/>
      <c r="L830" s="342"/>
      <c r="M830" s="342"/>
      <c r="R830" s="342"/>
      <c r="AJ830" s="342"/>
      <c r="AL830" s="342"/>
      <c r="AM830" s="342"/>
      <c r="BD830" s="342"/>
    </row>
    <row r="831" spans="4:56" x14ac:dyDescent="0.2">
      <c r="D831" s="342"/>
      <c r="F831" s="342"/>
      <c r="G831" s="342"/>
      <c r="H831" s="342"/>
      <c r="I831" s="342"/>
      <c r="J831" s="342"/>
      <c r="L831" s="342"/>
      <c r="M831" s="342"/>
      <c r="R831" s="342"/>
      <c r="AJ831" s="342"/>
      <c r="AL831" s="342"/>
      <c r="AM831" s="342"/>
      <c r="BD831" s="342"/>
    </row>
    <row r="832" spans="4:56" x14ac:dyDescent="0.2">
      <c r="D832" s="342"/>
      <c r="F832" s="342"/>
      <c r="G832" s="342"/>
      <c r="H832" s="342"/>
      <c r="I832" s="342"/>
      <c r="J832" s="342"/>
      <c r="L832" s="342"/>
      <c r="M832" s="342"/>
      <c r="R832" s="342"/>
      <c r="AJ832" s="342"/>
      <c r="AL832" s="342"/>
      <c r="AM832" s="342"/>
      <c r="BD832" s="342"/>
    </row>
    <row r="833" spans="4:56" x14ac:dyDescent="0.2">
      <c r="D833" s="342"/>
      <c r="F833" s="342"/>
      <c r="G833" s="342"/>
      <c r="H833" s="342"/>
      <c r="I833" s="342"/>
      <c r="J833" s="342"/>
      <c r="L833" s="342"/>
      <c r="M833" s="342"/>
      <c r="R833" s="342"/>
      <c r="AJ833" s="342"/>
      <c r="AL833" s="342"/>
      <c r="AM833" s="342"/>
      <c r="BD833" s="342"/>
    </row>
    <row r="834" spans="4:56" x14ac:dyDescent="0.2">
      <c r="D834" s="342"/>
      <c r="F834" s="342"/>
      <c r="G834" s="342"/>
      <c r="H834" s="342"/>
      <c r="I834" s="342"/>
      <c r="J834" s="342"/>
      <c r="L834" s="342"/>
      <c r="M834" s="342"/>
      <c r="R834" s="342"/>
      <c r="AJ834" s="342"/>
      <c r="AL834" s="342"/>
      <c r="AM834" s="342"/>
      <c r="BD834" s="342"/>
    </row>
    <row r="835" spans="4:56" x14ac:dyDescent="0.2">
      <c r="D835" s="342"/>
      <c r="F835" s="342"/>
      <c r="G835" s="342"/>
      <c r="H835" s="342"/>
      <c r="I835" s="342"/>
      <c r="J835" s="342"/>
      <c r="L835" s="342"/>
      <c r="M835" s="342"/>
      <c r="R835" s="342"/>
      <c r="AJ835" s="342"/>
      <c r="AL835" s="342"/>
      <c r="AM835" s="342"/>
      <c r="BD835" s="342"/>
    </row>
    <row r="836" spans="4:56" x14ac:dyDescent="0.2">
      <c r="D836" s="342"/>
      <c r="F836" s="342"/>
      <c r="G836" s="342"/>
      <c r="H836" s="342"/>
      <c r="I836" s="342"/>
      <c r="J836" s="342"/>
      <c r="L836" s="342"/>
      <c r="M836" s="342"/>
      <c r="R836" s="342"/>
      <c r="AJ836" s="342"/>
      <c r="AL836" s="342"/>
      <c r="AM836" s="342"/>
      <c r="BD836" s="342"/>
    </row>
    <row r="837" spans="4:56" x14ac:dyDescent="0.2">
      <c r="D837" s="342"/>
      <c r="F837" s="342"/>
      <c r="G837" s="342"/>
      <c r="H837" s="342"/>
      <c r="I837" s="342"/>
      <c r="J837" s="342"/>
      <c r="L837" s="342"/>
      <c r="M837" s="342"/>
      <c r="R837" s="342"/>
      <c r="AJ837" s="342"/>
      <c r="AL837" s="342"/>
      <c r="AM837" s="342"/>
      <c r="BD837" s="342"/>
    </row>
    <row r="838" spans="4:56" x14ac:dyDescent="0.2">
      <c r="D838" s="342"/>
      <c r="F838" s="342"/>
      <c r="G838" s="342"/>
      <c r="H838" s="342"/>
      <c r="I838" s="342"/>
      <c r="J838" s="342"/>
      <c r="L838" s="342"/>
      <c r="M838" s="342"/>
      <c r="R838" s="342"/>
      <c r="AJ838" s="342"/>
      <c r="AL838" s="342"/>
      <c r="AM838" s="342"/>
      <c r="BD838" s="342"/>
    </row>
    <row r="839" spans="4:56" x14ac:dyDescent="0.2">
      <c r="D839" s="342"/>
      <c r="F839" s="342"/>
      <c r="G839" s="342"/>
      <c r="H839" s="342"/>
      <c r="I839" s="342"/>
      <c r="J839" s="342"/>
      <c r="L839" s="342"/>
      <c r="M839" s="342"/>
      <c r="R839" s="342"/>
      <c r="AJ839" s="342"/>
      <c r="AL839" s="342"/>
      <c r="AM839" s="342"/>
      <c r="BD839" s="342"/>
    </row>
    <row r="840" spans="4:56" x14ac:dyDescent="0.2">
      <c r="D840" s="342"/>
      <c r="F840" s="342"/>
      <c r="G840" s="342"/>
      <c r="H840" s="342"/>
      <c r="I840" s="342"/>
      <c r="J840" s="342"/>
      <c r="L840" s="342"/>
      <c r="M840" s="342"/>
      <c r="R840" s="342"/>
      <c r="AJ840" s="342"/>
      <c r="AL840" s="342"/>
      <c r="AM840" s="342"/>
      <c r="BD840" s="342"/>
    </row>
    <row r="841" spans="4:56" x14ac:dyDescent="0.2">
      <c r="D841" s="342"/>
      <c r="F841" s="342"/>
      <c r="G841" s="342"/>
      <c r="H841" s="342"/>
      <c r="I841" s="342"/>
      <c r="J841" s="342"/>
      <c r="L841" s="342"/>
      <c r="M841" s="342"/>
      <c r="R841" s="342"/>
      <c r="AJ841" s="342"/>
      <c r="AL841" s="342"/>
      <c r="AM841" s="342"/>
      <c r="BD841" s="342"/>
    </row>
    <row r="842" spans="4:56" x14ac:dyDescent="0.2">
      <c r="D842" s="342"/>
      <c r="F842" s="342"/>
      <c r="G842" s="342"/>
      <c r="H842" s="342"/>
      <c r="I842" s="342"/>
      <c r="J842" s="342"/>
      <c r="L842" s="342"/>
      <c r="M842" s="342"/>
      <c r="R842" s="342"/>
      <c r="AJ842" s="342"/>
      <c r="AL842" s="342"/>
      <c r="AM842" s="342"/>
      <c r="BD842" s="342"/>
    </row>
    <row r="843" spans="4:56" x14ac:dyDescent="0.2">
      <c r="D843" s="342"/>
      <c r="F843" s="342"/>
      <c r="G843" s="342"/>
      <c r="H843" s="342"/>
      <c r="I843" s="342"/>
      <c r="J843" s="342"/>
      <c r="L843" s="342"/>
      <c r="M843" s="342"/>
      <c r="R843" s="342"/>
      <c r="AJ843" s="342"/>
      <c r="AL843" s="342"/>
      <c r="AM843" s="342"/>
      <c r="BD843" s="342"/>
    </row>
    <row r="844" spans="4:56" x14ac:dyDescent="0.2">
      <c r="D844" s="342"/>
      <c r="F844" s="342"/>
      <c r="G844" s="342"/>
      <c r="H844" s="342"/>
      <c r="I844" s="342"/>
      <c r="J844" s="342"/>
      <c r="L844" s="342"/>
      <c r="M844" s="342"/>
      <c r="R844" s="342"/>
      <c r="AJ844" s="342"/>
      <c r="AL844" s="342"/>
      <c r="AM844" s="342"/>
      <c r="BD844" s="342"/>
    </row>
    <row r="845" spans="4:56" x14ac:dyDescent="0.2">
      <c r="D845" s="342"/>
      <c r="F845" s="342"/>
      <c r="G845" s="342"/>
      <c r="H845" s="342"/>
      <c r="I845" s="342"/>
      <c r="J845" s="342"/>
      <c r="L845" s="342"/>
      <c r="M845" s="342"/>
      <c r="R845" s="342"/>
      <c r="AJ845" s="342"/>
      <c r="AL845" s="342"/>
      <c r="AM845" s="342"/>
      <c r="BD845" s="342"/>
    </row>
    <row r="846" spans="4:56" x14ac:dyDescent="0.2">
      <c r="D846" s="342"/>
      <c r="F846" s="342"/>
      <c r="G846" s="342"/>
      <c r="H846" s="342"/>
      <c r="I846" s="342"/>
      <c r="J846" s="342"/>
      <c r="L846" s="342"/>
      <c r="M846" s="342"/>
      <c r="R846" s="342"/>
      <c r="AJ846" s="342"/>
      <c r="AL846" s="342"/>
      <c r="AM846" s="342"/>
      <c r="BD846" s="342"/>
    </row>
    <row r="847" spans="4:56" x14ac:dyDescent="0.2">
      <c r="D847" s="342"/>
      <c r="F847" s="342"/>
      <c r="G847" s="342"/>
      <c r="H847" s="342"/>
      <c r="I847" s="342"/>
      <c r="J847" s="342"/>
      <c r="L847" s="342"/>
      <c r="M847" s="342"/>
      <c r="R847" s="342"/>
      <c r="AJ847" s="342"/>
      <c r="AL847" s="342"/>
      <c r="AM847" s="342"/>
      <c r="BD847" s="342"/>
    </row>
    <row r="848" spans="4:56" x14ac:dyDescent="0.2">
      <c r="D848" s="342"/>
      <c r="F848" s="342"/>
      <c r="G848" s="342"/>
      <c r="H848" s="342"/>
      <c r="I848" s="342"/>
      <c r="J848" s="342"/>
      <c r="L848" s="342"/>
      <c r="M848" s="342"/>
      <c r="R848" s="342"/>
      <c r="AJ848" s="342"/>
      <c r="AL848" s="342"/>
      <c r="AM848" s="342"/>
      <c r="BD848" s="342"/>
    </row>
    <row r="849" spans="4:56" x14ac:dyDescent="0.2">
      <c r="D849" s="342"/>
      <c r="F849" s="342"/>
      <c r="G849" s="342"/>
      <c r="H849" s="342"/>
      <c r="I849" s="342"/>
      <c r="J849" s="342"/>
      <c r="L849" s="342"/>
      <c r="M849" s="342"/>
      <c r="R849" s="342"/>
      <c r="AJ849" s="342"/>
      <c r="AL849" s="342"/>
      <c r="AM849" s="342"/>
      <c r="BD849" s="342"/>
    </row>
    <row r="850" spans="4:56" x14ac:dyDescent="0.2">
      <c r="D850" s="342"/>
      <c r="F850" s="342"/>
      <c r="G850" s="342"/>
      <c r="H850" s="342"/>
      <c r="I850" s="342"/>
      <c r="J850" s="342"/>
      <c r="L850" s="342"/>
      <c r="M850" s="342"/>
      <c r="R850" s="342"/>
      <c r="AJ850" s="342"/>
      <c r="AL850" s="342"/>
      <c r="AM850" s="342"/>
      <c r="BD850" s="342"/>
    </row>
    <row r="851" spans="4:56" x14ac:dyDescent="0.2">
      <c r="D851" s="342"/>
      <c r="F851" s="342"/>
      <c r="G851" s="342"/>
      <c r="H851" s="342"/>
      <c r="I851" s="342"/>
      <c r="J851" s="342"/>
      <c r="L851" s="342"/>
      <c r="M851" s="342"/>
      <c r="R851" s="342"/>
      <c r="AJ851" s="342"/>
      <c r="AL851" s="342"/>
      <c r="AM851" s="342"/>
      <c r="BD851" s="342"/>
    </row>
    <row r="852" spans="4:56" x14ac:dyDescent="0.2">
      <c r="D852" s="342"/>
      <c r="F852" s="342"/>
      <c r="G852" s="342"/>
      <c r="H852" s="342"/>
      <c r="I852" s="342"/>
      <c r="J852" s="342"/>
      <c r="L852" s="342"/>
      <c r="M852" s="342"/>
      <c r="R852" s="342"/>
      <c r="AJ852" s="342"/>
      <c r="AL852" s="342"/>
      <c r="AM852" s="342"/>
      <c r="BD852" s="342"/>
    </row>
    <row r="853" spans="4:56" x14ac:dyDescent="0.2">
      <c r="D853" s="342"/>
      <c r="F853" s="342"/>
      <c r="G853" s="342"/>
      <c r="H853" s="342"/>
      <c r="I853" s="342"/>
      <c r="J853" s="342"/>
      <c r="L853" s="342"/>
      <c r="M853" s="342"/>
      <c r="R853" s="342"/>
      <c r="AJ853" s="342"/>
      <c r="AL853" s="342"/>
      <c r="AM853" s="342"/>
      <c r="BD853" s="342"/>
    </row>
    <row r="854" spans="4:56" x14ac:dyDescent="0.2">
      <c r="D854" s="342"/>
      <c r="F854" s="342"/>
      <c r="G854" s="342"/>
      <c r="H854" s="342"/>
      <c r="I854" s="342"/>
      <c r="J854" s="342"/>
      <c r="L854" s="342"/>
      <c r="M854" s="342"/>
      <c r="R854" s="342"/>
      <c r="AJ854" s="342"/>
      <c r="AL854" s="342"/>
      <c r="AM854" s="342"/>
      <c r="BD854" s="342"/>
    </row>
    <row r="855" spans="4:56" x14ac:dyDescent="0.2">
      <c r="D855" s="342"/>
      <c r="F855" s="342"/>
      <c r="G855" s="342"/>
      <c r="H855" s="342"/>
      <c r="I855" s="342"/>
      <c r="J855" s="342"/>
      <c r="L855" s="342"/>
      <c r="M855" s="342"/>
      <c r="R855" s="342"/>
      <c r="AJ855" s="342"/>
      <c r="AL855" s="342"/>
      <c r="AM855" s="342"/>
      <c r="BD855" s="342"/>
    </row>
    <row r="856" spans="4:56" x14ac:dyDescent="0.2">
      <c r="D856" s="342"/>
      <c r="F856" s="342"/>
      <c r="G856" s="342"/>
      <c r="H856" s="342"/>
      <c r="I856" s="342"/>
      <c r="J856" s="342"/>
      <c r="L856" s="342"/>
      <c r="M856" s="342"/>
      <c r="R856" s="342"/>
      <c r="AJ856" s="342"/>
      <c r="AL856" s="342"/>
      <c r="AM856" s="342"/>
      <c r="BD856" s="342"/>
    </row>
    <row r="857" spans="4:56" x14ac:dyDescent="0.2">
      <c r="D857" s="342"/>
      <c r="F857" s="342"/>
      <c r="G857" s="342"/>
      <c r="H857" s="342"/>
      <c r="I857" s="342"/>
      <c r="J857" s="342"/>
      <c r="L857" s="342"/>
      <c r="M857" s="342"/>
      <c r="R857" s="342"/>
      <c r="AJ857" s="342"/>
      <c r="AL857" s="342"/>
      <c r="AM857" s="342"/>
      <c r="BD857" s="342"/>
    </row>
    <row r="858" spans="4:56" x14ac:dyDescent="0.2">
      <c r="D858" s="342"/>
      <c r="F858" s="342"/>
      <c r="G858" s="342"/>
      <c r="H858" s="342"/>
      <c r="I858" s="342"/>
      <c r="J858" s="342"/>
      <c r="L858" s="342"/>
      <c r="M858" s="342"/>
      <c r="R858" s="342"/>
      <c r="AJ858" s="342"/>
      <c r="AL858" s="342"/>
      <c r="AM858" s="342"/>
      <c r="BD858" s="342"/>
    </row>
    <row r="859" spans="4:56" x14ac:dyDescent="0.2">
      <c r="D859" s="342"/>
      <c r="F859" s="342"/>
      <c r="G859" s="342"/>
      <c r="H859" s="342"/>
      <c r="I859" s="342"/>
      <c r="J859" s="342"/>
      <c r="L859" s="342"/>
      <c r="M859" s="342"/>
      <c r="R859" s="342"/>
      <c r="AJ859" s="342"/>
      <c r="AL859" s="342"/>
      <c r="AM859" s="342"/>
      <c r="BD859" s="342"/>
    </row>
    <row r="860" spans="4:56" x14ac:dyDescent="0.2">
      <c r="D860" s="342"/>
      <c r="F860" s="342"/>
      <c r="G860" s="342"/>
      <c r="H860" s="342"/>
      <c r="I860" s="342"/>
      <c r="J860" s="342"/>
      <c r="L860" s="342"/>
      <c r="M860" s="342"/>
      <c r="R860" s="342"/>
      <c r="AJ860" s="342"/>
      <c r="AL860" s="342"/>
      <c r="AM860" s="342"/>
      <c r="BD860" s="342"/>
    </row>
    <row r="861" spans="4:56" x14ac:dyDescent="0.2">
      <c r="D861" s="342"/>
      <c r="F861" s="342"/>
      <c r="G861" s="342"/>
      <c r="H861" s="342"/>
      <c r="I861" s="342"/>
      <c r="J861" s="342"/>
      <c r="L861" s="342"/>
      <c r="M861" s="342"/>
      <c r="R861" s="342"/>
      <c r="AJ861" s="342"/>
      <c r="AL861" s="342"/>
      <c r="AM861" s="342"/>
      <c r="BD861" s="342"/>
    </row>
    <row r="862" spans="4:56" x14ac:dyDescent="0.2">
      <c r="D862" s="342"/>
      <c r="F862" s="342"/>
      <c r="G862" s="342"/>
      <c r="H862" s="342"/>
      <c r="I862" s="342"/>
      <c r="J862" s="342"/>
      <c r="L862" s="342"/>
      <c r="M862" s="342"/>
      <c r="R862" s="342"/>
      <c r="AJ862" s="342"/>
      <c r="AL862" s="342"/>
      <c r="AM862" s="342"/>
      <c r="BD862" s="342"/>
    </row>
    <row r="863" spans="4:56" x14ac:dyDescent="0.2">
      <c r="D863" s="342"/>
      <c r="F863" s="342"/>
      <c r="G863" s="342"/>
      <c r="H863" s="342"/>
      <c r="I863" s="342"/>
      <c r="J863" s="342"/>
      <c r="L863" s="342"/>
      <c r="M863" s="342"/>
      <c r="R863" s="342"/>
      <c r="AJ863" s="342"/>
      <c r="AL863" s="342"/>
      <c r="AM863" s="342"/>
      <c r="BD863" s="342"/>
    </row>
    <row r="864" spans="4:56" x14ac:dyDescent="0.2">
      <c r="D864" s="342"/>
      <c r="F864" s="342"/>
      <c r="G864" s="342"/>
      <c r="H864" s="342"/>
      <c r="I864" s="342"/>
      <c r="J864" s="342"/>
      <c r="L864" s="342"/>
      <c r="M864" s="342"/>
      <c r="R864" s="342"/>
      <c r="AJ864" s="342"/>
      <c r="AL864" s="342"/>
      <c r="AM864" s="342"/>
      <c r="BD864" s="342"/>
    </row>
    <row r="865" spans="4:56" x14ac:dyDescent="0.2">
      <c r="D865" s="342"/>
      <c r="F865" s="342"/>
      <c r="G865" s="342"/>
      <c r="H865" s="342"/>
      <c r="I865" s="342"/>
      <c r="J865" s="342"/>
      <c r="L865" s="342"/>
      <c r="M865" s="342"/>
      <c r="R865" s="342"/>
      <c r="AJ865" s="342"/>
      <c r="AL865" s="342"/>
      <c r="AM865" s="342"/>
      <c r="BD865" s="342"/>
    </row>
    <row r="866" spans="4:56" x14ac:dyDescent="0.2">
      <c r="D866" s="342"/>
      <c r="F866" s="342"/>
      <c r="G866" s="342"/>
      <c r="H866" s="342"/>
      <c r="I866" s="342"/>
      <c r="J866" s="342"/>
      <c r="L866" s="342"/>
      <c r="M866" s="342"/>
      <c r="R866" s="342"/>
      <c r="AJ866" s="342"/>
      <c r="AL866" s="342"/>
      <c r="AM866" s="342"/>
      <c r="BD866" s="342"/>
    </row>
    <row r="867" spans="4:56" x14ac:dyDescent="0.2">
      <c r="D867" s="342"/>
      <c r="F867" s="342"/>
      <c r="G867" s="342"/>
      <c r="H867" s="342"/>
      <c r="I867" s="342"/>
      <c r="J867" s="342"/>
      <c r="L867" s="342"/>
      <c r="M867" s="342"/>
      <c r="R867" s="342"/>
      <c r="AJ867" s="342"/>
      <c r="AL867" s="342"/>
      <c r="AM867" s="342"/>
      <c r="BD867" s="342"/>
    </row>
    <row r="868" spans="4:56" x14ac:dyDescent="0.2">
      <c r="D868" s="342"/>
      <c r="F868" s="342"/>
      <c r="G868" s="342"/>
      <c r="H868" s="342"/>
      <c r="I868" s="342"/>
      <c r="J868" s="342"/>
      <c r="L868" s="342"/>
      <c r="M868" s="342"/>
      <c r="R868" s="342"/>
      <c r="AJ868" s="342"/>
      <c r="AL868" s="342"/>
      <c r="AM868" s="342"/>
      <c r="BD868" s="342"/>
    </row>
    <row r="869" spans="4:56" x14ac:dyDescent="0.2">
      <c r="D869" s="342"/>
      <c r="F869" s="342"/>
      <c r="G869" s="342"/>
      <c r="H869" s="342"/>
      <c r="I869" s="342"/>
      <c r="J869" s="342"/>
      <c r="L869" s="342"/>
      <c r="M869" s="342"/>
      <c r="R869" s="342"/>
      <c r="AJ869" s="342"/>
      <c r="AL869" s="342"/>
      <c r="AM869" s="342"/>
      <c r="BD869" s="342"/>
    </row>
    <row r="870" spans="4:56" x14ac:dyDescent="0.2">
      <c r="D870" s="342"/>
      <c r="F870" s="342"/>
      <c r="G870" s="342"/>
      <c r="H870" s="342"/>
      <c r="I870" s="342"/>
      <c r="J870" s="342"/>
      <c r="L870" s="342"/>
      <c r="M870" s="342"/>
      <c r="R870" s="342"/>
      <c r="AJ870" s="342"/>
      <c r="AL870" s="342"/>
      <c r="AM870" s="342"/>
      <c r="BD870" s="342"/>
    </row>
    <row r="871" spans="4:56" x14ac:dyDescent="0.2">
      <c r="D871" s="342"/>
      <c r="F871" s="342"/>
      <c r="G871" s="342"/>
      <c r="H871" s="342"/>
      <c r="I871" s="342"/>
      <c r="J871" s="342"/>
      <c r="L871" s="342"/>
      <c r="M871" s="342"/>
      <c r="R871" s="342"/>
      <c r="AJ871" s="342"/>
      <c r="AL871" s="342"/>
      <c r="AM871" s="342"/>
      <c r="BD871" s="342"/>
    </row>
    <row r="872" spans="4:56" x14ac:dyDescent="0.2">
      <c r="D872" s="342"/>
      <c r="F872" s="342"/>
      <c r="G872" s="342"/>
      <c r="H872" s="342"/>
      <c r="I872" s="342"/>
      <c r="J872" s="342"/>
      <c r="L872" s="342"/>
      <c r="M872" s="342"/>
      <c r="R872" s="342"/>
      <c r="AJ872" s="342"/>
      <c r="AL872" s="342"/>
      <c r="AM872" s="342"/>
      <c r="BD872" s="342"/>
    </row>
    <row r="873" spans="4:56" x14ac:dyDescent="0.2">
      <c r="D873" s="342"/>
      <c r="F873" s="342"/>
      <c r="G873" s="342"/>
      <c r="H873" s="342"/>
      <c r="I873" s="342"/>
      <c r="J873" s="342"/>
      <c r="L873" s="342"/>
      <c r="M873" s="342"/>
      <c r="R873" s="342"/>
      <c r="AJ873" s="342"/>
      <c r="AL873" s="342"/>
      <c r="AM873" s="342"/>
      <c r="BD873" s="342"/>
    </row>
    <row r="874" spans="4:56" x14ac:dyDescent="0.2">
      <c r="D874" s="342"/>
      <c r="F874" s="342"/>
      <c r="G874" s="342"/>
      <c r="H874" s="342"/>
      <c r="I874" s="342"/>
      <c r="J874" s="342"/>
      <c r="L874" s="342"/>
      <c r="M874" s="342"/>
      <c r="R874" s="342"/>
      <c r="AJ874" s="342"/>
      <c r="AL874" s="342"/>
      <c r="AM874" s="342"/>
      <c r="BD874" s="342"/>
    </row>
    <row r="875" spans="4:56" x14ac:dyDescent="0.2">
      <c r="D875" s="342"/>
      <c r="F875" s="342"/>
      <c r="G875" s="342"/>
      <c r="H875" s="342"/>
      <c r="I875" s="342"/>
      <c r="J875" s="342"/>
      <c r="L875" s="342"/>
      <c r="M875" s="342"/>
      <c r="R875" s="342"/>
      <c r="AJ875" s="342"/>
      <c r="AL875" s="342"/>
      <c r="AM875" s="342"/>
      <c r="BD875" s="342"/>
    </row>
    <row r="876" spans="4:56" x14ac:dyDescent="0.2">
      <c r="D876" s="342"/>
      <c r="F876" s="342"/>
      <c r="G876" s="342"/>
      <c r="H876" s="342"/>
      <c r="I876" s="342"/>
      <c r="J876" s="342"/>
      <c r="L876" s="342"/>
      <c r="M876" s="342"/>
      <c r="R876" s="342"/>
      <c r="AJ876" s="342"/>
      <c r="AL876" s="342"/>
      <c r="AM876" s="342"/>
      <c r="BD876" s="342"/>
    </row>
    <row r="877" spans="4:56" x14ac:dyDescent="0.2">
      <c r="D877" s="342"/>
      <c r="F877" s="342"/>
      <c r="G877" s="342"/>
      <c r="H877" s="342"/>
      <c r="I877" s="342"/>
      <c r="J877" s="342"/>
      <c r="L877" s="342"/>
      <c r="M877" s="342"/>
      <c r="R877" s="342"/>
      <c r="AJ877" s="342"/>
      <c r="AL877" s="342"/>
      <c r="AM877" s="342"/>
      <c r="BD877" s="342"/>
    </row>
    <row r="878" spans="4:56" x14ac:dyDescent="0.2">
      <c r="D878" s="342"/>
      <c r="F878" s="342"/>
      <c r="G878" s="342"/>
      <c r="H878" s="342"/>
      <c r="I878" s="342"/>
      <c r="J878" s="342"/>
      <c r="L878" s="342"/>
      <c r="M878" s="342"/>
      <c r="R878" s="342"/>
      <c r="AJ878" s="342"/>
      <c r="AL878" s="342"/>
      <c r="AM878" s="342"/>
      <c r="BD878" s="342"/>
    </row>
    <row r="879" spans="4:56" x14ac:dyDescent="0.2">
      <c r="D879" s="342"/>
      <c r="F879" s="342"/>
      <c r="G879" s="342"/>
      <c r="H879" s="342"/>
      <c r="I879" s="342"/>
      <c r="J879" s="342"/>
      <c r="L879" s="342"/>
      <c r="M879" s="342"/>
      <c r="R879" s="342"/>
      <c r="AJ879" s="342"/>
      <c r="AL879" s="342"/>
      <c r="AM879" s="342"/>
      <c r="BD879" s="342"/>
    </row>
    <row r="880" spans="4:56" x14ac:dyDescent="0.2">
      <c r="D880" s="342"/>
      <c r="F880" s="342"/>
      <c r="G880" s="342"/>
      <c r="H880" s="342"/>
      <c r="I880" s="342"/>
      <c r="J880" s="342"/>
      <c r="L880" s="342"/>
      <c r="M880" s="342"/>
      <c r="R880" s="342"/>
      <c r="AJ880" s="342"/>
      <c r="AL880" s="342"/>
      <c r="AM880" s="342"/>
      <c r="BD880" s="342"/>
    </row>
    <row r="881" spans="4:56" x14ac:dyDescent="0.2">
      <c r="D881" s="342"/>
      <c r="F881" s="342"/>
      <c r="G881" s="342"/>
      <c r="H881" s="342"/>
      <c r="I881" s="342"/>
      <c r="J881" s="342"/>
      <c r="L881" s="342"/>
      <c r="M881" s="342"/>
      <c r="R881" s="342"/>
      <c r="AJ881" s="342"/>
      <c r="AL881" s="342"/>
      <c r="AM881" s="342"/>
      <c r="BD881" s="342"/>
    </row>
    <row r="882" spans="4:56" x14ac:dyDescent="0.2">
      <c r="D882" s="342"/>
      <c r="F882" s="342"/>
      <c r="G882" s="342"/>
      <c r="H882" s="342"/>
      <c r="I882" s="342"/>
      <c r="J882" s="342"/>
      <c r="L882" s="342"/>
      <c r="M882" s="342"/>
      <c r="R882" s="342"/>
      <c r="AJ882" s="342"/>
      <c r="AL882" s="342"/>
      <c r="AM882" s="342"/>
      <c r="BD882" s="342"/>
    </row>
    <row r="883" spans="4:56" x14ac:dyDescent="0.2">
      <c r="D883" s="342"/>
      <c r="F883" s="342"/>
      <c r="G883" s="342"/>
      <c r="H883" s="342"/>
      <c r="I883" s="342"/>
      <c r="J883" s="342"/>
      <c r="L883" s="342"/>
      <c r="M883" s="342"/>
      <c r="R883" s="342"/>
      <c r="AJ883" s="342"/>
      <c r="AL883" s="342"/>
      <c r="AM883" s="342"/>
      <c r="BD883" s="342"/>
    </row>
    <row r="884" spans="4:56" x14ac:dyDescent="0.2">
      <c r="D884" s="342"/>
      <c r="F884" s="342"/>
      <c r="G884" s="342"/>
      <c r="H884" s="342"/>
      <c r="I884" s="342"/>
      <c r="J884" s="342"/>
      <c r="L884" s="342"/>
      <c r="M884" s="342"/>
      <c r="R884" s="342"/>
      <c r="AJ884" s="342"/>
      <c r="AL884" s="342"/>
      <c r="AM884" s="342"/>
      <c r="BD884" s="342"/>
    </row>
    <row r="885" spans="4:56" x14ac:dyDescent="0.2">
      <c r="D885" s="342"/>
      <c r="F885" s="342"/>
      <c r="G885" s="342"/>
      <c r="H885" s="342"/>
      <c r="I885" s="342"/>
      <c r="J885" s="342"/>
      <c r="L885" s="342"/>
      <c r="M885" s="342"/>
      <c r="R885" s="342"/>
      <c r="AJ885" s="342"/>
      <c r="AL885" s="342"/>
      <c r="AM885" s="342"/>
      <c r="BD885" s="342"/>
    </row>
    <row r="886" spans="4:56" x14ac:dyDescent="0.2">
      <c r="D886" s="342"/>
      <c r="F886" s="342"/>
      <c r="G886" s="342"/>
      <c r="H886" s="342"/>
      <c r="I886" s="342"/>
      <c r="J886" s="342"/>
      <c r="L886" s="342"/>
      <c r="M886" s="342"/>
      <c r="R886" s="342"/>
      <c r="AJ886" s="342"/>
      <c r="AL886" s="342"/>
      <c r="AM886" s="342"/>
      <c r="BD886" s="342"/>
    </row>
    <row r="887" spans="4:56" x14ac:dyDescent="0.2">
      <c r="D887" s="342"/>
      <c r="F887" s="342"/>
      <c r="G887" s="342"/>
      <c r="H887" s="342"/>
      <c r="I887" s="342"/>
      <c r="J887" s="342"/>
      <c r="L887" s="342"/>
      <c r="M887" s="342"/>
      <c r="R887" s="342"/>
      <c r="AJ887" s="342"/>
      <c r="AL887" s="342"/>
      <c r="AM887" s="342"/>
      <c r="BD887" s="342"/>
    </row>
    <row r="888" spans="4:56" x14ac:dyDescent="0.2">
      <c r="D888" s="342"/>
      <c r="F888" s="342"/>
      <c r="G888" s="342"/>
      <c r="H888" s="342"/>
      <c r="I888" s="342"/>
      <c r="J888" s="342"/>
      <c r="L888" s="342"/>
      <c r="M888" s="342"/>
      <c r="R888" s="342"/>
      <c r="AJ888" s="342"/>
      <c r="AL888" s="342"/>
      <c r="AM888" s="342"/>
      <c r="BD888" s="342"/>
    </row>
    <row r="889" spans="4:56" x14ac:dyDescent="0.2">
      <c r="D889" s="342"/>
      <c r="F889" s="342"/>
      <c r="G889" s="342"/>
      <c r="H889" s="342"/>
      <c r="I889" s="342"/>
      <c r="J889" s="342"/>
      <c r="L889" s="342"/>
      <c r="M889" s="342"/>
      <c r="R889" s="342"/>
      <c r="AJ889" s="342"/>
      <c r="AL889" s="342"/>
      <c r="AM889" s="342"/>
      <c r="BD889" s="342"/>
    </row>
    <row r="890" spans="4:56" x14ac:dyDescent="0.2">
      <c r="D890" s="342"/>
      <c r="F890" s="342"/>
      <c r="G890" s="342"/>
      <c r="H890" s="342"/>
      <c r="I890" s="342"/>
      <c r="J890" s="342"/>
      <c r="L890" s="342"/>
      <c r="M890" s="342"/>
      <c r="R890" s="342"/>
      <c r="AJ890" s="342"/>
      <c r="AL890" s="342"/>
      <c r="AM890" s="342"/>
      <c r="BD890" s="342"/>
    </row>
    <row r="891" spans="4:56" x14ac:dyDescent="0.2">
      <c r="D891" s="342"/>
      <c r="F891" s="342"/>
      <c r="G891" s="342"/>
      <c r="H891" s="342"/>
      <c r="I891" s="342"/>
      <c r="J891" s="342"/>
      <c r="L891" s="342"/>
      <c r="M891" s="342"/>
      <c r="R891" s="342"/>
      <c r="AJ891" s="342"/>
      <c r="AL891" s="342"/>
      <c r="AM891" s="342"/>
      <c r="BD891" s="342"/>
    </row>
    <row r="892" spans="4:56" x14ac:dyDescent="0.2">
      <c r="D892" s="342"/>
      <c r="F892" s="342"/>
      <c r="G892" s="342"/>
      <c r="H892" s="342"/>
      <c r="I892" s="342"/>
      <c r="J892" s="342"/>
      <c r="L892" s="342"/>
      <c r="M892" s="342"/>
      <c r="R892" s="342"/>
      <c r="AJ892" s="342"/>
      <c r="AL892" s="342"/>
      <c r="AM892" s="342"/>
      <c r="BD892" s="342"/>
    </row>
    <row r="893" spans="4:56" x14ac:dyDescent="0.2">
      <c r="D893" s="342"/>
      <c r="F893" s="342"/>
      <c r="G893" s="342"/>
      <c r="H893" s="342"/>
      <c r="I893" s="342"/>
      <c r="J893" s="342"/>
      <c r="L893" s="342"/>
      <c r="M893" s="342"/>
      <c r="R893" s="342"/>
      <c r="AJ893" s="342"/>
      <c r="AL893" s="342"/>
      <c r="AM893" s="342"/>
      <c r="BD893" s="342"/>
    </row>
    <row r="894" spans="4:56" x14ac:dyDescent="0.2">
      <c r="D894" s="342"/>
      <c r="F894" s="342"/>
      <c r="G894" s="342"/>
      <c r="H894" s="342"/>
      <c r="I894" s="342"/>
      <c r="J894" s="342"/>
      <c r="L894" s="342"/>
      <c r="M894" s="342"/>
      <c r="R894" s="342"/>
      <c r="AJ894" s="342"/>
      <c r="AL894" s="342"/>
      <c r="AM894" s="342"/>
      <c r="BD894" s="342"/>
    </row>
    <row r="895" spans="4:56" x14ac:dyDescent="0.2">
      <c r="D895" s="342"/>
      <c r="F895" s="342"/>
      <c r="G895" s="342"/>
      <c r="H895" s="342"/>
      <c r="I895" s="342"/>
      <c r="J895" s="342"/>
      <c r="L895" s="342"/>
      <c r="M895" s="342"/>
      <c r="R895" s="342"/>
      <c r="AJ895" s="342"/>
      <c r="AL895" s="342"/>
      <c r="AM895" s="342"/>
      <c r="BD895" s="342"/>
    </row>
    <row r="896" spans="4:56" x14ac:dyDescent="0.2">
      <c r="D896" s="342"/>
      <c r="F896" s="342"/>
      <c r="G896" s="342"/>
      <c r="H896" s="342"/>
      <c r="I896" s="342"/>
      <c r="J896" s="342"/>
      <c r="L896" s="342"/>
      <c r="M896" s="342"/>
      <c r="R896" s="342"/>
      <c r="AJ896" s="342"/>
      <c r="AL896" s="342"/>
      <c r="AM896" s="342"/>
      <c r="BD896" s="342"/>
    </row>
    <row r="897" spans="4:56" x14ac:dyDescent="0.2">
      <c r="D897" s="342"/>
      <c r="F897" s="342"/>
      <c r="G897" s="342"/>
      <c r="H897" s="342"/>
      <c r="I897" s="342"/>
      <c r="J897" s="342"/>
      <c r="L897" s="342"/>
      <c r="M897" s="342"/>
      <c r="R897" s="342"/>
      <c r="AJ897" s="342"/>
      <c r="AL897" s="342"/>
      <c r="AM897" s="342"/>
      <c r="BD897" s="342"/>
    </row>
    <row r="898" spans="4:56" x14ac:dyDescent="0.2">
      <c r="D898" s="342"/>
      <c r="F898" s="342"/>
      <c r="G898" s="342"/>
      <c r="H898" s="342"/>
      <c r="I898" s="342"/>
      <c r="J898" s="342"/>
      <c r="L898" s="342"/>
      <c r="M898" s="342"/>
      <c r="R898" s="342"/>
      <c r="AJ898" s="342"/>
      <c r="AL898" s="342"/>
      <c r="AM898" s="342"/>
      <c r="BD898" s="342"/>
    </row>
    <row r="899" spans="4:56" x14ac:dyDescent="0.2">
      <c r="D899" s="342"/>
      <c r="F899" s="342"/>
      <c r="G899" s="342"/>
      <c r="H899" s="342"/>
      <c r="I899" s="342"/>
      <c r="J899" s="342"/>
      <c r="L899" s="342"/>
      <c r="M899" s="342"/>
      <c r="R899" s="342"/>
      <c r="AJ899" s="342"/>
      <c r="AL899" s="342"/>
      <c r="AM899" s="342"/>
      <c r="BD899" s="342"/>
    </row>
    <row r="900" spans="4:56" x14ac:dyDescent="0.2">
      <c r="D900" s="342"/>
      <c r="F900" s="342"/>
      <c r="G900" s="342"/>
      <c r="H900" s="342"/>
      <c r="I900" s="342"/>
      <c r="J900" s="342"/>
      <c r="L900" s="342"/>
      <c r="M900" s="342"/>
      <c r="R900" s="342"/>
      <c r="AJ900" s="342"/>
      <c r="AL900" s="342"/>
      <c r="AM900" s="342"/>
      <c r="BD900" s="342"/>
    </row>
    <row r="901" spans="4:56" x14ac:dyDescent="0.2">
      <c r="D901" s="342"/>
      <c r="F901" s="342"/>
      <c r="G901" s="342"/>
      <c r="H901" s="342"/>
      <c r="I901" s="342"/>
      <c r="J901" s="342"/>
      <c r="L901" s="342"/>
      <c r="M901" s="342"/>
      <c r="R901" s="342"/>
      <c r="AJ901" s="342"/>
      <c r="AL901" s="342"/>
      <c r="AM901" s="342"/>
      <c r="BD901" s="342"/>
    </row>
    <row r="902" spans="4:56" x14ac:dyDescent="0.2">
      <c r="D902" s="342"/>
      <c r="F902" s="342"/>
      <c r="G902" s="342"/>
      <c r="H902" s="342"/>
      <c r="I902" s="342"/>
      <c r="J902" s="342"/>
      <c r="L902" s="342"/>
      <c r="M902" s="342"/>
      <c r="R902" s="342"/>
      <c r="AJ902" s="342"/>
      <c r="AL902" s="342"/>
      <c r="AM902" s="342"/>
      <c r="BD902" s="342"/>
    </row>
    <row r="903" spans="4:56" x14ac:dyDescent="0.2">
      <c r="D903" s="342"/>
      <c r="F903" s="342"/>
      <c r="G903" s="342"/>
      <c r="H903" s="342"/>
      <c r="I903" s="342"/>
      <c r="J903" s="342"/>
      <c r="L903" s="342"/>
      <c r="M903" s="342"/>
      <c r="R903" s="342"/>
      <c r="AJ903" s="342"/>
      <c r="AL903" s="342"/>
      <c r="AM903" s="342"/>
      <c r="BD903" s="342"/>
    </row>
    <row r="904" spans="4:56" x14ac:dyDescent="0.2">
      <c r="D904" s="342"/>
      <c r="F904" s="342"/>
      <c r="G904" s="342"/>
      <c r="H904" s="342"/>
      <c r="I904" s="342"/>
      <c r="J904" s="342"/>
      <c r="L904" s="342"/>
      <c r="M904" s="342"/>
      <c r="R904" s="342"/>
      <c r="AJ904" s="342"/>
      <c r="AL904" s="342"/>
      <c r="AM904" s="342"/>
      <c r="BD904" s="342"/>
    </row>
    <row r="905" spans="4:56" x14ac:dyDescent="0.2">
      <c r="D905" s="342"/>
      <c r="F905" s="342"/>
      <c r="G905" s="342"/>
      <c r="H905" s="342"/>
      <c r="I905" s="342"/>
      <c r="J905" s="342"/>
      <c r="L905" s="342"/>
      <c r="M905" s="342"/>
      <c r="R905" s="342"/>
      <c r="AJ905" s="342"/>
      <c r="AL905" s="342"/>
      <c r="AM905" s="342"/>
      <c r="BD905" s="342"/>
    </row>
    <row r="906" spans="4:56" x14ac:dyDescent="0.2">
      <c r="D906" s="342"/>
      <c r="F906" s="342"/>
      <c r="G906" s="342"/>
      <c r="H906" s="342"/>
      <c r="I906" s="342"/>
      <c r="J906" s="342"/>
      <c r="L906" s="342"/>
      <c r="M906" s="342"/>
      <c r="R906" s="342"/>
      <c r="AJ906" s="342"/>
      <c r="AL906" s="342"/>
      <c r="AM906" s="342"/>
      <c r="BD906" s="342"/>
    </row>
    <row r="907" spans="4:56" x14ac:dyDescent="0.2">
      <c r="D907" s="342"/>
      <c r="F907" s="342"/>
      <c r="G907" s="342"/>
      <c r="H907" s="342"/>
      <c r="I907" s="342"/>
      <c r="J907" s="342"/>
      <c r="L907" s="342"/>
      <c r="M907" s="342"/>
      <c r="R907" s="342"/>
      <c r="AJ907" s="342"/>
      <c r="AL907" s="342"/>
      <c r="AM907" s="342"/>
      <c r="BD907" s="342"/>
    </row>
    <row r="908" spans="4:56" x14ac:dyDescent="0.2">
      <c r="D908" s="342"/>
      <c r="F908" s="342"/>
      <c r="G908" s="342"/>
      <c r="H908" s="342"/>
      <c r="I908" s="342"/>
      <c r="J908" s="342"/>
      <c r="L908" s="342"/>
      <c r="M908" s="342"/>
      <c r="R908" s="342"/>
      <c r="AJ908" s="342"/>
      <c r="AL908" s="342"/>
      <c r="AM908" s="342"/>
      <c r="BD908" s="342"/>
    </row>
    <row r="909" spans="4:56" x14ac:dyDescent="0.2">
      <c r="D909" s="342"/>
      <c r="F909" s="342"/>
      <c r="G909" s="342"/>
      <c r="H909" s="342"/>
      <c r="I909" s="342"/>
      <c r="J909" s="342"/>
      <c r="L909" s="342"/>
      <c r="M909" s="342"/>
      <c r="R909" s="342"/>
      <c r="AJ909" s="342"/>
      <c r="AL909" s="342"/>
      <c r="AM909" s="342"/>
      <c r="BD909" s="342"/>
    </row>
    <row r="910" spans="4:56" x14ac:dyDescent="0.2">
      <c r="D910" s="342"/>
      <c r="F910" s="342"/>
      <c r="G910" s="342"/>
      <c r="H910" s="342"/>
      <c r="I910" s="342"/>
      <c r="J910" s="342"/>
      <c r="L910" s="342"/>
      <c r="M910" s="342"/>
      <c r="R910" s="342"/>
      <c r="AJ910" s="342"/>
      <c r="AL910" s="342"/>
      <c r="AM910" s="342"/>
      <c r="BD910" s="342"/>
    </row>
    <row r="911" spans="4:56" x14ac:dyDescent="0.2">
      <c r="D911" s="342"/>
      <c r="F911" s="342"/>
      <c r="G911" s="342"/>
      <c r="H911" s="342"/>
      <c r="I911" s="342"/>
      <c r="J911" s="342"/>
      <c r="L911" s="342"/>
      <c r="M911" s="342"/>
      <c r="R911" s="342"/>
      <c r="AJ911" s="342"/>
      <c r="AL911" s="342"/>
      <c r="AM911" s="342"/>
      <c r="BD911" s="342"/>
    </row>
    <row r="912" spans="4:56" x14ac:dyDescent="0.2">
      <c r="D912" s="342"/>
      <c r="F912" s="342"/>
      <c r="G912" s="342"/>
      <c r="H912" s="342"/>
      <c r="I912" s="342"/>
      <c r="J912" s="342"/>
      <c r="L912" s="342"/>
      <c r="M912" s="342"/>
      <c r="R912" s="342"/>
      <c r="AJ912" s="342"/>
      <c r="AL912" s="342"/>
      <c r="AM912" s="342"/>
      <c r="BD912" s="342"/>
    </row>
    <row r="913" spans="4:56" x14ac:dyDescent="0.2">
      <c r="D913" s="342"/>
      <c r="F913" s="342"/>
      <c r="G913" s="342"/>
      <c r="H913" s="342"/>
      <c r="I913" s="342"/>
      <c r="J913" s="342"/>
      <c r="L913" s="342"/>
      <c r="M913" s="342"/>
      <c r="R913" s="342"/>
      <c r="AJ913" s="342"/>
      <c r="AL913" s="342"/>
      <c r="AM913" s="342"/>
      <c r="BD913" s="342"/>
    </row>
    <row r="914" spans="4:56" x14ac:dyDescent="0.2">
      <c r="D914" s="342"/>
      <c r="F914" s="342"/>
      <c r="G914" s="342"/>
      <c r="H914" s="342"/>
      <c r="I914" s="342"/>
      <c r="J914" s="342"/>
      <c r="L914" s="342"/>
      <c r="M914" s="342"/>
      <c r="R914" s="342"/>
      <c r="AJ914" s="342"/>
      <c r="AL914" s="342"/>
      <c r="AM914" s="342"/>
      <c r="BD914" s="342"/>
    </row>
    <row r="915" spans="4:56" x14ac:dyDescent="0.2">
      <c r="D915" s="342"/>
      <c r="F915" s="342"/>
      <c r="G915" s="342"/>
      <c r="H915" s="342"/>
      <c r="I915" s="342"/>
      <c r="J915" s="342"/>
      <c r="L915" s="342"/>
      <c r="M915" s="342"/>
      <c r="R915" s="342"/>
      <c r="AJ915" s="342"/>
      <c r="AL915" s="342"/>
      <c r="AM915" s="342"/>
      <c r="BD915" s="342"/>
    </row>
    <row r="916" spans="4:56" x14ac:dyDescent="0.2">
      <c r="D916" s="342"/>
      <c r="F916" s="342"/>
      <c r="G916" s="342"/>
      <c r="H916" s="342"/>
      <c r="I916" s="342"/>
      <c r="J916" s="342"/>
      <c r="L916" s="342"/>
      <c r="M916" s="342"/>
      <c r="R916" s="342"/>
      <c r="AJ916" s="342"/>
      <c r="AL916" s="342"/>
      <c r="AM916" s="342"/>
      <c r="BD916" s="342"/>
    </row>
    <row r="917" spans="4:56" x14ac:dyDescent="0.2">
      <c r="D917" s="342"/>
      <c r="F917" s="342"/>
      <c r="G917" s="342"/>
      <c r="H917" s="342"/>
      <c r="I917" s="342"/>
      <c r="J917" s="342"/>
      <c r="L917" s="342"/>
      <c r="M917" s="342"/>
      <c r="R917" s="342"/>
      <c r="AJ917" s="342"/>
      <c r="AL917" s="342"/>
      <c r="AM917" s="342"/>
      <c r="BD917" s="342"/>
    </row>
    <row r="918" spans="4:56" x14ac:dyDescent="0.2">
      <c r="D918" s="342"/>
      <c r="F918" s="342"/>
      <c r="G918" s="342"/>
      <c r="H918" s="342"/>
      <c r="I918" s="342"/>
      <c r="J918" s="342"/>
      <c r="L918" s="342"/>
      <c r="M918" s="342"/>
      <c r="R918" s="342"/>
      <c r="AJ918" s="342"/>
      <c r="AL918" s="342"/>
      <c r="AM918" s="342"/>
      <c r="BD918" s="342"/>
    </row>
    <row r="919" spans="4:56" x14ac:dyDescent="0.2">
      <c r="D919" s="342"/>
      <c r="F919" s="342"/>
      <c r="G919" s="342"/>
      <c r="H919" s="342"/>
      <c r="I919" s="342"/>
      <c r="J919" s="342"/>
      <c r="L919" s="342"/>
      <c r="M919" s="342"/>
      <c r="R919" s="342"/>
      <c r="AJ919" s="342"/>
      <c r="AL919" s="342"/>
      <c r="AM919" s="342"/>
      <c r="BD919" s="342"/>
    </row>
    <row r="920" spans="4:56" x14ac:dyDescent="0.2">
      <c r="D920" s="342"/>
      <c r="F920" s="342"/>
      <c r="G920" s="342"/>
      <c r="H920" s="342"/>
      <c r="I920" s="342"/>
      <c r="J920" s="342"/>
      <c r="L920" s="342"/>
      <c r="M920" s="342"/>
      <c r="R920" s="342"/>
      <c r="AJ920" s="342"/>
      <c r="AL920" s="342"/>
      <c r="AM920" s="342"/>
      <c r="BD920" s="342"/>
    </row>
    <row r="921" spans="4:56" x14ac:dyDescent="0.2">
      <c r="D921" s="342"/>
      <c r="F921" s="342"/>
      <c r="G921" s="342"/>
      <c r="H921" s="342"/>
      <c r="I921" s="342"/>
      <c r="J921" s="342"/>
      <c r="L921" s="342"/>
      <c r="M921" s="342"/>
      <c r="R921" s="342"/>
      <c r="AJ921" s="342"/>
      <c r="AL921" s="342"/>
      <c r="AM921" s="342"/>
      <c r="BD921" s="342"/>
    </row>
    <row r="922" spans="4:56" x14ac:dyDescent="0.2">
      <c r="D922" s="342"/>
      <c r="F922" s="342"/>
      <c r="G922" s="342"/>
      <c r="H922" s="342"/>
      <c r="I922" s="342"/>
      <c r="J922" s="342"/>
      <c r="L922" s="342"/>
      <c r="M922" s="342"/>
      <c r="R922" s="342"/>
      <c r="AJ922" s="342"/>
      <c r="AL922" s="342"/>
      <c r="AM922" s="342"/>
      <c r="BD922" s="342"/>
    </row>
    <row r="923" spans="4:56" x14ac:dyDescent="0.2">
      <c r="D923" s="342"/>
      <c r="F923" s="342"/>
      <c r="G923" s="342"/>
      <c r="H923" s="342"/>
      <c r="I923" s="342"/>
      <c r="J923" s="342"/>
      <c r="L923" s="342"/>
      <c r="M923" s="342"/>
      <c r="R923" s="342"/>
      <c r="AJ923" s="342"/>
      <c r="AL923" s="342"/>
      <c r="AM923" s="342"/>
      <c r="BD923" s="342"/>
    </row>
    <row r="924" spans="4:56" x14ac:dyDescent="0.2">
      <c r="D924" s="342"/>
      <c r="F924" s="342"/>
      <c r="G924" s="342"/>
      <c r="H924" s="342"/>
      <c r="I924" s="342"/>
      <c r="J924" s="342"/>
      <c r="L924" s="342"/>
      <c r="M924" s="342"/>
      <c r="R924" s="342"/>
      <c r="AJ924" s="342"/>
      <c r="AL924" s="342"/>
      <c r="AM924" s="342"/>
      <c r="BD924" s="342"/>
    </row>
    <row r="925" spans="4:56" x14ac:dyDescent="0.2">
      <c r="D925" s="342"/>
      <c r="F925" s="342"/>
      <c r="G925" s="342"/>
      <c r="H925" s="342"/>
      <c r="I925" s="342"/>
      <c r="J925" s="342"/>
      <c r="L925" s="342"/>
      <c r="M925" s="342"/>
      <c r="R925" s="342"/>
      <c r="AJ925" s="342"/>
      <c r="AL925" s="342"/>
      <c r="AM925" s="342"/>
      <c r="BD925" s="342"/>
    </row>
    <row r="926" spans="4:56" x14ac:dyDescent="0.2">
      <c r="D926" s="342"/>
      <c r="F926" s="342"/>
      <c r="G926" s="342"/>
      <c r="H926" s="342"/>
      <c r="I926" s="342"/>
      <c r="J926" s="342"/>
      <c r="L926" s="342"/>
      <c r="M926" s="342"/>
      <c r="R926" s="342"/>
      <c r="AJ926" s="342"/>
      <c r="AL926" s="342"/>
      <c r="AM926" s="342"/>
      <c r="BD926" s="342"/>
    </row>
    <row r="927" spans="4:56" x14ac:dyDescent="0.2">
      <c r="D927" s="342"/>
      <c r="F927" s="342"/>
      <c r="G927" s="342"/>
      <c r="H927" s="342"/>
      <c r="I927" s="342"/>
      <c r="J927" s="342"/>
      <c r="L927" s="342"/>
      <c r="M927" s="342"/>
      <c r="R927" s="342"/>
      <c r="AJ927" s="342"/>
      <c r="AL927" s="342"/>
      <c r="AM927" s="342"/>
      <c r="BD927" s="342"/>
    </row>
    <row r="928" spans="4:56" x14ac:dyDescent="0.2">
      <c r="D928" s="342"/>
      <c r="F928" s="342"/>
      <c r="G928" s="342"/>
      <c r="H928" s="342"/>
      <c r="I928" s="342"/>
      <c r="J928" s="342"/>
      <c r="L928" s="342"/>
      <c r="M928" s="342"/>
      <c r="R928" s="342"/>
      <c r="AJ928" s="342"/>
      <c r="AL928" s="342"/>
      <c r="AM928" s="342"/>
      <c r="BD928" s="342"/>
    </row>
    <row r="929" spans="4:56" x14ac:dyDescent="0.2">
      <c r="D929" s="342"/>
      <c r="F929" s="342"/>
      <c r="G929" s="342"/>
      <c r="H929" s="342"/>
      <c r="I929" s="342"/>
      <c r="J929" s="342"/>
      <c r="L929" s="342"/>
      <c r="M929" s="342"/>
      <c r="R929" s="342"/>
      <c r="AJ929" s="342"/>
      <c r="AL929" s="342"/>
      <c r="AM929" s="342"/>
      <c r="BD929" s="342"/>
    </row>
    <row r="930" spans="4:56" x14ac:dyDescent="0.2">
      <c r="D930" s="342"/>
      <c r="F930" s="342"/>
      <c r="G930" s="342"/>
      <c r="H930" s="342"/>
      <c r="I930" s="342"/>
      <c r="J930" s="342"/>
      <c r="L930" s="342"/>
      <c r="M930" s="342"/>
      <c r="R930" s="342"/>
      <c r="AJ930" s="342"/>
      <c r="AL930" s="342"/>
      <c r="AM930" s="342"/>
      <c r="BD930" s="342"/>
    </row>
    <row r="931" spans="4:56" x14ac:dyDescent="0.2">
      <c r="D931" s="342"/>
      <c r="F931" s="342"/>
      <c r="G931" s="342"/>
      <c r="H931" s="342"/>
      <c r="I931" s="342"/>
      <c r="J931" s="342"/>
      <c r="L931" s="342"/>
      <c r="M931" s="342"/>
      <c r="R931" s="342"/>
      <c r="AJ931" s="342"/>
      <c r="AL931" s="342"/>
      <c r="AM931" s="342"/>
      <c r="BD931" s="342"/>
    </row>
    <row r="932" spans="4:56" x14ac:dyDescent="0.2">
      <c r="D932" s="342"/>
      <c r="F932" s="342"/>
      <c r="G932" s="342"/>
      <c r="H932" s="342"/>
      <c r="I932" s="342"/>
      <c r="J932" s="342"/>
      <c r="L932" s="342"/>
      <c r="M932" s="342"/>
      <c r="R932" s="342"/>
      <c r="AJ932" s="342"/>
      <c r="AL932" s="342"/>
      <c r="AM932" s="342"/>
      <c r="BD932" s="342"/>
    </row>
    <row r="933" spans="4:56" x14ac:dyDescent="0.2">
      <c r="D933" s="342"/>
      <c r="F933" s="342"/>
      <c r="G933" s="342"/>
      <c r="H933" s="342"/>
      <c r="I933" s="342"/>
      <c r="J933" s="342"/>
      <c r="L933" s="342"/>
      <c r="M933" s="342"/>
      <c r="R933" s="342"/>
      <c r="AJ933" s="342"/>
      <c r="AL933" s="342"/>
      <c r="AM933" s="342"/>
      <c r="BD933" s="342"/>
    </row>
    <row r="934" spans="4:56" x14ac:dyDescent="0.2">
      <c r="D934" s="342"/>
      <c r="F934" s="342"/>
      <c r="G934" s="342"/>
      <c r="H934" s="342"/>
      <c r="I934" s="342"/>
      <c r="J934" s="342"/>
      <c r="L934" s="342"/>
      <c r="M934" s="342"/>
      <c r="R934" s="342"/>
      <c r="AJ934" s="342"/>
      <c r="AL934" s="342"/>
      <c r="AM934" s="342"/>
      <c r="BD934" s="342"/>
    </row>
    <row r="935" spans="4:56" x14ac:dyDescent="0.2">
      <c r="D935" s="342"/>
      <c r="F935" s="342"/>
      <c r="G935" s="342"/>
      <c r="H935" s="342"/>
      <c r="I935" s="342"/>
      <c r="J935" s="342"/>
      <c r="L935" s="342"/>
      <c r="M935" s="342"/>
      <c r="R935" s="342"/>
      <c r="AJ935" s="342"/>
      <c r="AL935" s="342"/>
      <c r="AM935" s="342"/>
      <c r="BD935" s="342"/>
    </row>
    <row r="936" spans="4:56" x14ac:dyDescent="0.2">
      <c r="D936" s="342"/>
      <c r="F936" s="342"/>
      <c r="G936" s="342"/>
      <c r="H936" s="342"/>
      <c r="I936" s="342"/>
      <c r="J936" s="342"/>
      <c r="L936" s="342"/>
      <c r="M936" s="342"/>
      <c r="R936" s="342"/>
      <c r="AJ936" s="342"/>
      <c r="AL936" s="342"/>
      <c r="AM936" s="342"/>
      <c r="BD936" s="342"/>
    </row>
    <row r="937" spans="4:56" x14ac:dyDescent="0.2">
      <c r="D937" s="342"/>
      <c r="F937" s="342"/>
      <c r="G937" s="342"/>
      <c r="H937" s="342"/>
      <c r="I937" s="342"/>
      <c r="J937" s="342"/>
      <c r="L937" s="342"/>
      <c r="M937" s="342"/>
      <c r="R937" s="342"/>
      <c r="AJ937" s="342"/>
      <c r="AL937" s="342"/>
      <c r="AM937" s="342"/>
      <c r="BD937" s="342"/>
    </row>
    <row r="938" spans="4:56" x14ac:dyDescent="0.2">
      <c r="D938" s="342"/>
      <c r="F938" s="342"/>
      <c r="G938" s="342"/>
      <c r="H938" s="342"/>
      <c r="I938" s="342"/>
      <c r="J938" s="342"/>
      <c r="L938" s="342"/>
      <c r="M938" s="342"/>
      <c r="R938" s="342"/>
      <c r="AJ938" s="342"/>
      <c r="AL938" s="342"/>
      <c r="AM938" s="342"/>
      <c r="BD938" s="342"/>
    </row>
    <row r="939" spans="4:56" x14ac:dyDescent="0.2">
      <c r="D939" s="342"/>
      <c r="F939" s="342"/>
      <c r="G939" s="342"/>
      <c r="H939" s="342"/>
      <c r="I939" s="342"/>
      <c r="J939" s="342"/>
      <c r="L939" s="342"/>
      <c r="M939" s="342"/>
      <c r="R939" s="342"/>
      <c r="AJ939" s="342"/>
      <c r="AL939" s="342"/>
      <c r="AM939" s="342"/>
      <c r="BD939" s="342"/>
    </row>
    <row r="940" spans="4:56" x14ac:dyDescent="0.2">
      <c r="D940" s="342"/>
      <c r="F940" s="342"/>
      <c r="G940" s="342"/>
      <c r="H940" s="342"/>
      <c r="I940" s="342"/>
      <c r="J940" s="342"/>
      <c r="L940" s="342"/>
      <c r="M940" s="342"/>
      <c r="R940" s="342"/>
      <c r="AJ940" s="342"/>
      <c r="AL940" s="342"/>
      <c r="AM940" s="342"/>
      <c r="BD940" s="342"/>
    </row>
    <row r="941" spans="4:56" x14ac:dyDescent="0.2">
      <c r="D941" s="342"/>
      <c r="F941" s="342"/>
      <c r="G941" s="342"/>
      <c r="H941" s="342"/>
      <c r="I941" s="342"/>
      <c r="J941" s="342"/>
      <c r="L941" s="342"/>
      <c r="M941" s="342"/>
      <c r="R941" s="342"/>
      <c r="AJ941" s="342"/>
      <c r="AL941" s="342"/>
      <c r="AM941" s="342"/>
      <c r="BD941" s="342"/>
    </row>
    <row r="942" spans="4:56" x14ac:dyDescent="0.2">
      <c r="D942" s="342"/>
      <c r="F942" s="342"/>
      <c r="G942" s="342"/>
      <c r="H942" s="342"/>
      <c r="I942" s="342"/>
      <c r="J942" s="342"/>
      <c r="L942" s="342"/>
      <c r="M942" s="342"/>
      <c r="R942" s="342"/>
      <c r="AJ942" s="342"/>
      <c r="AL942" s="342"/>
      <c r="AM942" s="342"/>
      <c r="BD942" s="342"/>
    </row>
    <row r="943" spans="4:56" x14ac:dyDescent="0.2">
      <c r="D943" s="342"/>
      <c r="F943" s="342"/>
      <c r="G943" s="342"/>
      <c r="H943" s="342"/>
      <c r="I943" s="342"/>
      <c r="J943" s="342"/>
      <c r="L943" s="342"/>
      <c r="M943" s="342"/>
      <c r="R943" s="342"/>
      <c r="AJ943" s="342"/>
      <c r="AL943" s="342"/>
      <c r="AM943" s="342"/>
      <c r="BD943" s="342"/>
    </row>
    <row r="944" spans="4:56" x14ac:dyDescent="0.2">
      <c r="D944" s="342"/>
      <c r="F944" s="342"/>
      <c r="G944" s="342"/>
      <c r="H944" s="342"/>
      <c r="I944" s="342"/>
      <c r="J944" s="342"/>
      <c r="L944" s="342"/>
      <c r="M944" s="342"/>
      <c r="R944" s="342"/>
      <c r="AJ944" s="342"/>
      <c r="AL944" s="342"/>
      <c r="AM944" s="342"/>
      <c r="BD944" s="342"/>
    </row>
    <row r="945" spans="4:56" x14ac:dyDescent="0.2">
      <c r="D945" s="342"/>
      <c r="F945" s="342"/>
      <c r="G945" s="342"/>
      <c r="H945" s="342"/>
      <c r="I945" s="342"/>
      <c r="J945" s="342"/>
      <c r="L945" s="342"/>
      <c r="M945" s="342"/>
      <c r="R945" s="342"/>
      <c r="AJ945" s="342"/>
      <c r="AL945" s="342"/>
      <c r="AM945" s="342"/>
      <c r="BD945" s="342"/>
    </row>
    <row r="946" spans="4:56" x14ac:dyDescent="0.2">
      <c r="D946" s="342"/>
      <c r="F946" s="342"/>
      <c r="G946" s="342"/>
      <c r="H946" s="342"/>
      <c r="I946" s="342"/>
      <c r="J946" s="342"/>
      <c r="L946" s="342"/>
      <c r="M946" s="342"/>
      <c r="R946" s="342"/>
      <c r="AJ946" s="342"/>
      <c r="AL946" s="342"/>
      <c r="AM946" s="342"/>
      <c r="BD946" s="342"/>
    </row>
    <row r="947" spans="4:56" x14ac:dyDescent="0.2">
      <c r="D947" s="342"/>
      <c r="F947" s="342"/>
      <c r="G947" s="342"/>
      <c r="H947" s="342"/>
      <c r="I947" s="342"/>
      <c r="J947" s="342"/>
      <c r="L947" s="342"/>
      <c r="M947" s="342"/>
      <c r="R947" s="342"/>
      <c r="AJ947" s="342"/>
      <c r="AL947" s="342"/>
      <c r="AM947" s="342"/>
      <c r="BD947" s="342"/>
    </row>
    <row r="948" spans="4:56" x14ac:dyDescent="0.2">
      <c r="D948" s="342"/>
      <c r="F948" s="342"/>
      <c r="G948" s="342"/>
      <c r="H948" s="342"/>
      <c r="I948" s="342"/>
      <c r="J948" s="342"/>
      <c r="L948" s="342"/>
      <c r="M948" s="342"/>
      <c r="R948" s="342"/>
      <c r="AJ948" s="342"/>
      <c r="AL948" s="342"/>
      <c r="AM948" s="342"/>
      <c r="BD948" s="342"/>
    </row>
    <row r="949" spans="4:56" x14ac:dyDescent="0.2">
      <c r="D949" s="342"/>
      <c r="F949" s="342"/>
      <c r="G949" s="342"/>
      <c r="H949" s="342"/>
      <c r="I949" s="342"/>
      <c r="J949" s="342"/>
      <c r="L949" s="342"/>
      <c r="M949" s="342"/>
      <c r="R949" s="342"/>
      <c r="AJ949" s="342"/>
      <c r="AL949" s="342"/>
      <c r="AM949" s="342"/>
      <c r="BD949" s="342"/>
    </row>
    <row r="950" spans="4:56" x14ac:dyDescent="0.2">
      <c r="D950" s="342"/>
      <c r="F950" s="342"/>
      <c r="G950" s="342"/>
      <c r="H950" s="342"/>
      <c r="I950" s="342"/>
      <c r="J950" s="342"/>
      <c r="L950" s="342"/>
      <c r="M950" s="342"/>
      <c r="R950" s="342"/>
      <c r="AJ950" s="342"/>
      <c r="AL950" s="342"/>
      <c r="AM950" s="342"/>
      <c r="BD950" s="342"/>
    </row>
    <row r="951" spans="4:56" x14ac:dyDescent="0.2">
      <c r="D951" s="342"/>
      <c r="F951" s="342"/>
      <c r="G951" s="342"/>
      <c r="H951" s="342"/>
      <c r="I951" s="342"/>
      <c r="J951" s="342"/>
      <c r="L951" s="342"/>
      <c r="M951" s="342"/>
      <c r="R951" s="342"/>
      <c r="AJ951" s="342"/>
      <c r="AL951" s="342"/>
      <c r="AM951" s="342"/>
      <c r="BD951" s="342"/>
    </row>
    <row r="952" spans="4:56" x14ac:dyDescent="0.2">
      <c r="D952" s="342"/>
      <c r="F952" s="342"/>
      <c r="G952" s="342"/>
      <c r="H952" s="342"/>
      <c r="I952" s="342"/>
      <c r="J952" s="342"/>
      <c r="L952" s="342"/>
      <c r="M952" s="342"/>
      <c r="R952" s="342"/>
      <c r="AJ952" s="342"/>
      <c r="AL952" s="342"/>
      <c r="AM952" s="342"/>
      <c r="BD952" s="342"/>
    </row>
    <row r="953" spans="4:56" x14ac:dyDescent="0.2">
      <c r="D953" s="342"/>
      <c r="F953" s="342"/>
      <c r="G953" s="342"/>
      <c r="H953" s="342"/>
      <c r="I953" s="342"/>
      <c r="J953" s="342"/>
      <c r="L953" s="342"/>
      <c r="M953" s="342"/>
      <c r="R953" s="342"/>
      <c r="AJ953" s="342"/>
      <c r="AL953" s="342"/>
      <c r="AM953" s="342"/>
      <c r="BD953" s="342"/>
    </row>
    <row r="954" spans="4:56" x14ac:dyDescent="0.2">
      <c r="D954" s="342"/>
      <c r="F954" s="342"/>
      <c r="G954" s="342"/>
      <c r="H954" s="342"/>
      <c r="I954" s="342"/>
      <c r="J954" s="342"/>
      <c r="L954" s="342"/>
      <c r="M954" s="342"/>
      <c r="R954" s="342"/>
      <c r="AJ954" s="342"/>
      <c r="AL954" s="342"/>
      <c r="AM954" s="342"/>
      <c r="BD954" s="342"/>
    </row>
    <row r="955" spans="4:56" x14ac:dyDescent="0.2">
      <c r="D955" s="342"/>
      <c r="F955" s="342"/>
      <c r="G955" s="342"/>
      <c r="H955" s="342"/>
      <c r="I955" s="342"/>
      <c r="J955" s="342"/>
      <c r="L955" s="342"/>
      <c r="M955" s="342"/>
      <c r="R955" s="342"/>
      <c r="AJ955" s="342"/>
      <c r="AL955" s="342"/>
      <c r="AM955" s="342"/>
      <c r="BD955" s="342"/>
    </row>
    <row r="956" spans="4:56" x14ac:dyDescent="0.2">
      <c r="D956" s="342"/>
      <c r="F956" s="342"/>
      <c r="G956" s="342"/>
      <c r="H956" s="342"/>
      <c r="I956" s="342"/>
      <c r="J956" s="342"/>
      <c r="L956" s="342"/>
      <c r="M956" s="342"/>
      <c r="R956" s="342"/>
      <c r="AJ956" s="342"/>
      <c r="AL956" s="342"/>
      <c r="AM956" s="342"/>
      <c r="BD956" s="342"/>
    </row>
    <row r="957" spans="4:56" x14ac:dyDescent="0.2">
      <c r="D957" s="342"/>
      <c r="F957" s="342"/>
      <c r="G957" s="342"/>
      <c r="H957" s="342"/>
      <c r="I957" s="342"/>
      <c r="J957" s="342"/>
      <c r="L957" s="342"/>
      <c r="M957" s="342"/>
      <c r="R957" s="342"/>
      <c r="AJ957" s="342"/>
      <c r="AL957" s="342"/>
      <c r="AM957" s="342"/>
      <c r="BD957" s="342"/>
    </row>
    <row r="958" spans="4:56" x14ac:dyDescent="0.2">
      <c r="D958" s="342"/>
      <c r="F958" s="342"/>
      <c r="G958" s="342"/>
      <c r="H958" s="342"/>
      <c r="I958" s="342"/>
      <c r="J958" s="342"/>
      <c r="L958" s="342"/>
      <c r="M958" s="342"/>
      <c r="R958" s="342"/>
      <c r="AJ958" s="342"/>
      <c r="AL958" s="342"/>
      <c r="AM958" s="342"/>
      <c r="BD958" s="342"/>
    </row>
    <row r="959" spans="4:56" x14ac:dyDescent="0.2">
      <c r="D959" s="342"/>
      <c r="F959" s="342"/>
      <c r="G959" s="342"/>
      <c r="H959" s="342"/>
      <c r="I959" s="342"/>
      <c r="J959" s="342"/>
      <c r="L959" s="342"/>
      <c r="M959" s="342"/>
      <c r="R959" s="342"/>
      <c r="AJ959" s="342"/>
      <c r="AL959" s="342"/>
      <c r="AM959" s="342"/>
      <c r="BD959" s="342"/>
    </row>
    <row r="960" spans="4:56" x14ac:dyDescent="0.2">
      <c r="D960" s="342"/>
      <c r="F960" s="342"/>
      <c r="G960" s="342"/>
      <c r="H960" s="342"/>
      <c r="I960" s="342"/>
      <c r="J960" s="342"/>
      <c r="L960" s="342"/>
      <c r="M960" s="342"/>
      <c r="R960" s="342"/>
      <c r="AJ960" s="342"/>
      <c r="AL960" s="342"/>
      <c r="AM960" s="342"/>
      <c r="BD960" s="342"/>
    </row>
    <row r="961" spans="4:56" x14ac:dyDescent="0.2">
      <c r="D961" s="342"/>
      <c r="F961" s="342"/>
      <c r="G961" s="342"/>
      <c r="H961" s="342"/>
      <c r="I961" s="342"/>
      <c r="J961" s="342"/>
      <c r="L961" s="342"/>
      <c r="M961" s="342"/>
      <c r="R961" s="342"/>
      <c r="AJ961" s="342"/>
      <c r="AL961" s="342"/>
      <c r="AM961" s="342"/>
      <c r="BD961" s="342"/>
    </row>
    <row r="962" spans="4:56" x14ac:dyDescent="0.2">
      <c r="D962" s="342"/>
      <c r="F962" s="342"/>
      <c r="G962" s="342"/>
      <c r="H962" s="342"/>
      <c r="I962" s="342"/>
      <c r="J962" s="342"/>
      <c r="L962" s="342"/>
      <c r="M962" s="342"/>
      <c r="R962" s="342"/>
      <c r="AJ962" s="342"/>
      <c r="AL962" s="342"/>
      <c r="AM962" s="342"/>
      <c r="BD962" s="342"/>
    </row>
    <row r="963" spans="4:56" x14ac:dyDescent="0.2">
      <c r="D963" s="342"/>
      <c r="F963" s="342"/>
      <c r="G963" s="342"/>
      <c r="H963" s="342"/>
      <c r="I963" s="342"/>
      <c r="J963" s="342"/>
      <c r="L963" s="342"/>
      <c r="M963" s="342"/>
      <c r="R963" s="342"/>
      <c r="AJ963" s="342"/>
      <c r="AL963" s="342"/>
      <c r="AM963" s="342"/>
      <c r="BD963" s="342"/>
    </row>
    <row r="964" spans="4:56" x14ac:dyDescent="0.2">
      <c r="D964" s="342"/>
      <c r="F964" s="342"/>
      <c r="G964" s="342"/>
      <c r="H964" s="342"/>
      <c r="I964" s="342"/>
      <c r="J964" s="342"/>
      <c r="L964" s="342"/>
      <c r="M964" s="342"/>
      <c r="R964" s="342"/>
      <c r="AJ964" s="342"/>
      <c r="AL964" s="342"/>
      <c r="AM964" s="342"/>
      <c r="BD964" s="342"/>
    </row>
    <row r="965" spans="4:56" x14ac:dyDescent="0.2">
      <c r="D965" s="342"/>
      <c r="F965" s="342"/>
      <c r="G965" s="342"/>
      <c r="H965" s="342"/>
      <c r="I965" s="342"/>
      <c r="J965" s="342"/>
      <c r="L965" s="342"/>
      <c r="M965" s="342"/>
      <c r="R965" s="342"/>
      <c r="AJ965" s="342"/>
      <c r="AL965" s="342"/>
      <c r="AM965" s="342"/>
      <c r="BD965" s="342"/>
    </row>
    <row r="966" spans="4:56" x14ac:dyDescent="0.2">
      <c r="D966" s="342"/>
      <c r="F966" s="342"/>
      <c r="G966" s="342"/>
      <c r="H966" s="342"/>
      <c r="I966" s="342"/>
      <c r="J966" s="342"/>
      <c r="L966" s="342"/>
      <c r="M966" s="342"/>
      <c r="R966" s="342"/>
      <c r="AJ966" s="342"/>
      <c r="AL966" s="342"/>
      <c r="AM966" s="342"/>
      <c r="BD966" s="342"/>
    </row>
    <row r="967" spans="4:56" x14ac:dyDescent="0.2">
      <c r="D967" s="342"/>
      <c r="F967" s="342"/>
      <c r="G967" s="342"/>
      <c r="H967" s="342"/>
      <c r="I967" s="342"/>
      <c r="J967" s="342"/>
      <c r="L967" s="342"/>
      <c r="M967" s="342"/>
      <c r="R967" s="342"/>
      <c r="AJ967" s="342"/>
      <c r="AL967" s="342"/>
      <c r="AM967" s="342"/>
      <c r="BD967" s="342"/>
    </row>
    <row r="968" spans="4:56" x14ac:dyDescent="0.2">
      <c r="D968" s="342"/>
      <c r="F968" s="342"/>
      <c r="G968" s="342"/>
      <c r="H968" s="342"/>
      <c r="I968" s="342"/>
      <c r="J968" s="342"/>
      <c r="L968" s="342"/>
      <c r="M968" s="342"/>
      <c r="R968" s="342"/>
      <c r="AJ968" s="342"/>
      <c r="AL968" s="342"/>
      <c r="AM968" s="342"/>
      <c r="BD968" s="342"/>
    </row>
    <row r="969" spans="4:56" x14ac:dyDescent="0.2">
      <c r="D969" s="342"/>
      <c r="F969" s="342"/>
      <c r="G969" s="342"/>
      <c r="H969" s="342"/>
      <c r="I969" s="342"/>
      <c r="J969" s="342"/>
      <c r="L969" s="342"/>
      <c r="M969" s="342"/>
      <c r="R969" s="342"/>
      <c r="AJ969" s="342"/>
      <c r="AL969" s="342"/>
      <c r="AM969" s="342"/>
      <c r="BD969" s="342"/>
    </row>
    <row r="970" spans="4:56" x14ac:dyDescent="0.2">
      <c r="D970" s="342"/>
      <c r="F970" s="342"/>
      <c r="G970" s="342"/>
      <c r="H970" s="342"/>
      <c r="I970" s="342"/>
      <c r="J970" s="342"/>
      <c r="L970" s="342"/>
      <c r="M970" s="342"/>
      <c r="R970" s="342"/>
      <c r="AJ970" s="342"/>
      <c r="AL970" s="342"/>
      <c r="AM970" s="342"/>
      <c r="BD970" s="342"/>
    </row>
    <row r="971" spans="4:56" x14ac:dyDescent="0.2">
      <c r="D971" s="342"/>
      <c r="F971" s="342"/>
      <c r="G971" s="342"/>
      <c r="H971" s="342"/>
      <c r="I971" s="342"/>
      <c r="J971" s="342"/>
      <c r="L971" s="342"/>
      <c r="M971" s="342"/>
      <c r="R971" s="342"/>
      <c r="AJ971" s="342"/>
      <c r="AL971" s="342"/>
      <c r="AM971" s="342"/>
      <c r="BD971" s="342"/>
    </row>
    <row r="972" spans="4:56" x14ac:dyDescent="0.2">
      <c r="D972" s="342"/>
      <c r="F972" s="342"/>
      <c r="G972" s="342"/>
      <c r="H972" s="342"/>
      <c r="I972" s="342"/>
      <c r="J972" s="342"/>
      <c r="L972" s="342"/>
      <c r="M972" s="342"/>
      <c r="R972" s="342"/>
      <c r="AJ972" s="342"/>
      <c r="AL972" s="342"/>
      <c r="AM972" s="342"/>
      <c r="BD972" s="342"/>
    </row>
    <row r="973" spans="4:56" x14ac:dyDescent="0.2">
      <c r="D973" s="342"/>
      <c r="F973" s="342"/>
      <c r="G973" s="342"/>
      <c r="H973" s="342"/>
      <c r="I973" s="342"/>
      <c r="J973" s="342"/>
      <c r="L973" s="342"/>
      <c r="M973" s="342"/>
      <c r="R973" s="342"/>
      <c r="AJ973" s="342"/>
      <c r="AL973" s="342"/>
      <c r="AM973" s="342"/>
      <c r="BD973" s="342"/>
    </row>
    <row r="974" spans="4:56" x14ac:dyDescent="0.2">
      <c r="D974" s="342"/>
      <c r="F974" s="342"/>
      <c r="G974" s="342"/>
      <c r="H974" s="342"/>
      <c r="I974" s="342"/>
      <c r="J974" s="342"/>
      <c r="L974" s="342"/>
      <c r="M974" s="342"/>
      <c r="R974" s="342"/>
      <c r="AJ974" s="342"/>
      <c r="AL974" s="342"/>
      <c r="AM974" s="342"/>
      <c r="BD974" s="342"/>
    </row>
    <row r="975" spans="4:56" x14ac:dyDescent="0.2">
      <c r="D975" s="342"/>
      <c r="F975" s="342"/>
      <c r="G975" s="342"/>
      <c r="H975" s="342"/>
      <c r="I975" s="342"/>
      <c r="J975" s="342"/>
      <c r="L975" s="342"/>
      <c r="M975" s="342"/>
      <c r="R975" s="342"/>
      <c r="AJ975" s="342"/>
      <c r="AL975" s="342"/>
      <c r="AM975" s="342"/>
      <c r="BD975" s="342"/>
    </row>
    <row r="976" spans="4:56" x14ac:dyDescent="0.2">
      <c r="D976" s="342"/>
      <c r="F976" s="342"/>
      <c r="G976" s="342"/>
      <c r="H976" s="342"/>
      <c r="I976" s="342"/>
      <c r="J976" s="342"/>
      <c r="L976" s="342"/>
      <c r="M976" s="342"/>
      <c r="R976" s="342"/>
      <c r="AJ976" s="342"/>
      <c r="AL976" s="342"/>
      <c r="AM976" s="342"/>
      <c r="BD976" s="342"/>
    </row>
    <row r="977" spans="4:56" x14ac:dyDescent="0.2">
      <c r="D977" s="342"/>
      <c r="F977" s="342"/>
      <c r="G977" s="342"/>
      <c r="H977" s="342"/>
      <c r="I977" s="342"/>
      <c r="J977" s="342"/>
      <c r="L977" s="342"/>
      <c r="M977" s="342"/>
      <c r="R977" s="342"/>
      <c r="AJ977" s="342"/>
      <c r="AL977" s="342"/>
      <c r="AM977" s="342"/>
      <c r="BD977" s="342"/>
    </row>
    <row r="978" spans="4:56" x14ac:dyDescent="0.2">
      <c r="D978" s="342"/>
      <c r="F978" s="342"/>
      <c r="G978" s="342"/>
      <c r="H978" s="342"/>
      <c r="I978" s="342"/>
      <c r="J978" s="342"/>
      <c r="L978" s="342"/>
      <c r="M978" s="342"/>
      <c r="R978" s="342"/>
      <c r="AJ978" s="342"/>
      <c r="AL978" s="342"/>
      <c r="AM978" s="342"/>
      <c r="BD978" s="342"/>
    </row>
    <row r="979" spans="4:56" x14ac:dyDescent="0.2">
      <c r="D979" s="342"/>
      <c r="F979" s="342"/>
      <c r="G979" s="342"/>
      <c r="H979" s="342"/>
      <c r="I979" s="342"/>
      <c r="J979" s="342"/>
      <c r="L979" s="342"/>
      <c r="M979" s="342"/>
      <c r="R979" s="342"/>
      <c r="AJ979" s="342"/>
      <c r="AL979" s="342"/>
      <c r="AM979" s="342"/>
      <c r="BD979" s="342"/>
    </row>
    <row r="980" spans="4:56" x14ac:dyDescent="0.2">
      <c r="D980" s="342"/>
      <c r="F980" s="342"/>
      <c r="G980" s="342"/>
      <c r="H980" s="342"/>
      <c r="I980" s="342"/>
      <c r="J980" s="342"/>
      <c r="L980" s="342"/>
      <c r="M980" s="342"/>
      <c r="R980" s="342"/>
      <c r="AJ980" s="342"/>
      <c r="AL980" s="342"/>
      <c r="AM980" s="342"/>
      <c r="BD980" s="342"/>
    </row>
    <row r="981" spans="4:56" x14ac:dyDescent="0.2">
      <c r="D981" s="342"/>
      <c r="F981" s="342"/>
      <c r="G981" s="342"/>
      <c r="H981" s="342"/>
      <c r="I981" s="342"/>
      <c r="J981" s="342"/>
      <c r="L981" s="342"/>
      <c r="M981" s="342"/>
      <c r="R981" s="342"/>
      <c r="AJ981" s="342"/>
      <c r="AL981" s="342"/>
      <c r="AM981" s="342"/>
      <c r="BD981" s="342"/>
    </row>
    <row r="982" spans="4:56" x14ac:dyDescent="0.2">
      <c r="D982" s="342"/>
      <c r="F982" s="342"/>
      <c r="G982" s="342"/>
      <c r="H982" s="342"/>
      <c r="I982" s="342"/>
      <c r="J982" s="342"/>
      <c r="L982" s="342"/>
      <c r="M982" s="342"/>
      <c r="R982" s="342"/>
      <c r="AJ982" s="342"/>
      <c r="AL982" s="342"/>
      <c r="AM982" s="342"/>
      <c r="BD982" s="342"/>
    </row>
    <row r="983" spans="4:56" x14ac:dyDescent="0.2">
      <c r="D983" s="342"/>
      <c r="F983" s="342"/>
      <c r="G983" s="342"/>
      <c r="H983" s="342"/>
      <c r="I983" s="342"/>
      <c r="J983" s="342"/>
      <c r="L983" s="342"/>
      <c r="M983" s="342"/>
      <c r="R983" s="342"/>
      <c r="AJ983" s="342"/>
      <c r="AL983" s="342"/>
      <c r="AM983" s="342"/>
      <c r="BD983" s="342"/>
    </row>
    <row r="984" spans="4:56" x14ac:dyDescent="0.2">
      <c r="D984" s="342"/>
      <c r="F984" s="342"/>
      <c r="G984" s="342"/>
      <c r="H984" s="342"/>
      <c r="I984" s="342"/>
      <c r="J984" s="342"/>
      <c r="L984" s="342"/>
      <c r="M984" s="342"/>
      <c r="R984" s="342"/>
      <c r="AJ984" s="342"/>
      <c r="AL984" s="342"/>
      <c r="AM984" s="342"/>
      <c r="BD984" s="342"/>
    </row>
    <row r="985" spans="4:56" x14ac:dyDescent="0.2">
      <c r="D985" s="342"/>
      <c r="F985" s="342"/>
      <c r="G985" s="342"/>
      <c r="H985" s="342"/>
      <c r="I985" s="342"/>
      <c r="J985" s="342"/>
      <c r="L985" s="342"/>
      <c r="M985" s="342"/>
      <c r="R985" s="342"/>
      <c r="AJ985" s="342"/>
      <c r="AL985" s="342"/>
      <c r="AM985" s="342"/>
      <c r="BD985" s="342"/>
    </row>
    <row r="986" spans="4:56" x14ac:dyDescent="0.2">
      <c r="D986" s="342"/>
      <c r="F986" s="342"/>
      <c r="G986" s="342"/>
      <c r="H986" s="342"/>
      <c r="I986" s="342"/>
      <c r="J986" s="342"/>
      <c r="L986" s="342"/>
      <c r="M986" s="342"/>
      <c r="R986" s="342"/>
      <c r="AJ986" s="342"/>
      <c r="AL986" s="342"/>
      <c r="AM986" s="342"/>
      <c r="BD986" s="342"/>
    </row>
    <row r="987" spans="4:56" x14ac:dyDescent="0.2">
      <c r="D987" s="342"/>
      <c r="F987" s="342"/>
      <c r="G987" s="342"/>
      <c r="H987" s="342"/>
      <c r="I987" s="342"/>
      <c r="J987" s="342"/>
      <c r="L987" s="342"/>
      <c r="M987" s="342"/>
      <c r="R987" s="342"/>
      <c r="AJ987" s="342"/>
      <c r="AL987" s="342"/>
      <c r="AM987" s="342"/>
      <c r="BD987" s="342"/>
    </row>
    <row r="988" spans="4:56" x14ac:dyDescent="0.2">
      <c r="D988" s="342"/>
      <c r="F988" s="342"/>
      <c r="G988" s="342"/>
      <c r="H988" s="342"/>
      <c r="I988" s="342"/>
      <c r="J988" s="342"/>
      <c r="L988" s="342"/>
      <c r="M988" s="342"/>
      <c r="R988" s="342"/>
      <c r="AJ988" s="342"/>
      <c r="AL988" s="342"/>
      <c r="AM988" s="342"/>
      <c r="BD988" s="342"/>
    </row>
    <row r="989" spans="4:56" x14ac:dyDescent="0.2">
      <c r="D989" s="342"/>
      <c r="F989" s="342"/>
      <c r="G989" s="342"/>
      <c r="H989" s="342"/>
      <c r="I989" s="342"/>
      <c r="J989" s="342"/>
      <c r="L989" s="342"/>
      <c r="M989" s="342"/>
      <c r="R989" s="342"/>
      <c r="AJ989" s="342"/>
      <c r="AL989" s="342"/>
      <c r="AM989" s="342"/>
      <c r="BD989" s="342"/>
    </row>
    <row r="990" spans="4:56" x14ac:dyDescent="0.2">
      <c r="D990" s="342"/>
      <c r="F990" s="342"/>
      <c r="G990" s="342"/>
      <c r="H990" s="342"/>
      <c r="I990" s="342"/>
      <c r="J990" s="342"/>
      <c r="L990" s="342"/>
      <c r="M990" s="342"/>
      <c r="R990" s="342"/>
      <c r="AJ990" s="342"/>
      <c r="AL990" s="342"/>
      <c r="AM990" s="342"/>
      <c r="BD990" s="342"/>
    </row>
    <row r="991" spans="4:56" x14ac:dyDescent="0.2">
      <c r="D991" s="342"/>
      <c r="F991" s="342"/>
      <c r="G991" s="342"/>
      <c r="H991" s="342"/>
      <c r="I991" s="342"/>
      <c r="J991" s="342"/>
      <c r="L991" s="342"/>
      <c r="M991" s="342"/>
      <c r="R991" s="342"/>
      <c r="AJ991" s="342"/>
      <c r="AL991" s="342"/>
      <c r="AM991" s="342"/>
      <c r="BD991" s="342"/>
    </row>
    <row r="992" spans="4:56" x14ac:dyDescent="0.2">
      <c r="D992" s="342"/>
      <c r="F992" s="342"/>
      <c r="G992" s="342"/>
      <c r="H992" s="342"/>
      <c r="I992" s="342"/>
      <c r="J992" s="342"/>
      <c r="L992" s="342"/>
      <c r="M992" s="342"/>
      <c r="R992" s="342"/>
      <c r="AJ992" s="342"/>
      <c r="AL992" s="342"/>
      <c r="AM992" s="342"/>
      <c r="BD992" s="342"/>
    </row>
    <row r="993" spans="4:56" x14ac:dyDescent="0.2">
      <c r="D993" s="342"/>
      <c r="F993" s="342"/>
      <c r="G993" s="342"/>
      <c r="H993" s="342"/>
      <c r="I993" s="342"/>
      <c r="J993" s="342"/>
      <c r="L993" s="342"/>
      <c r="M993" s="342"/>
      <c r="R993" s="342"/>
      <c r="AJ993" s="342"/>
      <c r="AL993" s="342"/>
      <c r="AM993" s="342"/>
      <c r="BD993" s="342"/>
    </row>
    <row r="994" spans="4:56" x14ac:dyDescent="0.2">
      <c r="D994" s="342"/>
      <c r="F994" s="342"/>
      <c r="G994" s="342"/>
      <c r="H994" s="342"/>
      <c r="I994" s="342"/>
      <c r="J994" s="342"/>
      <c r="L994" s="342"/>
      <c r="M994" s="342"/>
      <c r="R994" s="342"/>
      <c r="AJ994" s="342"/>
      <c r="AL994" s="342"/>
      <c r="AM994" s="342"/>
      <c r="BD994" s="342"/>
    </row>
    <row r="995" spans="4:56" x14ac:dyDescent="0.2">
      <c r="D995" s="342"/>
      <c r="F995" s="342"/>
      <c r="G995" s="342"/>
      <c r="H995" s="342"/>
      <c r="I995" s="342"/>
      <c r="J995" s="342"/>
      <c r="L995" s="342"/>
      <c r="M995" s="342"/>
      <c r="R995" s="342"/>
      <c r="AJ995" s="342"/>
      <c r="AL995" s="342"/>
      <c r="AM995" s="342"/>
      <c r="BD995" s="342"/>
    </row>
    <row r="996" spans="4:56" x14ac:dyDescent="0.2">
      <c r="D996" s="342"/>
      <c r="F996" s="342"/>
      <c r="G996" s="342"/>
      <c r="H996" s="342"/>
      <c r="I996" s="342"/>
      <c r="J996" s="342"/>
      <c r="L996" s="342"/>
      <c r="M996" s="342"/>
      <c r="R996" s="342"/>
      <c r="AJ996" s="342"/>
      <c r="AL996" s="342"/>
      <c r="AM996" s="342"/>
      <c r="BD996" s="342"/>
    </row>
    <row r="997" spans="4:56" x14ac:dyDescent="0.2">
      <c r="D997" s="342"/>
      <c r="F997" s="342"/>
      <c r="G997" s="342"/>
      <c r="H997" s="342"/>
      <c r="I997" s="342"/>
      <c r="J997" s="342"/>
      <c r="L997" s="342"/>
      <c r="M997" s="342"/>
      <c r="R997" s="342"/>
      <c r="AJ997" s="342"/>
      <c r="AL997" s="342"/>
      <c r="AM997" s="342"/>
      <c r="BD997" s="342"/>
    </row>
    <row r="998" spans="4:56" x14ac:dyDescent="0.2">
      <c r="D998" s="342"/>
      <c r="F998" s="342"/>
      <c r="G998" s="342"/>
      <c r="H998" s="342"/>
      <c r="I998" s="342"/>
      <c r="J998" s="342"/>
      <c r="L998" s="342"/>
      <c r="M998" s="342"/>
      <c r="R998" s="342"/>
      <c r="AJ998" s="342"/>
      <c r="AL998" s="342"/>
      <c r="AM998" s="342"/>
      <c r="BD998" s="342"/>
    </row>
    <row r="999" spans="4:56" x14ac:dyDescent="0.2">
      <c r="D999" s="342"/>
      <c r="F999" s="342"/>
      <c r="G999" s="342"/>
      <c r="H999" s="342"/>
      <c r="I999" s="342"/>
      <c r="J999" s="342"/>
      <c r="L999" s="342"/>
      <c r="M999" s="342"/>
      <c r="R999" s="342"/>
      <c r="AJ999" s="342"/>
      <c r="AL999" s="342"/>
      <c r="AM999" s="342"/>
      <c r="BD999" s="342"/>
    </row>
    <row r="1000" spans="4:56" x14ac:dyDescent="0.2">
      <c r="D1000" s="342"/>
      <c r="F1000" s="342"/>
      <c r="G1000" s="342"/>
      <c r="H1000" s="342"/>
      <c r="I1000" s="342"/>
      <c r="J1000" s="342"/>
      <c r="L1000" s="342"/>
      <c r="M1000" s="342"/>
      <c r="R1000" s="342"/>
      <c r="AJ1000" s="342"/>
      <c r="AL1000" s="342"/>
      <c r="AM1000" s="342"/>
      <c r="BD1000" s="342"/>
    </row>
    <row r="1001" spans="4:56" x14ac:dyDescent="0.2">
      <c r="D1001" s="342"/>
      <c r="F1001" s="342"/>
      <c r="G1001" s="342"/>
      <c r="H1001" s="342"/>
      <c r="I1001" s="342"/>
      <c r="J1001" s="342"/>
      <c r="L1001" s="342"/>
      <c r="M1001" s="342"/>
      <c r="R1001" s="342"/>
      <c r="AJ1001" s="342"/>
      <c r="AL1001" s="342"/>
      <c r="AM1001" s="342"/>
      <c r="BD1001" s="342"/>
    </row>
    <row r="1002" spans="4:56" x14ac:dyDescent="0.2">
      <c r="D1002" s="342"/>
      <c r="F1002" s="342"/>
      <c r="G1002" s="342"/>
      <c r="H1002" s="342"/>
      <c r="I1002" s="342"/>
      <c r="J1002" s="342"/>
      <c r="L1002" s="342"/>
      <c r="M1002" s="342"/>
      <c r="R1002" s="342"/>
      <c r="AJ1002" s="342"/>
      <c r="AL1002" s="342"/>
      <c r="AM1002" s="342"/>
      <c r="BD1002" s="342"/>
    </row>
    <row r="1003" spans="4:56" x14ac:dyDescent="0.2">
      <c r="D1003" s="342"/>
      <c r="F1003" s="342"/>
      <c r="G1003" s="342"/>
      <c r="H1003" s="342"/>
      <c r="I1003" s="342"/>
      <c r="J1003" s="342"/>
      <c r="L1003" s="342"/>
      <c r="M1003" s="342"/>
      <c r="R1003" s="342"/>
      <c r="AJ1003" s="342"/>
      <c r="AL1003" s="342"/>
      <c r="AM1003" s="342"/>
      <c r="BD1003" s="342"/>
    </row>
    <row r="1004" spans="4:56" x14ac:dyDescent="0.2">
      <c r="D1004" s="342"/>
      <c r="F1004" s="342"/>
      <c r="G1004" s="342"/>
      <c r="H1004" s="342"/>
      <c r="I1004" s="342"/>
      <c r="J1004" s="342"/>
      <c r="L1004" s="342"/>
      <c r="M1004" s="342"/>
      <c r="R1004" s="342"/>
      <c r="AJ1004" s="342"/>
      <c r="AL1004" s="342"/>
      <c r="AM1004" s="342"/>
      <c r="BD1004" s="342"/>
    </row>
    <row r="1005" spans="4:56" x14ac:dyDescent="0.2">
      <c r="D1005" s="342"/>
      <c r="F1005" s="342"/>
      <c r="G1005" s="342"/>
      <c r="H1005" s="342"/>
      <c r="I1005" s="342"/>
      <c r="J1005" s="342"/>
      <c r="L1005" s="342"/>
      <c r="M1005" s="342"/>
      <c r="R1005" s="342"/>
      <c r="AJ1005" s="342"/>
      <c r="AL1005" s="342"/>
      <c r="AM1005" s="342"/>
      <c r="BD1005" s="342"/>
    </row>
    <row r="1006" spans="4:56" x14ac:dyDescent="0.2">
      <c r="D1006" s="342"/>
      <c r="F1006" s="342"/>
      <c r="G1006" s="342"/>
      <c r="H1006" s="342"/>
      <c r="I1006" s="342"/>
      <c r="J1006" s="342"/>
      <c r="L1006" s="342"/>
      <c r="M1006" s="342"/>
      <c r="R1006" s="342"/>
      <c r="AJ1006" s="342"/>
      <c r="AL1006" s="342"/>
      <c r="AM1006" s="342"/>
      <c r="BD1006" s="342"/>
    </row>
    <row r="1007" spans="4:56" x14ac:dyDescent="0.2">
      <c r="D1007" s="342"/>
      <c r="F1007" s="342"/>
      <c r="G1007" s="342"/>
      <c r="H1007" s="342"/>
      <c r="I1007" s="342"/>
      <c r="J1007" s="342"/>
      <c r="L1007" s="342"/>
      <c r="M1007" s="342"/>
      <c r="R1007" s="342"/>
      <c r="AJ1007" s="342"/>
      <c r="AL1007" s="342"/>
      <c r="AM1007" s="342"/>
      <c r="BD1007" s="342"/>
    </row>
    <row r="1008" spans="4:56" x14ac:dyDescent="0.2">
      <c r="D1008" s="342"/>
      <c r="F1008" s="342"/>
      <c r="G1008" s="342"/>
      <c r="H1008" s="342"/>
      <c r="I1008" s="342"/>
      <c r="J1008" s="342"/>
      <c r="L1008" s="342"/>
      <c r="M1008" s="342"/>
      <c r="R1008" s="342"/>
      <c r="AJ1008" s="342"/>
      <c r="AL1008" s="342"/>
      <c r="AM1008" s="342"/>
      <c r="BD1008" s="342"/>
    </row>
    <row r="1009" spans="4:56" x14ac:dyDescent="0.2">
      <c r="D1009" s="342"/>
      <c r="F1009" s="342"/>
      <c r="G1009" s="342"/>
      <c r="H1009" s="342"/>
      <c r="I1009" s="342"/>
      <c r="J1009" s="342"/>
      <c r="L1009" s="342"/>
      <c r="M1009" s="342"/>
      <c r="R1009" s="342"/>
      <c r="AJ1009" s="342"/>
      <c r="AL1009" s="342"/>
      <c r="AM1009" s="342"/>
      <c r="BD1009" s="342"/>
    </row>
    <row r="1010" spans="4:56" x14ac:dyDescent="0.2">
      <c r="D1010" s="342"/>
      <c r="F1010" s="342"/>
      <c r="G1010" s="342"/>
      <c r="H1010" s="342"/>
      <c r="I1010" s="342"/>
      <c r="J1010" s="342"/>
      <c r="L1010" s="342"/>
      <c r="M1010" s="342"/>
      <c r="R1010" s="342"/>
      <c r="AJ1010" s="342"/>
      <c r="AL1010" s="342"/>
      <c r="AM1010" s="342"/>
      <c r="BD1010" s="342"/>
    </row>
    <row r="1011" spans="4:56" x14ac:dyDescent="0.2">
      <c r="D1011" s="342"/>
      <c r="F1011" s="342"/>
      <c r="G1011" s="342"/>
      <c r="H1011" s="342"/>
      <c r="I1011" s="342"/>
      <c r="J1011" s="342"/>
      <c r="L1011" s="342"/>
      <c r="M1011" s="342"/>
      <c r="R1011" s="342"/>
      <c r="AJ1011" s="342"/>
      <c r="AL1011" s="342"/>
      <c r="AM1011" s="342"/>
      <c r="BD1011" s="342"/>
    </row>
    <row r="1012" spans="4:56" x14ac:dyDescent="0.2">
      <c r="D1012" s="342"/>
      <c r="F1012" s="342"/>
      <c r="G1012" s="342"/>
      <c r="H1012" s="342"/>
      <c r="I1012" s="342"/>
      <c r="J1012" s="342"/>
      <c r="L1012" s="342"/>
      <c r="M1012" s="342"/>
      <c r="R1012" s="342"/>
      <c r="AJ1012" s="342"/>
      <c r="AL1012" s="342"/>
      <c r="AM1012" s="342"/>
      <c r="BD1012" s="342"/>
    </row>
    <row r="1013" spans="4:56" x14ac:dyDescent="0.2">
      <c r="D1013" s="342"/>
      <c r="F1013" s="342"/>
      <c r="G1013" s="342"/>
      <c r="H1013" s="342"/>
      <c r="I1013" s="342"/>
      <c r="J1013" s="342"/>
      <c r="L1013" s="342"/>
      <c r="M1013" s="342"/>
      <c r="R1013" s="342"/>
      <c r="AJ1013" s="342"/>
      <c r="AL1013" s="342"/>
      <c r="AM1013" s="342"/>
      <c r="BD1013" s="342"/>
    </row>
    <row r="1014" spans="4:56" x14ac:dyDescent="0.2">
      <c r="D1014" s="342"/>
      <c r="F1014" s="342"/>
      <c r="G1014" s="342"/>
      <c r="H1014" s="342"/>
      <c r="I1014" s="342"/>
      <c r="J1014" s="342"/>
      <c r="L1014" s="342"/>
      <c r="M1014" s="342"/>
      <c r="R1014" s="342"/>
      <c r="AJ1014" s="342"/>
      <c r="AL1014" s="342"/>
      <c r="AM1014" s="342"/>
      <c r="BD1014" s="342"/>
    </row>
    <row r="1015" spans="4:56" x14ac:dyDescent="0.2">
      <c r="D1015" s="342"/>
      <c r="F1015" s="342"/>
      <c r="G1015" s="342"/>
      <c r="H1015" s="342"/>
      <c r="I1015" s="342"/>
      <c r="J1015" s="342"/>
      <c r="L1015" s="342"/>
      <c r="M1015" s="342"/>
      <c r="R1015" s="342"/>
      <c r="AJ1015" s="342"/>
      <c r="AL1015" s="342"/>
      <c r="AM1015" s="342"/>
      <c r="BD1015" s="342"/>
    </row>
    <row r="1016" spans="4:56" x14ac:dyDescent="0.2">
      <c r="D1016" s="342"/>
      <c r="F1016" s="342"/>
      <c r="G1016" s="342"/>
      <c r="H1016" s="342"/>
      <c r="I1016" s="342"/>
      <c r="J1016" s="342"/>
      <c r="L1016" s="342"/>
      <c r="M1016" s="342"/>
      <c r="R1016" s="342"/>
      <c r="AJ1016" s="342"/>
      <c r="AL1016" s="342"/>
      <c r="AM1016" s="342"/>
      <c r="BD1016" s="342"/>
    </row>
    <row r="1017" spans="4:56" x14ac:dyDescent="0.2">
      <c r="D1017" s="342"/>
      <c r="F1017" s="342"/>
      <c r="G1017" s="342"/>
      <c r="H1017" s="342"/>
      <c r="I1017" s="342"/>
      <c r="J1017" s="342"/>
      <c r="L1017" s="342"/>
      <c r="M1017" s="342"/>
      <c r="R1017" s="342"/>
      <c r="AJ1017" s="342"/>
      <c r="AL1017" s="342"/>
      <c r="AM1017" s="342"/>
      <c r="BD1017" s="342"/>
    </row>
    <row r="1018" spans="4:56" x14ac:dyDescent="0.2">
      <c r="D1018" s="342"/>
      <c r="F1018" s="342"/>
      <c r="G1018" s="342"/>
      <c r="H1018" s="342"/>
      <c r="I1018" s="342"/>
      <c r="J1018" s="342"/>
      <c r="L1018" s="342"/>
      <c r="M1018" s="342"/>
      <c r="R1018" s="342"/>
      <c r="AJ1018" s="342"/>
      <c r="AL1018" s="342"/>
      <c r="AM1018" s="342"/>
      <c r="BD1018" s="342"/>
    </row>
    <row r="1019" spans="4:56" x14ac:dyDescent="0.2">
      <c r="D1019" s="342"/>
      <c r="F1019" s="342"/>
      <c r="G1019" s="342"/>
      <c r="H1019" s="342"/>
      <c r="I1019" s="342"/>
      <c r="J1019" s="342"/>
      <c r="L1019" s="342"/>
      <c r="M1019" s="342"/>
      <c r="R1019" s="342"/>
      <c r="AJ1019" s="342"/>
      <c r="AL1019" s="342"/>
      <c r="AM1019" s="342"/>
      <c r="BD1019" s="342"/>
    </row>
    <row r="1020" spans="4:56" x14ac:dyDescent="0.2">
      <c r="D1020" s="342"/>
      <c r="F1020" s="342"/>
      <c r="G1020" s="342"/>
      <c r="H1020" s="342"/>
      <c r="I1020" s="342"/>
      <c r="J1020" s="342"/>
      <c r="L1020" s="342"/>
      <c r="M1020" s="342"/>
      <c r="R1020" s="342"/>
      <c r="AJ1020" s="342"/>
      <c r="AL1020" s="342"/>
      <c r="AM1020" s="342"/>
      <c r="BD1020" s="342"/>
    </row>
    <row r="1021" spans="4:56" x14ac:dyDescent="0.2">
      <c r="D1021" s="342"/>
      <c r="F1021" s="342"/>
      <c r="G1021" s="342"/>
      <c r="H1021" s="342"/>
      <c r="I1021" s="342"/>
      <c r="J1021" s="342"/>
      <c r="L1021" s="342"/>
      <c r="M1021" s="342"/>
      <c r="R1021" s="342"/>
      <c r="AJ1021" s="342"/>
      <c r="AL1021" s="342"/>
      <c r="AM1021" s="342"/>
      <c r="BD1021" s="342"/>
    </row>
    <row r="1022" spans="4:56" x14ac:dyDescent="0.2">
      <c r="D1022" s="342"/>
      <c r="F1022" s="342"/>
      <c r="G1022" s="342"/>
      <c r="H1022" s="342"/>
      <c r="I1022" s="342"/>
      <c r="J1022" s="342"/>
      <c r="L1022" s="342"/>
      <c r="M1022" s="342"/>
      <c r="R1022" s="342"/>
      <c r="AJ1022" s="342"/>
      <c r="AL1022" s="342"/>
      <c r="AM1022" s="342"/>
      <c r="BD1022" s="342"/>
    </row>
    <row r="1023" spans="4:56" x14ac:dyDescent="0.2">
      <c r="D1023" s="342"/>
      <c r="F1023" s="342"/>
      <c r="G1023" s="342"/>
      <c r="H1023" s="342"/>
      <c r="I1023" s="342"/>
      <c r="J1023" s="342"/>
      <c r="L1023" s="342"/>
      <c r="M1023" s="342"/>
      <c r="R1023" s="342"/>
      <c r="AJ1023" s="342"/>
      <c r="AL1023" s="342"/>
      <c r="AM1023" s="342"/>
      <c r="BD1023" s="342"/>
    </row>
    <row r="1024" spans="4:56" x14ac:dyDescent="0.2">
      <c r="D1024" s="342"/>
      <c r="F1024" s="342"/>
      <c r="G1024" s="342"/>
      <c r="H1024" s="342"/>
      <c r="I1024" s="342"/>
      <c r="J1024" s="342"/>
      <c r="L1024" s="342"/>
      <c r="M1024" s="342"/>
      <c r="R1024" s="342"/>
      <c r="AJ1024" s="342"/>
      <c r="AL1024" s="342"/>
      <c r="AM1024" s="342"/>
      <c r="BD1024" s="342"/>
    </row>
    <row r="1025" spans="4:56" x14ac:dyDescent="0.2">
      <c r="D1025" s="342"/>
      <c r="F1025" s="342"/>
      <c r="G1025" s="342"/>
      <c r="H1025" s="342"/>
      <c r="I1025" s="342"/>
      <c r="J1025" s="342"/>
      <c r="L1025" s="342"/>
      <c r="M1025" s="342"/>
      <c r="R1025" s="342"/>
      <c r="AJ1025" s="342"/>
      <c r="AL1025" s="342"/>
      <c r="AM1025" s="342"/>
      <c r="BD1025" s="342"/>
    </row>
    <row r="1026" spans="4:56" x14ac:dyDescent="0.2">
      <c r="D1026" s="342"/>
      <c r="F1026" s="342"/>
      <c r="G1026" s="342"/>
      <c r="H1026" s="342"/>
      <c r="I1026" s="342"/>
      <c r="J1026" s="342"/>
      <c r="L1026" s="342"/>
      <c r="M1026" s="342"/>
      <c r="R1026" s="342"/>
      <c r="AJ1026" s="342"/>
      <c r="AL1026" s="342"/>
      <c r="AM1026" s="342"/>
      <c r="BD1026" s="342"/>
    </row>
    <row r="1027" spans="4:56" x14ac:dyDescent="0.2">
      <c r="D1027" s="342"/>
      <c r="F1027" s="342"/>
      <c r="G1027" s="342"/>
      <c r="H1027" s="342"/>
      <c r="I1027" s="342"/>
      <c r="J1027" s="342"/>
      <c r="L1027" s="342"/>
      <c r="M1027" s="342"/>
      <c r="R1027" s="342"/>
      <c r="AJ1027" s="342"/>
      <c r="AL1027" s="342"/>
      <c r="AM1027" s="342"/>
      <c r="BD1027" s="342"/>
    </row>
    <row r="1028" spans="4:56" x14ac:dyDescent="0.2">
      <c r="D1028" s="342"/>
      <c r="F1028" s="342"/>
      <c r="G1028" s="342"/>
      <c r="H1028" s="342"/>
      <c r="I1028" s="342"/>
      <c r="J1028" s="342"/>
      <c r="L1028" s="342"/>
      <c r="M1028" s="342"/>
      <c r="R1028" s="342"/>
      <c r="AJ1028" s="342"/>
      <c r="AL1028" s="342"/>
      <c r="AM1028" s="342"/>
      <c r="BD1028" s="342"/>
    </row>
    <row r="1029" spans="4:56" x14ac:dyDescent="0.2">
      <c r="D1029" s="342"/>
      <c r="F1029" s="342"/>
      <c r="G1029" s="342"/>
      <c r="H1029" s="342"/>
      <c r="I1029" s="342"/>
      <c r="J1029" s="342"/>
      <c r="L1029" s="342"/>
      <c r="M1029" s="342"/>
      <c r="R1029" s="342"/>
      <c r="AJ1029" s="342"/>
      <c r="AL1029" s="342"/>
      <c r="AM1029" s="342"/>
      <c r="BD1029" s="342"/>
    </row>
    <row r="1030" spans="4:56" x14ac:dyDescent="0.2">
      <c r="D1030" s="342"/>
      <c r="F1030" s="342"/>
      <c r="G1030" s="342"/>
      <c r="H1030" s="342"/>
      <c r="I1030" s="342"/>
      <c r="J1030" s="342"/>
      <c r="L1030" s="342"/>
      <c r="M1030" s="342"/>
      <c r="R1030" s="342"/>
      <c r="AJ1030" s="342"/>
      <c r="AL1030" s="342"/>
      <c r="AM1030" s="342"/>
      <c r="BD1030" s="342"/>
    </row>
    <row r="1031" spans="4:56" x14ac:dyDescent="0.2">
      <c r="D1031" s="342"/>
      <c r="F1031" s="342"/>
      <c r="G1031" s="342"/>
      <c r="H1031" s="342"/>
      <c r="I1031" s="342"/>
      <c r="J1031" s="342"/>
      <c r="L1031" s="342"/>
      <c r="M1031" s="342"/>
      <c r="R1031" s="342"/>
      <c r="AJ1031" s="342"/>
      <c r="AL1031" s="342"/>
      <c r="AM1031" s="342"/>
      <c r="BD1031" s="342"/>
    </row>
    <row r="1032" spans="4:56" x14ac:dyDescent="0.2">
      <c r="D1032" s="342"/>
      <c r="F1032" s="342"/>
      <c r="G1032" s="342"/>
      <c r="H1032" s="342"/>
      <c r="I1032" s="342"/>
      <c r="J1032" s="342"/>
      <c r="L1032" s="342"/>
      <c r="M1032" s="342"/>
      <c r="R1032" s="342"/>
      <c r="AJ1032" s="342"/>
      <c r="AL1032" s="342"/>
      <c r="AM1032" s="342"/>
      <c r="BD1032" s="342"/>
    </row>
    <row r="1033" spans="4:56" x14ac:dyDescent="0.2">
      <c r="D1033" s="342"/>
      <c r="F1033" s="342"/>
      <c r="G1033" s="342"/>
      <c r="H1033" s="342"/>
      <c r="I1033" s="342"/>
      <c r="J1033" s="342"/>
      <c r="L1033" s="342"/>
      <c r="M1033" s="342"/>
      <c r="R1033" s="342"/>
      <c r="AJ1033" s="342"/>
      <c r="AL1033" s="342"/>
      <c r="AM1033" s="342"/>
      <c r="BD1033" s="342"/>
    </row>
    <row r="1034" spans="4:56" x14ac:dyDescent="0.2">
      <c r="D1034" s="342"/>
      <c r="F1034" s="342"/>
      <c r="G1034" s="342"/>
      <c r="H1034" s="342"/>
      <c r="I1034" s="342"/>
      <c r="J1034" s="342"/>
      <c r="L1034" s="342"/>
      <c r="M1034" s="342"/>
      <c r="R1034" s="342"/>
      <c r="AJ1034" s="342"/>
      <c r="AL1034" s="342"/>
      <c r="AM1034" s="342"/>
      <c r="BD1034" s="342"/>
    </row>
    <row r="1035" spans="4:56" x14ac:dyDescent="0.2">
      <c r="D1035" s="342"/>
      <c r="F1035" s="342"/>
      <c r="G1035" s="342"/>
      <c r="H1035" s="342"/>
      <c r="I1035" s="342"/>
      <c r="J1035" s="342"/>
      <c r="L1035" s="342"/>
      <c r="M1035" s="342"/>
      <c r="R1035" s="342"/>
      <c r="AJ1035" s="342"/>
      <c r="AL1035" s="342"/>
      <c r="AM1035" s="342"/>
      <c r="BD1035" s="342"/>
    </row>
    <row r="1036" spans="4:56" x14ac:dyDescent="0.2">
      <c r="D1036" s="342"/>
      <c r="F1036" s="342"/>
      <c r="G1036" s="342"/>
      <c r="H1036" s="342"/>
      <c r="I1036" s="342"/>
      <c r="J1036" s="342"/>
      <c r="L1036" s="342"/>
      <c r="M1036" s="342"/>
      <c r="R1036" s="342"/>
      <c r="AJ1036" s="342"/>
      <c r="AL1036" s="342"/>
      <c r="AM1036" s="342"/>
      <c r="BD1036" s="342"/>
    </row>
    <row r="1037" spans="4:56" x14ac:dyDescent="0.2">
      <c r="D1037" s="342"/>
      <c r="F1037" s="342"/>
      <c r="G1037" s="342"/>
      <c r="H1037" s="342"/>
      <c r="I1037" s="342"/>
      <c r="J1037" s="342"/>
      <c r="L1037" s="342"/>
      <c r="M1037" s="342"/>
      <c r="R1037" s="342"/>
      <c r="AJ1037" s="342"/>
      <c r="AL1037" s="342"/>
      <c r="AM1037" s="342"/>
      <c r="BD1037" s="342"/>
    </row>
    <row r="1038" spans="4:56" x14ac:dyDescent="0.2">
      <c r="D1038" s="342"/>
      <c r="F1038" s="342"/>
      <c r="G1038" s="342"/>
      <c r="H1038" s="342"/>
      <c r="I1038" s="342"/>
      <c r="J1038" s="342"/>
      <c r="L1038" s="342"/>
      <c r="M1038" s="342"/>
      <c r="R1038" s="342"/>
      <c r="AJ1038" s="342"/>
      <c r="AL1038" s="342"/>
      <c r="AM1038" s="342"/>
      <c r="BD1038" s="342"/>
    </row>
    <row r="1039" spans="4:56" x14ac:dyDescent="0.2">
      <c r="D1039" s="342"/>
      <c r="F1039" s="342"/>
      <c r="G1039" s="342"/>
      <c r="H1039" s="342"/>
      <c r="I1039" s="342"/>
      <c r="J1039" s="342"/>
      <c r="L1039" s="342"/>
      <c r="M1039" s="342"/>
      <c r="R1039" s="342"/>
      <c r="AJ1039" s="342"/>
      <c r="AL1039" s="342"/>
      <c r="AM1039" s="342"/>
      <c r="BD1039" s="342"/>
    </row>
    <row r="1040" spans="4:56" x14ac:dyDescent="0.2">
      <c r="D1040" s="342"/>
      <c r="F1040" s="342"/>
      <c r="G1040" s="342"/>
      <c r="H1040" s="342"/>
      <c r="I1040" s="342"/>
      <c r="J1040" s="342"/>
      <c r="L1040" s="342"/>
      <c r="M1040" s="342"/>
      <c r="R1040" s="342"/>
      <c r="AJ1040" s="342"/>
      <c r="AL1040" s="342"/>
      <c r="AM1040" s="342"/>
      <c r="BD1040" s="342"/>
    </row>
    <row r="1041" spans="4:56" x14ac:dyDescent="0.2">
      <c r="D1041" s="342"/>
      <c r="F1041" s="342"/>
      <c r="G1041" s="342"/>
      <c r="H1041" s="342"/>
      <c r="I1041" s="342"/>
      <c r="J1041" s="342"/>
      <c r="L1041" s="342"/>
      <c r="M1041" s="342"/>
      <c r="R1041" s="342"/>
      <c r="AJ1041" s="342"/>
      <c r="AL1041" s="342"/>
      <c r="AM1041" s="342"/>
      <c r="BD1041" s="342"/>
    </row>
    <row r="1042" spans="4:56" x14ac:dyDescent="0.2">
      <c r="D1042" s="342"/>
      <c r="F1042" s="342"/>
      <c r="G1042" s="342"/>
      <c r="H1042" s="342"/>
      <c r="I1042" s="342"/>
      <c r="J1042" s="342"/>
      <c r="L1042" s="342"/>
      <c r="M1042" s="342"/>
      <c r="R1042" s="342"/>
      <c r="AJ1042" s="342"/>
      <c r="AL1042" s="342"/>
      <c r="AM1042" s="342"/>
      <c r="BD1042" s="342"/>
    </row>
    <row r="1043" spans="4:56" x14ac:dyDescent="0.2">
      <c r="D1043" s="342"/>
      <c r="F1043" s="342"/>
      <c r="G1043" s="342"/>
      <c r="H1043" s="342"/>
      <c r="I1043" s="342"/>
      <c r="J1043" s="342"/>
      <c r="L1043" s="342"/>
      <c r="M1043" s="342"/>
      <c r="R1043" s="342"/>
      <c r="AJ1043" s="342"/>
      <c r="AL1043" s="342"/>
      <c r="AM1043" s="342"/>
      <c r="BD1043" s="342"/>
    </row>
    <row r="1044" spans="4:56" x14ac:dyDescent="0.2">
      <c r="D1044" s="342"/>
      <c r="F1044" s="342"/>
      <c r="G1044" s="342"/>
      <c r="H1044" s="342"/>
      <c r="I1044" s="342"/>
      <c r="J1044" s="342"/>
      <c r="L1044" s="342"/>
      <c r="M1044" s="342"/>
      <c r="R1044" s="342"/>
      <c r="AJ1044" s="342"/>
      <c r="AL1044" s="342"/>
      <c r="AM1044" s="342"/>
      <c r="BD1044" s="342"/>
    </row>
    <row r="1045" spans="4:56" x14ac:dyDescent="0.2">
      <c r="D1045" s="342"/>
      <c r="F1045" s="342"/>
      <c r="G1045" s="342"/>
      <c r="H1045" s="342"/>
      <c r="I1045" s="342"/>
      <c r="J1045" s="342"/>
      <c r="L1045" s="342"/>
      <c r="M1045" s="342"/>
      <c r="R1045" s="342"/>
      <c r="AJ1045" s="342"/>
      <c r="AL1045" s="342"/>
      <c r="AM1045" s="342"/>
      <c r="BD1045" s="342"/>
    </row>
    <row r="1046" spans="4:56" x14ac:dyDescent="0.2">
      <c r="D1046" s="342"/>
      <c r="F1046" s="342"/>
      <c r="G1046" s="342"/>
      <c r="H1046" s="342"/>
      <c r="I1046" s="342"/>
      <c r="J1046" s="342"/>
      <c r="L1046" s="342"/>
      <c r="M1046" s="342"/>
      <c r="R1046" s="342"/>
      <c r="AJ1046" s="342"/>
      <c r="AL1046" s="342"/>
      <c r="AM1046" s="342"/>
      <c r="BD1046" s="342"/>
    </row>
    <row r="1047" spans="4:56" x14ac:dyDescent="0.2">
      <c r="D1047" s="342"/>
      <c r="F1047" s="342"/>
      <c r="G1047" s="342"/>
      <c r="H1047" s="342"/>
      <c r="I1047" s="342"/>
      <c r="J1047" s="342"/>
      <c r="L1047" s="342"/>
      <c r="M1047" s="342"/>
      <c r="R1047" s="342"/>
      <c r="AJ1047" s="342"/>
      <c r="AL1047" s="342"/>
      <c r="AM1047" s="342"/>
      <c r="BD1047" s="342"/>
    </row>
    <row r="1048" spans="4:56" x14ac:dyDescent="0.2">
      <c r="D1048" s="342"/>
      <c r="F1048" s="342"/>
      <c r="G1048" s="342"/>
      <c r="H1048" s="342"/>
      <c r="I1048" s="342"/>
      <c r="J1048" s="342"/>
      <c r="L1048" s="342"/>
      <c r="M1048" s="342"/>
      <c r="R1048" s="342"/>
      <c r="AJ1048" s="342"/>
      <c r="AL1048" s="342"/>
      <c r="AM1048" s="342"/>
      <c r="BD1048" s="342"/>
    </row>
    <row r="1049" spans="4:56" x14ac:dyDescent="0.2">
      <c r="D1049" s="342"/>
      <c r="F1049" s="342"/>
      <c r="G1049" s="342"/>
      <c r="H1049" s="342"/>
      <c r="I1049" s="342"/>
      <c r="J1049" s="342"/>
      <c r="L1049" s="342"/>
      <c r="M1049" s="342"/>
      <c r="R1049" s="342"/>
      <c r="AJ1049" s="342"/>
      <c r="AL1049" s="342"/>
      <c r="AM1049" s="342"/>
      <c r="BD1049" s="342"/>
    </row>
    <row r="1050" spans="4:56" x14ac:dyDescent="0.2">
      <c r="D1050" s="342"/>
      <c r="F1050" s="342"/>
      <c r="G1050" s="342"/>
      <c r="H1050" s="342"/>
      <c r="I1050" s="342"/>
      <c r="J1050" s="342"/>
      <c r="L1050" s="342"/>
      <c r="M1050" s="342"/>
      <c r="R1050" s="342"/>
      <c r="AJ1050" s="342"/>
      <c r="AL1050" s="342"/>
      <c r="AM1050" s="342"/>
      <c r="BD1050" s="342"/>
    </row>
    <row r="1051" spans="4:56" x14ac:dyDescent="0.2">
      <c r="D1051" s="342"/>
      <c r="F1051" s="342"/>
      <c r="G1051" s="342"/>
      <c r="H1051" s="342"/>
      <c r="I1051" s="342"/>
      <c r="J1051" s="342"/>
      <c r="L1051" s="342"/>
      <c r="M1051" s="342"/>
      <c r="R1051" s="342"/>
      <c r="AJ1051" s="342"/>
      <c r="AL1051" s="342"/>
      <c r="AM1051" s="342"/>
      <c r="BD1051" s="342"/>
    </row>
    <row r="1052" spans="4:56" x14ac:dyDescent="0.2">
      <c r="D1052" s="342"/>
      <c r="F1052" s="342"/>
      <c r="G1052" s="342"/>
      <c r="H1052" s="342"/>
      <c r="I1052" s="342"/>
      <c r="J1052" s="342"/>
      <c r="L1052" s="342"/>
      <c r="M1052" s="342"/>
      <c r="R1052" s="342"/>
      <c r="AJ1052" s="342"/>
      <c r="AL1052" s="342"/>
      <c r="AM1052" s="342"/>
      <c r="BD1052" s="342"/>
    </row>
    <row r="1053" spans="4:56" x14ac:dyDescent="0.2">
      <c r="D1053" s="342"/>
      <c r="F1053" s="342"/>
      <c r="G1053" s="342"/>
      <c r="H1053" s="342"/>
      <c r="I1053" s="342"/>
      <c r="J1053" s="342"/>
      <c r="L1053" s="342"/>
      <c r="M1053" s="342"/>
      <c r="R1053" s="342"/>
      <c r="AJ1053" s="342"/>
      <c r="AL1053" s="342"/>
      <c r="AM1053" s="342"/>
      <c r="BD1053" s="342"/>
    </row>
    <row r="1054" spans="4:56" x14ac:dyDescent="0.2">
      <c r="D1054" s="342"/>
      <c r="F1054" s="342"/>
      <c r="G1054" s="342"/>
      <c r="H1054" s="342"/>
      <c r="I1054" s="342"/>
      <c r="J1054" s="342"/>
      <c r="L1054" s="342"/>
      <c r="M1054" s="342"/>
      <c r="R1054" s="342"/>
      <c r="AJ1054" s="342"/>
      <c r="AL1054" s="342"/>
      <c r="AM1054" s="342"/>
      <c r="BD1054" s="342"/>
    </row>
    <row r="1055" spans="4:56" x14ac:dyDescent="0.2">
      <c r="D1055" s="342"/>
      <c r="F1055" s="342"/>
      <c r="G1055" s="342"/>
      <c r="H1055" s="342"/>
      <c r="I1055" s="342"/>
      <c r="J1055" s="342"/>
      <c r="L1055" s="342"/>
      <c r="M1055" s="342"/>
      <c r="R1055" s="342"/>
      <c r="AJ1055" s="342"/>
      <c r="AL1055" s="342"/>
      <c r="AM1055" s="342"/>
      <c r="BD1055" s="342"/>
    </row>
    <row r="1056" spans="4:56" x14ac:dyDescent="0.2">
      <c r="D1056" s="342"/>
      <c r="F1056" s="342"/>
      <c r="G1056" s="342"/>
      <c r="H1056" s="342"/>
      <c r="I1056" s="342"/>
      <c r="J1056" s="342"/>
      <c r="L1056" s="342"/>
      <c r="M1056" s="342"/>
      <c r="R1056" s="342"/>
      <c r="AJ1056" s="342"/>
      <c r="AL1056" s="342"/>
      <c r="AM1056" s="342"/>
      <c r="BD1056" s="342"/>
    </row>
    <row r="1057" spans="4:56" x14ac:dyDescent="0.2">
      <c r="D1057" s="342"/>
      <c r="F1057" s="342"/>
      <c r="G1057" s="342"/>
      <c r="H1057" s="342"/>
      <c r="I1057" s="342"/>
      <c r="J1057" s="342"/>
      <c r="L1057" s="342"/>
      <c r="M1057" s="342"/>
      <c r="R1057" s="342"/>
      <c r="AJ1057" s="342"/>
      <c r="AL1057" s="342"/>
      <c r="AM1057" s="342"/>
      <c r="BD1057" s="342"/>
    </row>
    <row r="1058" spans="4:56" x14ac:dyDescent="0.2">
      <c r="D1058" s="342"/>
      <c r="F1058" s="342"/>
      <c r="G1058" s="342"/>
      <c r="H1058" s="342"/>
      <c r="I1058" s="342"/>
      <c r="J1058" s="342"/>
      <c r="L1058" s="342"/>
      <c r="M1058" s="342"/>
      <c r="R1058" s="342"/>
      <c r="AJ1058" s="342"/>
      <c r="AL1058" s="342"/>
      <c r="AM1058" s="342"/>
      <c r="BD1058" s="342"/>
    </row>
    <row r="1059" spans="4:56" x14ac:dyDescent="0.2">
      <c r="D1059" s="342"/>
      <c r="F1059" s="342"/>
      <c r="G1059" s="342"/>
      <c r="H1059" s="342"/>
      <c r="I1059" s="342"/>
      <c r="J1059" s="342"/>
      <c r="L1059" s="342"/>
      <c r="M1059" s="342"/>
      <c r="R1059" s="342"/>
      <c r="AJ1059" s="342"/>
      <c r="AL1059" s="342"/>
      <c r="AM1059" s="342"/>
      <c r="BD1059" s="342"/>
    </row>
    <row r="1060" spans="4:56" x14ac:dyDescent="0.2">
      <c r="D1060" s="342"/>
      <c r="F1060" s="342"/>
      <c r="G1060" s="342"/>
      <c r="H1060" s="342"/>
      <c r="I1060" s="342"/>
      <c r="J1060" s="342"/>
      <c r="L1060" s="342"/>
      <c r="M1060" s="342"/>
      <c r="R1060" s="342"/>
      <c r="AJ1060" s="342"/>
      <c r="AL1060" s="342"/>
      <c r="AM1060" s="342"/>
      <c r="BD1060" s="342"/>
    </row>
    <row r="1061" spans="4:56" x14ac:dyDescent="0.2">
      <c r="D1061" s="342"/>
      <c r="F1061" s="342"/>
      <c r="G1061" s="342"/>
      <c r="H1061" s="342"/>
      <c r="I1061" s="342"/>
      <c r="J1061" s="342"/>
      <c r="L1061" s="342"/>
      <c r="M1061" s="342"/>
      <c r="R1061" s="342"/>
      <c r="AJ1061" s="342"/>
      <c r="AL1061" s="342"/>
      <c r="AM1061" s="342"/>
      <c r="BD1061" s="342"/>
    </row>
    <row r="1062" spans="4:56" x14ac:dyDescent="0.2">
      <c r="D1062" s="342"/>
      <c r="F1062" s="342"/>
      <c r="G1062" s="342"/>
      <c r="H1062" s="342"/>
      <c r="I1062" s="342"/>
      <c r="J1062" s="342"/>
      <c r="L1062" s="342"/>
      <c r="M1062" s="342"/>
      <c r="R1062" s="342"/>
      <c r="AJ1062" s="342"/>
      <c r="AL1062" s="342"/>
      <c r="AM1062" s="342"/>
      <c r="BD1062" s="342"/>
    </row>
    <row r="1063" spans="4:56" x14ac:dyDescent="0.2">
      <c r="D1063" s="342"/>
      <c r="F1063" s="342"/>
      <c r="G1063" s="342"/>
      <c r="H1063" s="342"/>
      <c r="I1063" s="342"/>
      <c r="J1063" s="342"/>
      <c r="L1063" s="342"/>
      <c r="M1063" s="342"/>
      <c r="R1063" s="342"/>
      <c r="AJ1063" s="342"/>
      <c r="AL1063" s="342"/>
      <c r="AM1063" s="342"/>
      <c r="BD1063" s="342"/>
    </row>
    <row r="1064" spans="4:56" x14ac:dyDescent="0.2">
      <c r="D1064" s="342"/>
      <c r="F1064" s="342"/>
      <c r="G1064" s="342"/>
      <c r="H1064" s="342"/>
      <c r="I1064" s="342"/>
      <c r="J1064" s="342"/>
      <c r="L1064" s="342"/>
      <c r="M1064" s="342"/>
      <c r="R1064" s="342"/>
      <c r="AJ1064" s="342"/>
      <c r="AL1064" s="342"/>
      <c r="AM1064" s="342"/>
      <c r="BD1064" s="342"/>
    </row>
    <row r="1065" spans="4:56" x14ac:dyDescent="0.2">
      <c r="D1065" s="342"/>
      <c r="F1065" s="342"/>
      <c r="G1065" s="342"/>
      <c r="H1065" s="342"/>
      <c r="I1065" s="342"/>
      <c r="J1065" s="342"/>
      <c r="L1065" s="342"/>
      <c r="M1065" s="342"/>
      <c r="R1065" s="342"/>
      <c r="AJ1065" s="342"/>
      <c r="AL1065" s="342"/>
      <c r="AM1065" s="342"/>
      <c r="BD1065" s="342"/>
    </row>
    <row r="1066" spans="4:56" x14ac:dyDescent="0.2">
      <c r="D1066" s="342"/>
      <c r="F1066" s="342"/>
      <c r="G1066" s="342"/>
      <c r="H1066" s="342"/>
      <c r="I1066" s="342"/>
      <c r="J1066" s="342"/>
      <c r="L1066" s="342"/>
      <c r="M1066" s="342"/>
      <c r="R1066" s="342"/>
      <c r="AJ1066" s="342"/>
      <c r="AL1066" s="342"/>
      <c r="AM1066" s="342"/>
      <c r="BD1066" s="342"/>
    </row>
    <row r="1067" spans="4:56" x14ac:dyDescent="0.2">
      <c r="D1067" s="342"/>
      <c r="F1067" s="342"/>
      <c r="G1067" s="342"/>
      <c r="H1067" s="342"/>
      <c r="I1067" s="342"/>
      <c r="J1067" s="342"/>
      <c r="L1067" s="342"/>
      <c r="M1067" s="342"/>
      <c r="R1067" s="342"/>
      <c r="AJ1067" s="342"/>
      <c r="AL1067" s="342"/>
      <c r="AM1067" s="342"/>
      <c r="BD1067" s="342"/>
    </row>
    <row r="1068" spans="4:56" x14ac:dyDescent="0.2">
      <c r="D1068" s="342"/>
      <c r="F1068" s="342"/>
      <c r="G1068" s="342"/>
      <c r="H1068" s="342"/>
      <c r="I1068" s="342"/>
      <c r="J1068" s="342"/>
      <c r="L1068" s="342"/>
      <c r="M1068" s="342"/>
      <c r="R1068" s="342"/>
      <c r="AJ1068" s="342"/>
      <c r="AL1068" s="342"/>
      <c r="AM1068" s="342"/>
      <c r="BD1068" s="342"/>
    </row>
    <row r="1069" spans="4:56" x14ac:dyDescent="0.2">
      <c r="D1069" s="342"/>
      <c r="F1069" s="342"/>
      <c r="G1069" s="342"/>
      <c r="H1069" s="342"/>
      <c r="I1069" s="342"/>
      <c r="J1069" s="342"/>
      <c r="L1069" s="342"/>
      <c r="M1069" s="342"/>
      <c r="R1069" s="342"/>
      <c r="AJ1069" s="342"/>
      <c r="AL1069" s="342"/>
      <c r="AM1069" s="342"/>
      <c r="BD1069" s="342"/>
    </row>
    <row r="1070" spans="4:56" x14ac:dyDescent="0.2">
      <c r="D1070" s="342"/>
      <c r="F1070" s="342"/>
      <c r="G1070" s="342"/>
      <c r="H1070" s="342"/>
      <c r="I1070" s="342"/>
      <c r="J1070" s="342"/>
      <c r="L1070" s="342"/>
      <c r="M1070" s="342"/>
      <c r="R1070" s="342"/>
      <c r="AJ1070" s="342"/>
      <c r="AL1070" s="342"/>
      <c r="AM1070" s="342"/>
      <c r="BD1070" s="342"/>
    </row>
    <row r="1071" spans="4:56" x14ac:dyDescent="0.2">
      <c r="D1071" s="342"/>
      <c r="F1071" s="342"/>
      <c r="G1071" s="342"/>
      <c r="H1071" s="342"/>
      <c r="I1071" s="342"/>
      <c r="J1071" s="342"/>
      <c r="L1071" s="342"/>
      <c r="M1071" s="342"/>
      <c r="R1071" s="342"/>
      <c r="AJ1071" s="342"/>
      <c r="AL1071" s="342"/>
      <c r="AM1071" s="342"/>
      <c r="BD1071" s="342"/>
    </row>
    <row r="1072" spans="4:56" x14ac:dyDescent="0.2">
      <c r="D1072" s="342"/>
      <c r="F1072" s="342"/>
      <c r="G1072" s="342"/>
      <c r="H1072" s="342"/>
      <c r="I1072" s="342"/>
      <c r="J1072" s="342"/>
      <c r="L1072" s="342"/>
      <c r="M1072" s="342"/>
      <c r="R1072" s="342"/>
      <c r="AJ1072" s="342"/>
      <c r="AL1072" s="342"/>
      <c r="AM1072" s="342"/>
      <c r="BD1072" s="342"/>
    </row>
    <row r="1073" spans="4:56" x14ac:dyDescent="0.2">
      <c r="D1073" s="342"/>
      <c r="F1073" s="342"/>
      <c r="G1073" s="342"/>
      <c r="H1073" s="342"/>
      <c r="I1073" s="342"/>
      <c r="J1073" s="342"/>
      <c r="L1073" s="342"/>
      <c r="M1073" s="342"/>
      <c r="R1073" s="342"/>
      <c r="AJ1073" s="342"/>
      <c r="AL1073" s="342"/>
      <c r="AM1073" s="342"/>
      <c r="BD1073" s="342"/>
    </row>
    <row r="1074" spans="4:56" x14ac:dyDescent="0.2">
      <c r="D1074" s="342"/>
      <c r="F1074" s="342"/>
      <c r="G1074" s="342"/>
      <c r="H1074" s="342"/>
      <c r="I1074" s="342"/>
      <c r="J1074" s="342"/>
      <c r="L1074" s="342"/>
      <c r="M1074" s="342"/>
      <c r="R1074" s="342"/>
      <c r="AJ1074" s="342"/>
      <c r="AL1074" s="342"/>
      <c r="AM1074" s="342"/>
      <c r="BD1074" s="342"/>
    </row>
    <row r="1075" spans="4:56" x14ac:dyDescent="0.2">
      <c r="D1075" s="342"/>
      <c r="F1075" s="342"/>
      <c r="G1075" s="342"/>
      <c r="H1075" s="342"/>
      <c r="I1075" s="342"/>
      <c r="J1075" s="342"/>
      <c r="L1075" s="342"/>
      <c r="M1075" s="342"/>
      <c r="R1075" s="342"/>
      <c r="AJ1075" s="342"/>
      <c r="AL1075" s="342"/>
      <c r="AM1075" s="342"/>
      <c r="BD1075" s="342"/>
    </row>
    <row r="1076" spans="4:56" x14ac:dyDescent="0.2">
      <c r="D1076" s="342"/>
      <c r="F1076" s="342"/>
      <c r="G1076" s="342"/>
      <c r="H1076" s="342"/>
      <c r="I1076" s="342"/>
      <c r="J1076" s="342"/>
      <c r="L1076" s="342"/>
      <c r="M1076" s="342"/>
      <c r="R1076" s="342"/>
      <c r="AJ1076" s="342"/>
      <c r="AL1076" s="342"/>
      <c r="AM1076" s="342"/>
      <c r="BD1076" s="342"/>
    </row>
    <row r="1077" spans="4:56" x14ac:dyDescent="0.2">
      <c r="D1077" s="342"/>
      <c r="F1077" s="342"/>
      <c r="G1077" s="342"/>
      <c r="H1077" s="342"/>
      <c r="I1077" s="342"/>
      <c r="J1077" s="342"/>
      <c r="L1077" s="342"/>
      <c r="M1077" s="342"/>
      <c r="R1077" s="342"/>
      <c r="AJ1077" s="342"/>
      <c r="AL1077" s="342"/>
      <c r="AM1077" s="342"/>
      <c r="BD1077" s="342"/>
    </row>
    <row r="1078" spans="4:56" x14ac:dyDescent="0.2">
      <c r="D1078" s="342"/>
      <c r="F1078" s="342"/>
      <c r="G1078" s="342"/>
      <c r="H1078" s="342"/>
      <c r="I1078" s="342"/>
      <c r="J1078" s="342"/>
      <c r="L1078" s="342"/>
      <c r="M1078" s="342"/>
      <c r="R1078" s="342"/>
      <c r="AJ1078" s="342"/>
      <c r="AL1078" s="342"/>
      <c r="AM1078" s="342"/>
      <c r="BD1078" s="342"/>
    </row>
    <row r="1079" spans="4:56" x14ac:dyDescent="0.2">
      <c r="D1079" s="342"/>
      <c r="F1079" s="342"/>
      <c r="G1079" s="342"/>
      <c r="H1079" s="342"/>
      <c r="I1079" s="342"/>
      <c r="J1079" s="342"/>
      <c r="L1079" s="342"/>
      <c r="M1079" s="342"/>
      <c r="R1079" s="342"/>
      <c r="AJ1079" s="342"/>
      <c r="AL1079" s="342"/>
      <c r="AM1079" s="342"/>
      <c r="BD1079" s="342"/>
    </row>
    <row r="1080" spans="4:56" x14ac:dyDescent="0.2">
      <c r="D1080" s="342"/>
      <c r="F1080" s="342"/>
      <c r="G1080" s="342"/>
      <c r="H1080" s="342"/>
      <c r="I1080" s="342"/>
      <c r="J1080" s="342"/>
      <c r="L1080" s="342"/>
      <c r="M1080" s="342"/>
      <c r="R1080" s="342"/>
      <c r="AJ1080" s="342"/>
      <c r="AL1080" s="342"/>
      <c r="AM1080" s="342"/>
      <c r="BD1080" s="342"/>
    </row>
    <row r="1081" spans="4:56" x14ac:dyDescent="0.2">
      <c r="D1081" s="342"/>
      <c r="F1081" s="342"/>
      <c r="G1081" s="342"/>
      <c r="H1081" s="342"/>
      <c r="I1081" s="342"/>
      <c r="J1081" s="342"/>
      <c r="L1081" s="342"/>
      <c r="M1081" s="342"/>
      <c r="R1081" s="342"/>
      <c r="AJ1081" s="342"/>
      <c r="AL1081" s="342"/>
      <c r="AM1081" s="342"/>
      <c r="BD1081" s="342"/>
    </row>
    <row r="1082" spans="4:56" x14ac:dyDescent="0.2">
      <c r="D1082" s="342"/>
      <c r="F1082" s="342"/>
      <c r="G1082" s="342"/>
      <c r="H1082" s="342"/>
      <c r="I1082" s="342"/>
      <c r="J1082" s="342"/>
      <c r="L1082" s="342"/>
      <c r="M1082" s="342"/>
      <c r="R1082" s="342"/>
      <c r="AJ1082" s="342"/>
      <c r="AL1082" s="342"/>
      <c r="AM1082" s="342"/>
      <c r="BD1082" s="342"/>
    </row>
    <row r="1083" spans="4:56" x14ac:dyDescent="0.2">
      <c r="D1083" s="342"/>
      <c r="F1083" s="342"/>
      <c r="G1083" s="342"/>
      <c r="H1083" s="342"/>
      <c r="I1083" s="342"/>
      <c r="J1083" s="342"/>
      <c r="L1083" s="342"/>
      <c r="M1083" s="342"/>
      <c r="R1083" s="342"/>
      <c r="AJ1083" s="342"/>
      <c r="AL1083" s="342"/>
      <c r="AM1083" s="342"/>
      <c r="BD1083" s="342"/>
    </row>
    <row r="1084" spans="4:56" x14ac:dyDescent="0.2">
      <c r="D1084" s="342"/>
      <c r="F1084" s="342"/>
      <c r="G1084" s="342"/>
      <c r="H1084" s="342"/>
      <c r="I1084" s="342"/>
      <c r="J1084" s="342"/>
      <c r="L1084" s="342"/>
      <c r="M1084" s="342"/>
      <c r="R1084" s="342"/>
      <c r="AJ1084" s="342"/>
      <c r="AL1084" s="342"/>
      <c r="AM1084" s="342"/>
      <c r="BD1084" s="342"/>
    </row>
    <row r="1085" spans="4:56" x14ac:dyDescent="0.2">
      <c r="D1085" s="342"/>
      <c r="F1085" s="342"/>
      <c r="G1085" s="342"/>
      <c r="H1085" s="342"/>
      <c r="I1085" s="342"/>
      <c r="J1085" s="342"/>
      <c r="L1085" s="342"/>
      <c r="M1085" s="342"/>
      <c r="R1085" s="342"/>
      <c r="AJ1085" s="342"/>
      <c r="AL1085" s="342"/>
      <c r="AM1085" s="342"/>
      <c r="BD1085" s="342"/>
    </row>
    <row r="1086" spans="4:56" x14ac:dyDescent="0.2">
      <c r="D1086" s="342"/>
      <c r="F1086" s="342"/>
      <c r="G1086" s="342"/>
      <c r="H1086" s="342"/>
      <c r="I1086" s="342"/>
      <c r="J1086" s="342"/>
      <c r="L1086" s="342"/>
      <c r="M1086" s="342"/>
      <c r="R1086" s="342"/>
      <c r="AJ1086" s="342"/>
      <c r="AL1086" s="342"/>
      <c r="AM1086" s="342"/>
      <c r="BD1086" s="342"/>
    </row>
    <row r="1087" spans="4:56" x14ac:dyDescent="0.2">
      <c r="D1087" s="342"/>
      <c r="F1087" s="342"/>
      <c r="G1087" s="342"/>
      <c r="H1087" s="342"/>
      <c r="I1087" s="342"/>
      <c r="J1087" s="342"/>
      <c r="L1087" s="342"/>
      <c r="M1087" s="342"/>
      <c r="R1087" s="342"/>
      <c r="AJ1087" s="342"/>
      <c r="AL1087" s="342"/>
      <c r="AM1087" s="342"/>
      <c r="BD1087" s="342"/>
    </row>
    <row r="1088" spans="4:56" x14ac:dyDescent="0.2">
      <c r="D1088" s="342"/>
      <c r="F1088" s="342"/>
      <c r="G1088" s="342"/>
      <c r="H1088" s="342"/>
      <c r="I1088" s="342"/>
      <c r="J1088" s="342"/>
      <c r="L1088" s="342"/>
      <c r="M1088" s="342"/>
      <c r="R1088" s="342"/>
      <c r="AJ1088" s="342"/>
      <c r="AL1088" s="342"/>
      <c r="AM1088" s="342"/>
      <c r="BD1088" s="342"/>
    </row>
    <row r="1089" spans="4:56" x14ac:dyDescent="0.2">
      <c r="D1089" s="342"/>
      <c r="F1089" s="342"/>
      <c r="G1089" s="342"/>
      <c r="H1089" s="342"/>
      <c r="I1089" s="342"/>
      <c r="J1089" s="342"/>
      <c r="L1089" s="342"/>
      <c r="M1089" s="342"/>
      <c r="R1089" s="342"/>
      <c r="AJ1089" s="342"/>
      <c r="AL1089" s="342"/>
      <c r="AM1089" s="342"/>
      <c r="BD1089" s="342"/>
    </row>
    <row r="1090" spans="4:56" x14ac:dyDescent="0.2">
      <c r="D1090" s="342"/>
      <c r="F1090" s="342"/>
      <c r="G1090" s="342"/>
      <c r="H1090" s="342"/>
      <c r="I1090" s="342"/>
      <c r="J1090" s="342"/>
      <c r="L1090" s="342"/>
      <c r="M1090" s="342"/>
      <c r="R1090" s="342"/>
      <c r="AJ1090" s="342"/>
      <c r="AL1090" s="342"/>
      <c r="AM1090" s="342"/>
      <c r="BD1090" s="342"/>
    </row>
    <row r="1091" spans="4:56" x14ac:dyDescent="0.2">
      <c r="D1091" s="342"/>
      <c r="F1091" s="342"/>
      <c r="G1091" s="342"/>
      <c r="H1091" s="342"/>
      <c r="I1091" s="342"/>
      <c r="J1091" s="342"/>
      <c r="L1091" s="342"/>
      <c r="M1091" s="342"/>
      <c r="R1091" s="342"/>
      <c r="AJ1091" s="342"/>
      <c r="AL1091" s="342"/>
      <c r="AM1091" s="342"/>
      <c r="BD1091" s="342"/>
    </row>
    <row r="1092" spans="4:56" x14ac:dyDescent="0.2">
      <c r="D1092" s="342"/>
      <c r="F1092" s="342"/>
      <c r="G1092" s="342"/>
      <c r="H1092" s="342"/>
      <c r="I1092" s="342"/>
      <c r="J1092" s="342"/>
      <c r="L1092" s="342"/>
      <c r="M1092" s="342"/>
      <c r="R1092" s="342"/>
      <c r="AJ1092" s="342"/>
      <c r="AL1092" s="342"/>
      <c r="AM1092" s="342"/>
      <c r="BD1092" s="342"/>
    </row>
    <row r="1093" spans="4:56" x14ac:dyDescent="0.2">
      <c r="D1093" s="342"/>
      <c r="F1093" s="342"/>
      <c r="G1093" s="342"/>
      <c r="H1093" s="342"/>
      <c r="I1093" s="342"/>
      <c r="J1093" s="342"/>
      <c r="L1093" s="342"/>
      <c r="M1093" s="342"/>
      <c r="R1093" s="342"/>
      <c r="AJ1093" s="342"/>
      <c r="AL1093" s="342"/>
      <c r="AM1093" s="342"/>
      <c r="BD1093" s="342"/>
    </row>
    <row r="1094" spans="4:56" x14ac:dyDescent="0.2">
      <c r="D1094" s="342"/>
      <c r="F1094" s="342"/>
      <c r="G1094" s="342"/>
      <c r="H1094" s="342"/>
      <c r="I1094" s="342"/>
      <c r="J1094" s="342"/>
      <c r="L1094" s="342"/>
      <c r="M1094" s="342"/>
      <c r="R1094" s="342"/>
      <c r="AJ1094" s="342"/>
      <c r="AL1094" s="342"/>
      <c r="AM1094" s="342"/>
      <c r="BD1094" s="342"/>
    </row>
    <row r="1095" spans="4:56" x14ac:dyDescent="0.2">
      <c r="D1095" s="342"/>
      <c r="F1095" s="342"/>
      <c r="G1095" s="342"/>
      <c r="H1095" s="342"/>
      <c r="I1095" s="342"/>
      <c r="J1095" s="342"/>
      <c r="L1095" s="342"/>
      <c r="M1095" s="342"/>
      <c r="R1095" s="342"/>
      <c r="AJ1095" s="342"/>
      <c r="AL1095" s="342"/>
      <c r="AM1095" s="342"/>
      <c r="BD1095" s="342"/>
    </row>
    <row r="1096" spans="4:56" x14ac:dyDescent="0.2">
      <c r="D1096" s="342"/>
      <c r="F1096" s="342"/>
      <c r="G1096" s="342"/>
      <c r="H1096" s="342"/>
      <c r="I1096" s="342"/>
      <c r="J1096" s="342"/>
      <c r="L1096" s="342"/>
      <c r="M1096" s="342"/>
      <c r="R1096" s="342"/>
      <c r="AJ1096" s="342"/>
      <c r="AL1096" s="342"/>
      <c r="AM1096" s="342"/>
      <c r="BD1096" s="342"/>
    </row>
    <row r="1097" spans="4:56" x14ac:dyDescent="0.2">
      <c r="D1097" s="342"/>
      <c r="F1097" s="342"/>
      <c r="G1097" s="342"/>
      <c r="H1097" s="342"/>
      <c r="I1097" s="342"/>
      <c r="J1097" s="342"/>
      <c r="L1097" s="342"/>
      <c r="M1097" s="342"/>
      <c r="R1097" s="342"/>
      <c r="AJ1097" s="342"/>
      <c r="AL1097" s="342"/>
      <c r="AM1097" s="342"/>
      <c r="BD1097" s="342"/>
    </row>
    <row r="1098" spans="4:56" x14ac:dyDescent="0.2">
      <c r="D1098" s="342"/>
      <c r="F1098" s="342"/>
      <c r="G1098" s="342"/>
      <c r="H1098" s="342"/>
      <c r="I1098" s="342"/>
      <c r="J1098" s="342"/>
      <c r="L1098" s="342"/>
      <c r="M1098" s="342"/>
      <c r="R1098" s="342"/>
      <c r="AJ1098" s="342"/>
      <c r="AL1098" s="342"/>
      <c r="AM1098" s="342"/>
      <c r="BD1098" s="342"/>
    </row>
    <row r="1099" spans="4:56" x14ac:dyDescent="0.2">
      <c r="D1099" s="342"/>
      <c r="F1099" s="342"/>
      <c r="G1099" s="342"/>
      <c r="H1099" s="342"/>
      <c r="I1099" s="342"/>
      <c r="J1099" s="342"/>
      <c r="L1099" s="342"/>
      <c r="M1099" s="342"/>
      <c r="R1099" s="342"/>
      <c r="AJ1099" s="342"/>
      <c r="AL1099" s="342"/>
      <c r="AM1099" s="342"/>
      <c r="BD1099" s="342"/>
    </row>
    <row r="1100" spans="4:56" x14ac:dyDescent="0.2">
      <c r="D1100" s="342"/>
      <c r="F1100" s="342"/>
      <c r="G1100" s="342"/>
      <c r="H1100" s="342"/>
      <c r="I1100" s="342"/>
      <c r="J1100" s="342"/>
      <c r="L1100" s="342"/>
      <c r="M1100" s="342"/>
      <c r="R1100" s="342"/>
      <c r="AJ1100" s="342"/>
      <c r="AL1100" s="342"/>
      <c r="AM1100" s="342"/>
      <c r="BD1100" s="342"/>
    </row>
    <row r="1101" spans="4:56" x14ac:dyDescent="0.2">
      <c r="D1101" s="342"/>
      <c r="F1101" s="342"/>
      <c r="G1101" s="342"/>
      <c r="H1101" s="342"/>
      <c r="I1101" s="342"/>
      <c r="J1101" s="342"/>
      <c r="L1101" s="342"/>
      <c r="M1101" s="342"/>
      <c r="R1101" s="342"/>
      <c r="AJ1101" s="342"/>
      <c r="AL1101" s="342"/>
      <c r="AM1101" s="342"/>
      <c r="BD1101" s="342"/>
    </row>
    <row r="1102" spans="4:56" x14ac:dyDescent="0.2">
      <c r="D1102" s="342"/>
      <c r="F1102" s="342"/>
      <c r="G1102" s="342"/>
      <c r="H1102" s="342"/>
      <c r="I1102" s="342"/>
      <c r="J1102" s="342"/>
      <c r="L1102" s="342"/>
      <c r="M1102" s="342"/>
      <c r="R1102" s="342"/>
      <c r="AJ1102" s="342"/>
      <c r="AL1102" s="342"/>
      <c r="AM1102" s="342"/>
      <c r="BD1102" s="342"/>
    </row>
    <row r="1103" spans="4:56" x14ac:dyDescent="0.2">
      <c r="D1103" s="342"/>
      <c r="F1103" s="342"/>
      <c r="G1103" s="342"/>
      <c r="H1103" s="342"/>
      <c r="I1103" s="342"/>
      <c r="J1103" s="342"/>
      <c r="L1103" s="342"/>
      <c r="M1103" s="342"/>
      <c r="R1103" s="342"/>
      <c r="AJ1103" s="342"/>
      <c r="AL1103" s="342"/>
      <c r="AM1103" s="342"/>
      <c r="BD1103" s="342"/>
    </row>
    <row r="1104" spans="4:56" x14ac:dyDescent="0.2">
      <c r="D1104" s="342"/>
      <c r="F1104" s="342"/>
      <c r="G1104" s="342"/>
      <c r="H1104" s="342"/>
      <c r="I1104" s="342"/>
      <c r="J1104" s="342"/>
      <c r="L1104" s="342"/>
      <c r="M1104" s="342"/>
      <c r="R1104" s="342"/>
      <c r="AJ1104" s="342"/>
      <c r="AL1104" s="342"/>
      <c r="AM1104" s="342"/>
      <c r="BD1104" s="342"/>
    </row>
    <row r="1105" spans="4:56" x14ac:dyDescent="0.2">
      <c r="D1105" s="342"/>
      <c r="F1105" s="342"/>
      <c r="G1105" s="342"/>
      <c r="H1105" s="342"/>
      <c r="I1105" s="342"/>
      <c r="J1105" s="342"/>
      <c r="L1105" s="342"/>
      <c r="M1105" s="342"/>
      <c r="R1105" s="342"/>
      <c r="AJ1105" s="342"/>
      <c r="AL1105" s="342"/>
      <c r="AM1105" s="342"/>
      <c r="BD1105" s="342"/>
    </row>
    <row r="1106" spans="4:56" x14ac:dyDescent="0.2">
      <c r="D1106" s="342"/>
      <c r="F1106" s="342"/>
      <c r="G1106" s="342"/>
      <c r="H1106" s="342"/>
      <c r="I1106" s="342"/>
      <c r="J1106" s="342"/>
      <c r="L1106" s="342"/>
      <c r="M1106" s="342"/>
      <c r="R1106" s="342"/>
      <c r="AJ1106" s="342"/>
      <c r="AL1106" s="342"/>
      <c r="AM1106" s="342"/>
      <c r="BD1106" s="342"/>
    </row>
    <row r="1107" spans="4:56" x14ac:dyDescent="0.2">
      <c r="D1107" s="342"/>
      <c r="F1107" s="342"/>
      <c r="G1107" s="342"/>
      <c r="H1107" s="342"/>
      <c r="I1107" s="342"/>
      <c r="J1107" s="342"/>
      <c r="L1107" s="342"/>
      <c r="M1107" s="342"/>
      <c r="R1107" s="342"/>
      <c r="AJ1107" s="342"/>
      <c r="AL1107" s="342"/>
      <c r="AM1107" s="342"/>
      <c r="BD1107" s="342"/>
    </row>
    <row r="1108" spans="4:56" x14ac:dyDescent="0.2">
      <c r="D1108" s="342"/>
      <c r="F1108" s="342"/>
      <c r="G1108" s="342"/>
      <c r="H1108" s="342"/>
      <c r="I1108" s="342"/>
      <c r="J1108" s="342"/>
      <c r="L1108" s="342"/>
      <c r="M1108" s="342"/>
      <c r="R1108" s="342"/>
      <c r="AJ1108" s="342"/>
      <c r="AL1108" s="342"/>
      <c r="AM1108" s="342"/>
      <c r="BD1108" s="342"/>
    </row>
    <row r="1109" spans="4:56" x14ac:dyDescent="0.2">
      <c r="D1109" s="342"/>
      <c r="F1109" s="342"/>
      <c r="G1109" s="342"/>
      <c r="H1109" s="342"/>
      <c r="I1109" s="342"/>
      <c r="J1109" s="342"/>
      <c r="L1109" s="342"/>
      <c r="M1109" s="342"/>
      <c r="R1109" s="342"/>
      <c r="AJ1109" s="342"/>
      <c r="AL1109" s="342"/>
      <c r="AM1109" s="342"/>
      <c r="BD1109" s="342"/>
    </row>
    <row r="1110" spans="4:56" x14ac:dyDescent="0.2">
      <c r="D1110" s="342"/>
      <c r="F1110" s="342"/>
      <c r="G1110" s="342"/>
      <c r="H1110" s="342"/>
      <c r="I1110" s="342"/>
      <c r="J1110" s="342"/>
      <c r="L1110" s="342"/>
      <c r="M1110" s="342"/>
      <c r="R1110" s="342"/>
      <c r="AJ1110" s="342"/>
      <c r="AL1110" s="342"/>
      <c r="AM1110" s="342"/>
      <c r="BD1110" s="342"/>
    </row>
    <row r="1111" spans="4:56" x14ac:dyDescent="0.2">
      <c r="D1111" s="342"/>
      <c r="F1111" s="342"/>
      <c r="G1111" s="342"/>
      <c r="H1111" s="342"/>
      <c r="I1111" s="342"/>
      <c r="J1111" s="342"/>
      <c r="L1111" s="342"/>
      <c r="M1111" s="342"/>
      <c r="R1111" s="342"/>
      <c r="AJ1111" s="342"/>
      <c r="AL1111" s="342"/>
      <c r="AM1111" s="342"/>
      <c r="BD1111" s="342"/>
    </row>
    <row r="1112" spans="4:56" x14ac:dyDescent="0.2">
      <c r="D1112" s="342"/>
      <c r="F1112" s="342"/>
      <c r="G1112" s="342"/>
      <c r="H1112" s="342"/>
      <c r="I1112" s="342"/>
      <c r="J1112" s="342"/>
      <c r="L1112" s="342"/>
      <c r="M1112" s="342"/>
      <c r="R1112" s="342"/>
      <c r="AJ1112" s="342"/>
      <c r="AL1112" s="342"/>
      <c r="AM1112" s="342"/>
      <c r="BD1112" s="342"/>
    </row>
    <row r="1113" spans="4:56" x14ac:dyDescent="0.2">
      <c r="D1113" s="342"/>
      <c r="F1113" s="342"/>
      <c r="G1113" s="342"/>
      <c r="H1113" s="342"/>
      <c r="I1113" s="342"/>
      <c r="J1113" s="342"/>
      <c r="L1113" s="342"/>
      <c r="M1113" s="342"/>
      <c r="R1113" s="342"/>
      <c r="AJ1113" s="342"/>
      <c r="AL1113" s="342"/>
      <c r="AM1113" s="342"/>
      <c r="BD1113" s="342"/>
    </row>
    <row r="1114" spans="4:56" x14ac:dyDescent="0.2">
      <c r="D1114" s="342"/>
      <c r="F1114" s="342"/>
      <c r="G1114" s="342"/>
      <c r="H1114" s="342"/>
      <c r="I1114" s="342"/>
      <c r="J1114" s="342"/>
      <c r="L1114" s="342"/>
      <c r="M1114" s="342"/>
      <c r="R1114" s="342"/>
      <c r="AJ1114" s="342"/>
      <c r="AL1114" s="342"/>
      <c r="AM1114" s="342"/>
      <c r="BD1114" s="342"/>
    </row>
    <row r="1115" spans="4:56" x14ac:dyDescent="0.2">
      <c r="D1115" s="342"/>
      <c r="F1115" s="342"/>
      <c r="G1115" s="342"/>
      <c r="H1115" s="342"/>
      <c r="I1115" s="342"/>
      <c r="J1115" s="342"/>
      <c r="L1115" s="342"/>
      <c r="M1115" s="342"/>
      <c r="R1115" s="342"/>
      <c r="AJ1115" s="342"/>
      <c r="AL1115" s="342"/>
      <c r="AM1115" s="342"/>
      <c r="BD1115" s="342"/>
    </row>
    <row r="1116" spans="4:56" x14ac:dyDescent="0.2">
      <c r="D1116" s="342"/>
      <c r="F1116" s="342"/>
      <c r="G1116" s="342"/>
      <c r="H1116" s="342"/>
      <c r="I1116" s="342"/>
      <c r="J1116" s="342"/>
      <c r="L1116" s="342"/>
      <c r="M1116" s="342"/>
      <c r="R1116" s="342"/>
      <c r="AJ1116" s="342"/>
      <c r="AL1116" s="342"/>
      <c r="AM1116" s="342"/>
      <c r="BD1116" s="342"/>
    </row>
    <row r="1117" spans="4:56" x14ac:dyDescent="0.2">
      <c r="D1117" s="342"/>
      <c r="F1117" s="342"/>
      <c r="G1117" s="342"/>
      <c r="H1117" s="342"/>
      <c r="I1117" s="342"/>
      <c r="J1117" s="342"/>
      <c r="L1117" s="342"/>
      <c r="M1117" s="342"/>
      <c r="R1117" s="342"/>
      <c r="AJ1117" s="342"/>
      <c r="AL1117" s="342"/>
      <c r="AM1117" s="342"/>
      <c r="BD1117" s="342"/>
    </row>
    <row r="1118" spans="4:56" x14ac:dyDescent="0.2">
      <c r="D1118" s="342"/>
      <c r="F1118" s="342"/>
      <c r="G1118" s="342"/>
      <c r="H1118" s="342"/>
      <c r="I1118" s="342"/>
      <c r="J1118" s="342"/>
      <c r="L1118" s="342"/>
      <c r="M1118" s="342"/>
      <c r="R1118" s="342"/>
      <c r="AJ1118" s="342"/>
      <c r="AL1118" s="342"/>
      <c r="AM1118" s="342"/>
      <c r="BD1118" s="342"/>
    </row>
    <row r="1119" spans="4:56" x14ac:dyDescent="0.2">
      <c r="D1119" s="342"/>
      <c r="F1119" s="342"/>
      <c r="G1119" s="342"/>
      <c r="H1119" s="342"/>
      <c r="I1119" s="342"/>
      <c r="J1119" s="342"/>
      <c r="L1119" s="342"/>
      <c r="M1119" s="342"/>
      <c r="R1119" s="342"/>
      <c r="AJ1119" s="342"/>
      <c r="AL1119" s="342"/>
      <c r="AM1119" s="342"/>
      <c r="BD1119" s="342"/>
    </row>
    <row r="1120" spans="4:56" x14ac:dyDescent="0.2">
      <c r="D1120" s="342"/>
      <c r="F1120" s="342"/>
      <c r="G1120" s="342"/>
      <c r="H1120" s="342"/>
      <c r="I1120" s="342"/>
      <c r="J1120" s="342"/>
      <c r="L1120" s="342"/>
      <c r="M1120" s="342"/>
      <c r="R1120" s="342"/>
      <c r="AJ1120" s="342"/>
      <c r="AL1120" s="342"/>
      <c r="AM1120" s="342"/>
      <c r="BD1120" s="342"/>
    </row>
    <row r="1121" spans="4:56" x14ac:dyDescent="0.2">
      <c r="D1121" s="342"/>
      <c r="F1121" s="342"/>
      <c r="G1121" s="342"/>
      <c r="H1121" s="342"/>
      <c r="I1121" s="342"/>
      <c r="J1121" s="342"/>
      <c r="L1121" s="342"/>
      <c r="M1121" s="342"/>
      <c r="R1121" s="342"/>
      <c r="AJ1121" s="342"/>
      <c r="AL1121" s="342"/>
      <c r="AM1121" s="342"/>
      <c r="BD1121" s="342"/>
    </row>
    <row r="1122" spans="4:56" x14ac:dyDescent="0.2">
      <c r="D1122" s="342"/>
      <c r="F1122" s="342"/>
      <c r="G1122" s="342"/>
      <c r="H1122" s="342"/>
      <c r="I1122" s="342"/>
      <c r="J1122" s="342"/>
      <c r="L1122" s="342"/>
      <c r="M1122" s="342"/>
      <c r="R1122" s="342"/>
      <c r="AJ1122" s="342"/>
      <c r="AL1122" s="342"/>
      <c r="AM1122" s="342"/>
      <c r="BD1122" s="342"/>
    </row>
    <row r="1123" spans="4:56" x14ac:dyDescent="0.2">
      <c r="D1123" s="342"/>
      <c r="F1123" s="342"/>
      <c r="G1123" s="342"/>
      <c r="H1123" s="342"/>
      <c r="I1123" s="342"/>
      <c r="J1123" s="342"/>
      <c r="L1123" s="342"/>
      <c r="M1123" s="342"/>
      <c r="R1123" s="342"/>
      <c r="AJ1123" s="342"/>
      <c r="AL1123" s="342"/>
      <c r="AM1123" s="342"/>
      <c r="BD1123" s="342"/>
    </row>
    <row r="1124" spans="4:56" x14ac:dyDescent="0.2">
      <c r="D1124" s="342"/>
      <c r="F1124" s="342"/>
      <c r="G1124" s="342"/>
      <c r="H1124" s="342"/>
      <c r="I1124" s="342"/>
      <c r="J1124" s="342"/>
      <c r="L1124" s="342"/>
      <c r="M1124" s="342"/>
      <c r="R1124" s="342"/>
      <c r="AJ1124" s="342"/>
      <c r="AL1124" s="342"/>
      <c r="AM1124" s="342"/>
      <c r="BD1124" s="342"/>
    </row>
    <row r="1125" spans="4:56" x14ac:dyDescent="0.2">
      <c r="D1125" s="342"/>
      <c r="F1125" s="342"/>
      <c r="G1125" s="342"/>
      <c r="H1125" s="342"/>
      <c r="I1125" s="342"/>
      <c r="J1125" s="342"/>
      <c r="L1125" s="342"/>
      <c r="M1125" s="342"/>
      <c r="R1125" s="342"/>
      <c r="AJ1125" s="342"/>
      <c r="AL1125" s="342"/>
      <c r="AM1125" s="342"/>
      <c r="BD1125" s="342"/>
    </row>
    <row r="1126" spans="4:56" x14ac:dyDescent="0.2">
      <c r="D1126" s="342"/>
      <c r="F1126" s="342"/>
      <c r="G1126" s="342"/>
      <c r="H1126" s="342"/>
      <c r="I1126" s="342"/>
      <c r="J1126" s="342"/>
      <c r="L1126" s="342"/>
      <c r="M1126" s="342"/>
      <c r="R1126" s="342"/>
      <c r="AJ1126" s="342"/>
      <c r="AL1126" s="342"/>
      <c r="AM1126" s="342"/>
      <c r="BD1126" s="342"/>
    </row>
    <row r="1127" spans="4:56" x14ac:dyDescent="0.2">
      <c r="D1127" s="342"/>
      <c r="F1127" s="342"/>
      <c r="G1127" s="342"/>
      <c r="H1127" s="342"/>
      <c r="I1127" s="342"/>
      <c r="J1127" s="342"/>
      <c r="L1127" s="342"/>
      <c r="M1127" s="342"/>
      <c r="R1127" s="342"/>
      <c r="AJ1127" s="342"/>
      <c r="AL1127" s="342"/>
      <c r="AM1127" s="342"/>
      <c r="BD1127" s="342"/>
    </row>
    <row r="1128" spans="4:56" x14ac:dyDescent="0.2">
      <c r="D1128" s="342"/>
      <c r="F1128" s="342"/>
      <c r="G1128" s="342"/>
      <c r="H1128" s="342"/>
      <c r="I1128" s="342"/>
      <c r="J1128" s="342"/>
      <c r="L1128" s="342"/>
      <c r="M1128" s="342"/>
      <c r="R1128" s="342"/>
      <c r="AJ1128" s="342"/>
      <c r="AL1128" s="342"/>
      <c r="AM1128" s="342"/>
      <c r="BD1128" s="342"/>
    </row>
    <row r="1129" spans="4:56" x14ac:dyDescent="0.2">
      <c r="D1129" s="342"/>
      <c r="F1129" s="342"/>
      <c r="G1129" s="342"/>
      <c r="H1129" s="342"/>
      <c r="I1129" s="342"/>
      <c r="J1129" s="342"/>
      <c r="L1129" s="342"/>
      <c r="M1129" s="342"/>
      <c r="R1129" s="342"/>
      <c r="AJ1129" s="342"/>
      <c r="AL1129" s="342"/>
      <c r="AM1129" s="342"/>
      <c r="BD1129" s="342"/>
    </row>
    <row r="1130" spans="4:56" x14ac:dyDescent="0.2">
      <c r="D1130" s="342"/>
      <c r="F1130" s="342"/>
      <c r="G1130" s="342"/>
      <c r="H1130" s="342"/>
      <c r="I1130" s="342"/>
      <c r="J1130" s="342"/>
      <c r="L1130" s="342"/>
      <c r="M1130" s="342"/>
      <c r="R1130" s="342"/>
      <c r="AJ1130" s="342"/>
      <c r="AL1130" s="342"/>
      <c r="AM1130" s="342"/>
      <c r="BD1130" s="342"/>
    </row>
    <row r="1131" spans="4:56" x14ac:dyDescent="0.2">
      <c r="D1131" s="342"/>
      <c r="F1131" s="342"/>
      <c r="G1131" s="342"/>
      <c r="H1131" s="342"/>
      <c r="I1131" s="342"/>
      <c r="J1131" s="342"/>
      <c r="L1131" s="342"/>
      <c r="M1131" s="342"/>
      <c r="R1131" s="342"/>
      <c r="AJ1131" s="342"/>
      <c r="AL1131" s="342"/>
      <c r="AM1131" s="342"/>
      <c r="BD1131" s="342"/>
    </row>
    <row r="1132" spans="4:56" x14ac:dyDescent="0.2">
      <c r="D1132" s="342"/>
      <c r="F1132" s="342"/>
      <c r="G1132" s="342"/>
      <c r="H1132" s="342"/>
      <c r="I1132" s="342"/>
      <c r="J1132" s="342"/>
      <c r="L1132" s="342"/>
      <c r="M1132" s="342"/>
      <c r="R1132" s="342"/>
      <c r="AJ1132" s="342"/>
      <c r="AL1132" s="342"/>
      <c r="AM1132" s="342"/>
      <c r="BD1132" s="342"/>
    </row>
    <row r="1133" spans="4:56" x14ac:dyDescent="0.2">
      <c r="D1133" s="342"/>
      <c r="F1133" s="342"/>
      <c r="G1133" s="342"/>
      <c r="H1133" s="342"/>
      <c r="I1133" s="342"/>
      <c r="J1133" s="342"/>
      <c r="L1133" s="342"/>
      <c r="M1133" s="342"/>
      <c r="R1133" s="342"/>
      <c r="AJ1133" s="342"/>
      <c r="AL1133" s="342"/>
      <c r="AM1133" s="342"/>
      <c r="BD1133" s="342"/>
    </row>
    <row r="1134" spans="4:56" x14ac:dyDescent="0.2">
      <c r="D1134" s="342"/>
      <c r="F1134" s="342"/>
      <c r="G1134" s="342"/>
      <c r="H1134" s="342"/>
      <c r="I1134" s="342"/>
      <c r="J1134" s="342"/>
      <c r="L1134" s="342"/>
      <c r="M1134" s="342"/>
      <c r="R1134" s="342"/>
      <c r="AJ1134" s="342"/>
      <c r="AL1134" s="342"/>
      <c r="AM1134" s="342"/>
      <c r="BD1134" s="342"/>
    </row>
    <row r="1135" spans="4:56" x14ac:dyDescent="0.2">
      <c r="D1135" s="342"/>
      <c r="F1135" s="342"/>
      <c r="G1135" s="342"/>
      <c r="H1135" s="342"/>
      <c r="I1135" s="342"/>
      <c r="J1135" s="342"/>
      <c r="L1135" s="342"/>
      <c r="M1135" s="342"/>
      <c r="R1135" s="342"/>
      <c r="AJ1135" s="342"/>
      <c r="AL1135" s="342"/>
      <c r="AM1135" s="342"/>
      <c r="BD1135" s="342"/>
    </row>
    <row r="1136" spans="4:56" x14ac:dyDescent="0.2">
      <c r="D1136" s="342"/>
      <c r="F1136" s="342"/>
      <c r="G1136" s="342"/>
      <c r="H1136" s="342"/>
      <c r="I1136" s="342"/>
      <c r="J1136" s="342"/>
      <c r="L1136" s="342"/>
      <c r="M1136" s="342"/>
      <c r="R1136" s="342"/>
      <c r="AJ1136" s="342"/>
      <c r="AL1136" s="342"/>
      <c r="AM1136" s="342"/>
      <c r="BD1136" s="342"/>
    </row>
    <row r="1137" spans="4:56" x14ac:dyDescent="0.2">
      <c r="D1137" s="342"/>
      <c r="F1137" s="342"/>
      <c r="G1137" s="342"/>
      <c r="H1137" s="342"/>
      <c r="I1137" s="342"/>
      <c r="J1137" s="342"/>
      <c r="L1137" s="342"/>
      <c r="M1137" s="342"/>
      <c r="R1137" s="342"/>
      <c r="AJ1137" s="342"/>
      <c r="AL1137" s="342"/>
      <c r="AM1137" s="342"/>
      <c r="BD1137" s="342"/>
    </row>
    <row r="1138" spans="4:56" x14ac:dyDescent="0.2">
      <c r="D1138" s="342"/>
      <c r="F1138" s="342"/>
      <c r="G1138" s="342"/>
      <c r="H1138" s="342"/>
      <c r="I1138" s="342"/>
      <c r="J1138" s="342"/>
      <c r="L1138" s="342"/>
      <c r="M1138" s="342"/>
      <c r="R1138" s="342"/>
      <c r="AJ1138" s="342"/>
      <c r="AL1138" s="342"/>
      <c r="AM1138" s="342"/>
      <c r="BD1138" s="342"/>
    </row>
    <row r="1139" spans="4:56" x14ac:dyDescent="0.2">
      <c r="D1139" s="342"/>
      <c r="F1139" s="342"/>
      <c r="G1139" s="342"/>
      <c r="H1139" s="342"/>
      <c r="I1139" s="342"/>
      <c r="J1139" s="342"/>
      <c r="L1139" s="342"/>
      <c r="M1139" s="342"/>
      <c r="R1139" s="342"/>
      <c r="AJ1139" s="342"/>
      <c r="AL1139" s="342"/>
      <c r="AM1139" s="342"/>
      <c r="BD1139" s="342"/>
    </row>
    <row r="1140" spans="4:56" x14ac:dyDescent="0.2">
      <c r="D1140" s="342"/>
      <c r="F1140" s="342"/>
      <c r="G1140" s="342"/>
      <c r="H1140" s="342"/>
      <c r="I1140" s="342"/>
      <c r="J1140" s="342"/>
      <c r="L1140" s="342"/>
      <c r="M1140" s="342"/>
      <c r="R1140" s="342"/>
      <c r="AJ1140" s="342"/>
      <c r="AL1140" s="342"/>
      <c r="AM1140" s="342"/>
      <c r="BD1140" s="342"/>
    </row>
    <row r="1141" spans="4:56" x14ac:dyDescent="0.2">
      <c r="D1141" s="342"/>
      <c r="F1141" s="342"/>
      <c r="G1141" s="342"/>
      <c r="H1141" s="342"/>
      <c r="I1141" s="342"/>
      <c r="J1141" s="342"/>
      <c r="L1141" s="342"/>
      <c r="M1141" s="342"/>
      <c r="R1141" s="342"/>
      <c r="AJ1141" s="342"/>
      <c r="AL1141" s="342"/>
      <c r="AM1141" s="342"/>
      <c r="BD1141" s="342"/>
    </row>
    <row r="1142" spans="4:56" x14ac:dyDescent="0.2">
      <c r="D1142" s="342"/>
      <c r="F1142" s="342"/>
      <c r="G1142" s="342"/>
      <c r="H1142" s="342"/>
      <c r="I1142" s="342"/>
      <c r="J1142" s="342"/>
      <c r="L1142" s="342"/>
      <c r="M1142" s="342"/>
      <c r="R1142" s="342"/>
      <c r="AJ1142" s="342"/>
      <c r="AL1142" s="342"/>
      <c r="AM1142" s="342"/>
      <c r="BD1142" s="342"/>
    </row>
    <row r="1143" spans="4:56" x14ac:dyDescent="0.2">
      <c r="D1143" s="342"/>
      <c r="F1143" s="342"/>
      <c r="G1143" s="342"/>
      <c r="H1143" s="342"/>
      <c r="I1143" s="342"/>
      <c r="J1143" s="342"/>
      <c r="L1143" s="342"/>
      <c r="M1143" s="342"/>
      <c r="R1143" s="342"/>
      <c r="AJ1143" s="342"/>
      <c r="AL1143" s="342"/>
      <c r="AM1143" s="342"/>
      <c r="BD1143" s="342"/>
    </row>
    <row r="1144" spans="4:56" x14ac:dyDescent="0.2">
      <c r="D1144" s="342"/>
      <c r="F1144" s="342"/>
      <c r="G1144" s="342"/>
      <c r="H1144" s="342"/>
      <c r="I1144" s="342"/>
      <c r="J1144" s="342"/>
      <c r="L1144" s="342"/>
      <c r="M1144" s="342"/>
      <c r="R1144" s="342"/>
      <c r="AJ1144" s="342"/>
      <c r="AL1144" s="342"/>
      <c r="AM1144" s="342"/>
      <c r="BD1144" s="342"/>
    </row>
    <row r="1145" spans="4:56" x14ac:dyDescent="0.2">
      <c r="D1145" s="342"/>
      <c r="F1145" s="342"/>
      <c r="G1145" s="342"/>
      <c r="H1145" s="342"/>
      <c r="I1145" s="342"/>
      <c r="J1145" s="342"/>
      <c r="L1145" s="342"/>
      <c r="M1145" s="342"/>
      <c r="R1145" s="342"/>
      <c r="AJ1145" s="342"/>
      <c r="AL1145" s="342"/>
      <c r="AM1145" s="342"/>
      <c r="BD1145" s="342"/>
    </row>
    <row r="1146" spans="4:56" x14ac:dyDescent="0.2">
      <c r="D1146" s="342"/>
      <c r="F1146" s="342"/>
      <c r="G1146" s="342"/>
      <c r="H1146" s="342"/>
      <c r="I1146" s="342"/>
      <c r="J1146" s="342"/>
      <c r="L1146" s="342"/>
      <c r="M1146" s="342"/>
      <c r="R1146" s="342"/>
      <c r="AJ1146" s="342"/>
      <c r="AL1146" s="342"/>
      <c r="AM1146" s="342"/>
      <c r="BD1146" s="342"/>
    </row>
    <row r="1147" spans="4:56" x14ac:dyDescent="0.2">
      <c r="D1147" s="342"/>
      <c r="F1147" s="342"/>
      <c r="G1147" s="342"/>
      <c r="H1147" s="342"/>
      <c r="I1147" s="342"/>
      <c r="J1147" s="342"/>
      <c r="L1147" s="342"/>
      <c r="M1147" s="342"/>
      <c r="R1147" s="342"/>
      <c r="AJ1147" s="342"/>
      <c r="AL1147" s="342"/>
      <c r="AM1147" s="342"/>
      <c r="BD1147" s="342"/>
    </row>
    <row r="1148" spans="4:56" x14ac:dyDescent="0.2">
      <c r="D1148" s="342"/>
      <c r="F1148" s="342"/>
      <c r="G1148" s="342"/>
      <c r="H1148" s="342"/>
      <c r="I1148" s="342"/>
      <c r="J1148" s="342"/>
      <c r="L1148" s="342"/>
      <c r="M1148" s="342"/>
      <c r="R1148" s="342"/>
      <c r="AJ1148" s="342"/>
      <c r="AL1148" s="342"/>
      <c r="AM1148" s="342"/>
      <c r="BD1148" s="342"/>
    </row>
    <row r="1149" spans="4:56" x14ac:dyDescent="0.2">
      <c r="D1149" s="342"/>
      <c r="F1149" s="342"/>
      <c r="G1149" s="342"/>
      <c r="H1149" s="342"/>
      <c r="I1149" s="342"/>
      <c r="J1149" s="342"/>
      <c r="L1149" s="342"/>
      <c r="M1149" s="342"/>
      <c r="R1149" s="342"/>
      <c r="AJ1149" s="342"/>
      <c r="AL1149" s="342"/>
      <c r="AM1149" s="342"/>
      <c r="BD1149" s="342"/>
    </row>
    <row r="1150" spans="4:56" x14ac:dyDescent="0.2">
      <c r="D1150" s="342"/>
      <c r="F1150" s="342"/>
      <c r="G1150" s="342"/>
      <c r="H1150" s="342"/>
      <c r="I1150" s="342"/>
      <c r="J1150" s="342"/>
      <c r="L1150" s="342"/>
      <c r="M1150" s="342"/>
      <c r="R1150" s="342"/>
      <c r="AJ1150" s="342"/>
      <c r="AL1150" s="342"/>
      <c r="AM1150" s="342"/>
      <c r="BD1150" s="342"/>
    </row>
    <row r="1151" spans="4:56" x14ac:dyDescent="0.2">
      <c r="D1151" s="342"/>
      <c r="F1151" s="342"/>
      <c r="G1151" s="342"/>
      <c r="H1151" s="342"/>
      <c r="I1151" s="342"/>
      <c r="J1151" s="342"/>
      <c r="L1151" s="342"/>
      <c r="M1151" s="342"/>
      <c r="R1151" s="342"/>
      <c r="AJ1151" s="342"/>
      <c r="AL1151" s="342"/>
      <c r="AM1151" s="342"/>
      <c r="BD1151" s="342"/>
    </row>
    <row r="1152" spans="4:56" x14ac:dyDescent="0.2">
      <c r="D1152" s="342"/>
      <c r="F1152" s="342"/>
      <c r="G1152" s="342"/>
      <c r="H1152" s="342"/>
      <c r="I1152" s="342"/>
      <c r="J1152" s="342"/>
      <c r="L1152" s="342"/>
      <c r="M1152" s="342"/>
      <c r="R1152" s="342"/>
      <c r="AJ1152" s="342"/>
      <c r="AL1152" s="342"/>
      <c r="AM1152" s="342"/>
      <c r="BD1152" s="342"/>
    </row>
    <row r="1153" spans="4:56" x14ac:dyDescent="0.2">
      <c r="D1153" s="342"/>
      <c r="F1153" s="342"/>
      <c r="G1153" s="342"/>
      <c r="H1153" s="342"/>
      <c r="I1153" s="342"/>
      <c r="J1153" s="342"/>
      <c r="L1153" s="342"/>
      <c r="M1153" s="342"/>
      <c r="R1153" s="342"/>
      <c r="AJ1153" s="342"/>
      <c r="AL1153" s="342"/>
      <c r="AM1153" s="342"/>
      <c r="BD1153" s="342"/>
    </row>
    <row r="1154" spans="4:56" x14ac:dyDescent="0.2">
      <c r="D1154" s="342"/>
      <c r="F1154" s="342"/>
      <c r="G1154" s="342"/>
      <c r="H1154" s="342"/>
      <c r="I1154" s="342"/>
      <c r="J1154" s="342"/>
      <c r="L1154" s="342"/>
      <c r="M1154" s="342"/>
      <c r="R1154" s="342"/>
      <c r="AJ1154" s="342"/>
      <c r="AL1154" s="342"/>
      <c r="AM1154" s="342"/>
      <c r="BD1154" s="342"/>
    </row>
    <row r="1155" spans="4:56" x14ac:dyDescent="0.2">
      <c r="D1155" s="342"/>
      <c r="F1155" s="342"/>
      <c r="G1155" s="342"/>
      <c r="H1155" s="342"/>
      <c r="I1155" s="342"/>
      <c r="J1155" s="342"/>
      <c r="L1155" s="342"/>
      <c r="M1155" s="342"/>
      <c r="R1155" s="342"/>
      <c r="AJ1155" s="342"/>
      <c r="AL1155" s="342"/>
      <c r="AM1155" s="342"/>
      <c r="BD1155" s="342"/>
    </row>
    <row r="1156" spans="4:56" x14ac:dyDescent="0.2">
      <c r="D1156" s="342"/>
      <c r="F1156" s="342"/>
      <c r="G1156" s="342"/>
      <c r="H1156" s="342"/>
      <c r="I1156" s="342"/>
      <c r="J1156" s="342"/>
      <c r="L1156" s="342"/>
      <c r="M1156" s="342"/>
      <c r="R1156" s="342"/>
      <c r="AJ1156" s="342"/>
      <c r="AL1156" s="342"/>
      <c r="AM1156" s="342"/>
      <c r="BD1156" s="342"/>
    </row>
    <row r="1157" spans="4:56" x14ac:dyDescent="0.2">
      <c r="D1157" s="342"/>
      <c r="F1157" s="342"/>
      <c r="G1157" s="342"/>
      <c r="H1157" s="342"/>
      <c r="I1157" s="342"/>
      <c r="J1157" s="342"/>
      <c r="L1157" s="342"/>
      <c r="M1157" s="342"/>
      <c r="R1157" s="342"/>
      <c r="AJ1157" s="342"/>
      <c r="AL1157" s="342"/>
      <c r="AM1157" s="342"/>
      <c r="BD1157" s="342"/>
    </row>
    <row r="1158" spans="4:56" x14ac:dyDescent="0.2">
      <c r="D1158" s="342"/>
      <c r="F1158" s="342"/>
      <c r="G1158" s="342"/>
      <c r="H1158" s="342"/>
      <c r="I1158" s="342"/>
      <c r="J1158" s="342"/>
      <c r="L1158" s="342"/>
      <c r="M1158" s="342"/>
      <c r="R1158" s="342"/>
      <c r="AJ1158" s="342"/>
      <c r="AL1158" s="342"/>
      <c r="AM1158" s="342"/>
      <c r="BD1158" s="342"/>
    </row>
    <row r="1159" spans="4:56" x14ac:dyDescent="0.2">
      <c r="D1159" s="342"/>
      <c r="F1159" s="342"/>
      <c r="G1159" s="342"/>
      <c r="H1159" s="342"/>
      <c r="I1159" s="342"/>
      <c r="J1159" s="342"/>
      <c r="L1159" s="342"/>
      <c r="M1159" s="342"/>
      <c r="R1159" s="342"/>
      <c r="AJ1159" s="342"/>
      <c r="AL1159" s="342"/>
      <c r="AM1159" s="342"/>
      <c r="BD1159" s="342"/>
    </row>
    <row r="1160" spans="4:56" x14ac:dyDescent="0.2">
      <c r="D1160" s="342"/>
      <c r="F1160" s="342"/>
      <c r="G1160" s="342"/>
      <c r="H1160" s="342"/>
      <c r="I1160" s="342"/>
      <c r="J1160" s="342"/>
      <c r="L1160" s="342"/>
      <c r="M1160" s="342"/>
      <c r="R1160" s="342"/>
      <c r="AJ1160" s="342"/>
      <c r="AL1160" s="342"/>
      <c r="AM1160" s="342"/>
      <c r="BD1160" s="342"/>
    </row>
    <row r="1161" spans="4:56" x14ac:dyDescent="0.2">
      <c r="D1161" s="342"/>
      <c r="F1161" s="342"/>
      <c r="G1161" s="342"/>
      <c r="H1161" s="342"/>
      <c r="I1161" s="342"/>
      <c r="J1161" s="342"/>
      <c r="L1161" s="342"/>
      <c r="M1161" s="342"/>
      <c r="R1161" s="342"/>
      <c r="AJ1161" s="342"/>
      <c r="AL1161" s="342"/>
      <c r="AM1161" s="342"/>
      <c r="BD1161" s="342"/>
    </row>
    <row r="1162" spans="4:56" x14ac:dyDescent="0.2">
      <c r="D1162" s="342"/>
      <c r="F1162" s="342"/>
      <c r="G1162" s="342"/>
      <c r="H1162" s="342"/>
      <c r="I1162" s="342"/>
      <c r="J1162" s="342"/>
      <c r="L1162" s="342"/>
      <c r="M1162" s="342"/>
      <c r="R1162" s="342"/>
      <c r="AJ1162" s="342"/>
      <c r="AL1162" s="342"/>
      <c r="AM1162" s="342"/>
      <c r="BD1162" s="342"/>
    </row>
    <row r="1163" spans="4:56" x14ac:dyDescent="0.2">
      <c r="D1163" s="342"/>
      <c r="F1163" s="342"/>
      <c r="G1163" s="342"/>
      <c r="H1163" s="342"/>
      <c r="I1163" s="342"/>
      <c r="J1163" s="342"/>
      <c r="L1163" s="342"/>
      <c r="M1163" s="342"/>
      <c r="R1163" s="342"/>
      <c r="AJ1163" s="342"/>
      <c r="AL1163" s="342"/>
      <c r="AM1163" s="342"/>
      <c r="BD1163" s="342"/>
    </row>
    <row r="1164" spans="4:56" x14ac:dyDescent="0.2">
      <c r="D1164" s="342"/>
      <c r="F1164" s="342"/>
      <c r="G1164" s="342"/>
      <c r="H1164" s="342"/>
      <c r="I1164" s="342"/>
      <c r="J1164" s="342"/>
      <c r="L1164" s="342"/>
      <c r="M1164" s="342"/>
      <c r="R1164" s="342"/>
      <c r="AJ1164" s="342"/>
      <c r="AL1164" s="342"/>
      <c r="AM1164" s="342"/>
      <c r="BD1164" s="342"/>
    </row>
    <row r="1165" spans="4:56" x14ac:dyDescent="0.2">
      <c r="D1165" s="342"/>
      <c r="F1165" s="342"/>
      <c r="G1165" s="342"/>
      <c r="H1165" s="342"/>
      <c r="I1165" s="342"/>
      <c r="J1165" s="342"/>
      <c r="L1165" s="342"/>
      <c r="M1165" s="342"/>
      <c r="R1165" s="342"/>
      <c r="AJ1165" s="342"/>
      <c r="AL1165" s="342"/>
      <c r="AM1165" s="342"/>
      <c r="BD1165" s="342"/>
    </row>
    <row r="1166" spans="4:56" x14ac:dyDescent="0.2">
      <c r="D1166" s="342"/>
      <c r="F1166" s="342"/>
      <c r="G1166" s="342"/>
      <c r="H1166" s="342"/>
      <c r="I1166" s="342"/>
      <c r="J1166" s="342"/>
      <c r="L1166" s="342"/>
      <c r="M1166" s="342"/>
      <c r="R1166" s="342"/>
      <c r="AJ1166" s="342"/>
      <c r="AL1166" s="342"/>
      <c r="AM1166" s="342"/>
      <c r="BD1166" s="342"/>
    </row>
    <row r="1167" spans="4:56" x14ac:dyDescent="0.2">
      <c r="D1167" s="342"/>
      <c r="F1167" s="342"/>
      <c r="G1167" s="342"/>
      <c r="H1167" s="342"/>
      <c r="I1167" s="342"/>
      <c r="J1167" s="342"/>
      <c r="L1167" s="342"/>
      <c r="M1167" s="342"/>
      <c r="R1167" s="342"/>
      <c r="AJ1167" s="342"/>
      <c r="AL1167" s="342"/>
      <c r="AM1167" s="342"/>
      <c r="BD1167" s="342"/>
    </row>
    <row r="1168" spans="4:56" x14ac:dyDescent="0.2">
      <c r="D1168" s="342"/>
      <c r="F1168" s="342"/>
      <c r="G1168" s="342"/>
      <c r="H1168" s="342"/>
      <c r="I1168" s="342"/>
      <c r="J1168" s="342"/>
      <c r="L1168" s="342"/>
      <c r="M1168" s="342"/>
      <c r="R1168" s="342"/>
      <c r="AJ1168" s="342"/>
      <c r="AL1168" s="342"/>
      <c r="AM1168" s="342"/>
      <c r="BD1168" s="342"/>
    </row>
    <row r="1169" spans="4:56" x14ac:dyDescent="0.2">
      <c r="D1169" s="342"/>
      <c r="F1169" s="342"/>
      <c r="G1169" s="342"/>
      <c r="H1169" s="342"/>
      <c r="I1169" s="342"/>
      <c r="J1169" s="342"/>
      <c r="L1169" s="342"/>
      <c r="M1169" s="342"/>
      <c r="R1169" s="342"/>
      <c r="AJ1169" s="342"/>
      <c r="AL1169" s="342"/>
      <c r="AM1169" s="342"/>
      <c r="BD1169" s="342"/>
    </row>
    <row r="1170" spans="4:56" x14ac:dyDescent="0.2">
      <c r="D1170" s="342"/>
      <c r="F1170" s="342"/>
      <c r="G1170" s="342"/>
      <c r="H1170" s="342"/>
      <c r="I1170" s="342"/>
      <c r="J1170" s="342"/>
      <c r="L1170" s="342"/>
      <c r="M1170" s="342"/>
      <c r="R1170" s="342"/>
      <c r="AJ1170" s="342"/>
      <c r="AL1170" s="342"/>
      <c r="AM1170" s="342"/>
      <c r="BD1170" s="342"/>
    </row>
    <row r="1171" spans="4:56" x14ac:dyDescent="0.2">
      <c r="D1171" s="342"/>
      <c r="F1171" s="342"/>
      <c r="G1171" s="342"/>
      <c r="H1171" s="342"/>
      <c r="I1171" s="342"/>
      <c r="J1171" s="342"/>
      <c r="L1171" s="342"/>
      <c r="M1171" s="342"/>
      <c r="R1171" s="342"/>
      <c r="AJ1171" s="342"/>
      <c r="AL1171" s="342"/>
      <c r="AM1171" s="342"/>
      <c r="BD1171" s="342"/>
    </row>
    <row r="1172" spans="4:56" x14ac:dyDescent="0.2">
      <c r="D1172" s="342"/>
      <c r="F1172" s="342"/>
      <c r="G1172" s="342"/>
      <c r="H1172" s="342"/>
      <c r="I1172" s="342"/>
      <c r="J1172" s="342"/>
      <c r="L1172" s="342"/>
      <c r="M1172" s="342"/>
      <c r="R1172" s="342"/>
      <c r="AJ1172" s="342"/>
      <c r="AL1172" s="342"/>
      <c r="AM1172" s="342"/>
      <c r="BD1172" s="342"/>
    </row>
    <row r="1173" spans="4:56" x14ac:dyDescent="0.2">
      <c r="D1173" s="342"/>
      <c r="F1173" s="342"/>
      <c r="G1173" s="342"/>
      <c r="H1173" s="342"/>
      <c r="I1173" s="342"/>
      <c r="J1173" s="342"/>
      <c r="L1173" s="342"/>
      <c r="M1173" s="342"/>
      <c r="R1173" s="342"/>
      <c r="AJ1173" s="342"/>
      <c r="AL1173" s="342"/>
      <c r="AM1173" s="342"/>
      <c r="BD1173" s="342"/>
    </row>
    <row r="1174" spans="4:56" x14ac:dyDescent="0.2">
      <c r="D1174" s="342"/>
      <c r="F1174" s="342"/>
      <c r="G1174" s="342"/>
      <c r="H1174" s="342"/>
      <c r="I1174" s="342"/>
      <c r="J1174" s="342"/>
      <c r="L1174" s="342"/>
      <c r="M1174" s="342"/>
      <c r="R1174" s="342"/>
      <c r="AJ1174" s="342"/>
      <c r="AL1174" s="342"/>
      <c r="AM1174" s="342"/>
      <c r="BD1174" s="342"/>
    </row>
    <row r="1175" spans="4:56" x14ac:dyDescent="0.2">
      <c r="D1175" s="342"/>
      <c r="F1175" s="342"/>
      <c r="G1175" s="342"/>
      <c r="H1175" s="342"/>
      <c r="I1175" s="342"/>
      <c r="J1175" s="342"/>
      <c r="L1175" s="342"/>
      <c r="M1175" s="342"/>
      <c r="R1175" s="342"/>
      <c r="AJ1175" s="342"/>
      <c r="AL1175" s="342"/>
      <c r="AM1175" s="342"/>
      <c r="BD1175" s="342"/>
    </row>
    <row r="1176" spans="4:56" x14ac:dyDescent="0.2">
      <c r="D1176" s="342"/>
      <c r="F1176" s="342"/>
      <c r="G1176" s="342"/>
      <c r="H1176" s="342"/>
      <c r="I1176" s="342"/>
      <c r="J1176" s="342"/>
      <c r="L1176" s="342"/>
      <c r="M1176" s="342"/>
      <c r="R1176" s="342"/>
      <c r="AJ1176" s="342"/>
      <c r="AL1176" s="342"/>
      <c r="AM1176" s="342"/>
      <c r="BD1176" s="342"/>
    </row>
    <row r="1177" spans="4:56" x14ac:dyDescent="0.2">
      <c r="D1177" s="342"/>
      <c r="F1177" s="342"/>
      <c r="G1177" s="342"/>
      <c r="H1177" s="342"/>
      <c r="I1177" s="342"/>
      <c r="J1177" s="342"/>
      <c r="L1177" s="342"/>
      <c r="M1177" s="342"/>
      <c r="R1177" s="342"/>
      <c r="AJ1177" s="342"/>
      <c r="AL1177" s="342"/>
      <c r="AM1177" s="342"/>
      <c r="BD1177" s="342"/>
    </row>
    <row r="1178" spans="4:56" x14ac:dyDescent="0.2">
      <c r="D1178" s="342"/>
      <c r="F1178" s="342"/>
      <c r="G1178" s="342"/>
      <c r="H1178" s="342"/>
      <c r="I1178" s="342"/>
      <c r="J1178" s="342"/>
      <c r="L1178" s="342"/>
      <c r="M1178" s="342"/>
      <c r="R1178" s="342"/>
      <c r="AJ1178" s="342"/>
      <c r="AL1178" s="342"/>
      <c r="AM1178" s="342"/>
      <c r="BD1178" s="342"/>
    </row>
    <row r="1179" spans="4:56" x14ac:dyDescent="0.2">
      <c r="D1179" s="342"/>
      <c r="F1179" s="342"/>
      <c r="G1179" s="342"/>
      <c r="H1179" s="342"/>
      <c r="I1179" s="342"/>
      <c r="J1179" s="342"/>
      <c r="L1179" s="342"/>
      <c r="M1179" s="342"/>
      <c r="R1179" s="342"/>
      <c r="AJ1179" s="342"/>
      <c r="AL1179" s="342"/>
      <c r="AM1179" s="342"/>
      <c r="BD1179" s="342"/>
    </row>
    <row r="1180" spans="4:56" x14ac:dyDescent="0.2">
      <c r="D1180" s="342"/>
      <c r="F1180" s="342"/>
      <c r="G1180" s="342"/>
      <c r="H1180" s="342"/>
      <c r="I1180" s="342"/>
      <c r="J1180" s="342"/>
      <c r="L1180" s="342"/>
      <c r="M1180" s="342"/>
      <c r="R1180" s="342"/>
      <c r="AJ1180" s="342"/>
      <c r="AL1180" s="342"/>
      <c r="AM1180" s="342"/>
      <c r="BD1180" s="342"/>
    </row>
    <row r="1181" spans="4:56" x14ac:dyDescent="0.2">
      <c r="D1181" s="342"/>
      <c r="F1181" s="342"/>
      <c r="G1181" s="342"/>
      <c r="H1181" s="342"/>
      <c r="I1181" s="342"/>
      <c r="J1181" s="342"/>
      <c r="L1181" s="342"/>
      <c r="M1181" s="342"/>
      <c r="R1181" s="342"/>
      <c r="AJ1181" s="342"/>
      <c r="AL1181" s="342"/>
      <c r="AM1181" s="342"/>
      <c r="BD1181" s="342"/>
    </row>
    <row r="1182" spans="4:56" x14ac:dyDescent="0.2">
      <c r="D1182" s="342"/>
      <c r="F1182" s="342"/>
      <c r="G1182" s="342"/>
      <c r="H1182" s="342"/>
      <c r="I1182" s="342"/>
      <c r="J1182" s="342"/>
      <c r="L1182" s="342"/>
      <c r="M1182" s="342"/>
      <c r="R1182" s="342"/>
      <c r="AJ1182" s="342"/>
      <c r="AL1182" s="342"/>
      <c r="AM1182" s="342"/>
      <c r="BD1182" s="342"/>
    </row>
    <row r="1183" spans="4:56" x14ac:dyDescent="0.2">
      <c r="D1183" s="342"/>
      <c r="F1183" s="342"/>
      <c r="G1183" s="342"/>
      <c r="H1183" s="342"/>
      <c r="I1183" s="342"/>
      <c r="J1183" s="342"/>
      <c r="L1183" s="342"/>
      <c r="M1183" s="342"/>
      <c r="R1183" s="342"/>
      <c r="AJ1183" s="342"/>
      <c r="AL1183" s="342"/>
      <c r="AM1183" s="342"/>
      <c r="BD1183" s="342"/>
    </row>
    <row r="1184" spans="4:56" x14ac:dyDescent="0.2">
      <c r="D1184" s="342"/>
      <c r="F1184" s="342"/>
      <c r="G1184" s="342"/>
      <c r="H1184" s="342"/>
      <c r="I1184" s="342"/>
      <c r="J1184" s="342"/>
      <c r="L1184" s="342"/>
      <c r="M1184" s="342"/>
      <c r="R1184" s="342"/>
      <c r="AJ1184" s="342"/>
      <c r="AL1184" s="342"/>
      <c r="AM1184" s="342"/>
      <c r="BD1184" s="342"/>
    </row>
    <row r="1185" spans="4:56" x14ac:dyDescent="0.2">
      <c r="D1185" s="342"/>
      <c r="F1185" s="342"/>
      <c r="G1185" s="342"/>
      <c r="H1185" s="342"/>
      <c r="I1185" s="342"/>
      <c r="J1185" s="342"/>
      <c r="L1185" s="342"/>
      <c r="M1185" s="342"/>
      <c r="R1185" s="342"/>
      <c r="AJ1185" s="342"/>
      <c r="AL1185" s="342"/>
      <c r="AM1185" s="342"/>
      <c r="BD1185" s="342"/>
    </row>
    <row r="1186" spans="4:56" x14ac:dyDescent="0.2">
      <c r="D1186" s="342"/>
      <c r="F1186" s="342"/>
      <c r="G1186" s="342"/>
      <c r="H1186" s="342"/>
      <c r="I1186" s="342"/>
      <c r="J1186" s="342"/>
      <c r="L1186" s="342"/>
      <c r="M1186" s="342"/>
      <c r="R1186" s="342"/>
      <c r="AJ1186" s="342"/>
      <c r="AL1186" s="342"/>
      <c r="AM1186" s="342"/>
      <c r="BD1186" s="342"/>
    </row>
    <row r="1187" spans="4:56" x14ac:dyDescent="0.2">
      <c r="D1187" s="342"/>
      <c r="F1187" s="342"/>
      <c r="G1187" s="342"/>
      <c r="H1187" s="342"/>
      <c r="I1187" s="342"/>
      <c r="J1187" s="342"/>
      <c r="L1187" s="342"/>
      <c r="M1187" s="342"/>
      <c r="R1187" s="342"/>
      <c r="AJ1187" s="342"/>
      <c r="AL1187" s="342"/>
      <c r="AM1187" s="342"/>
      <c r="BD1187" s="342"/>
    </row>
    <row r="1188" spans="4:56" x14ac:dyDescent="0.2">
      <c r="D1188" s="342"/>
      <c r="F1188" s="342"/>
      <c r="G1188" s="342"/>
      <c r="H1188" s="342"/>
      <c r="I1188" s="342"/>
      <c r="J1188" s="342"/>
      <c r="L1188" s="342"/>
      <c r="M1188" s="342"/>
      <c r="R1188" s="342"/>
      <c r="AJ1188" s="342"/>
      <c r="AL1188" s="342"/>
      <c r="AM1188" s="342"/>
      <c r="BD1188" s="342"/>
    </row>
    <row r="1189" spans="4:56" x14ac:dyDescent="0.2">
      <c r="D1189" s="342"/>
      <c r="F1189" s="342"/>
      <c r="G1189" s="342"/>
      <c r="H1189" s="342"/>
      <c r="I1189" s="342"/>
      <c r="J1189" s="342"/>
      <c r="L1189" s="342"/>
      <c r="M1189" s="342"/>
      <c r="R1189" s="342"/>
      <c r="AJ1189" s="342"/>
      <c r="AL1189" s="342"/>
      <c r="AM1189" s="342"/>
      <c r="BD1189" s="342"/>
    </row>
    <row r="1190" spans="4:56" x14ac:dyDescent="0.2">
      <c r="D1190" s="342"/>
      <c r="F1190" s="342"/>
      <c r="G1190" s="342"/>
      <c r="H1190" s="342"/>
      <c r="I1190" s="342"/>
      <c r="J1190" s="342"/>
      <c r="L1190" s="342"/>
      <c r="M1190" s="342"/>
      <c r="R1190" s="342"/>
      <c r="AJ1190" s="342"/>
      <c r="AL1190" s="342"/>
      <c r="AM1190" s="342"/>
      <c r="BD1190" s="342"/>
    </row>
    <row r="1191" spans="4:56" x14ac:dyDescent="0.2">
      <c r="D1191" s="342"/>
      <c r="F1191" s="342"/>
      <c r="G1191" s="342"/>
      <c r="H1191" s="342"/>
      <c r="I1191" s="342"/>
      <c r="J1191" s="342"/>
      <c r="L1191" s="342"/>
      <c r="M1191" s="342"/>
      <c r="R1191" s="342"/>
      <c r="AJ1191" s="342"/>
      <c r="AL1191" s="342"/>
      <c r="AM1191" s="342"/>
      <c r="BD1191" s="342"/>
    </row>
    <row r="1192" spans="4:56" x14ac:dyDescent="0.2">
      <c r="D1192" s="342"/>
      <c r="F1192" s="342"/>
      <c r="G1192" s="342"/>
      <c r="H1192" s="342"/>
      <c r="I1192" s="342"/>
      <c r="J1192" s="342"/>
      <c r="L1192" s="342"/>
      <c r="M1192" s="342"/>
      <c r="R1192" s="342"/>
      <c r="AJ1192" s="342"/>
      <c r="AL1192" s="342"/>
      <c r="AM1192" s="342"/>
      <c r="BD1192" s="342"/>
    </row>
    <row r="1193" spans="4:56" x14ac:dyDescent="0.2">
      <c r="D1193" s="342"/>
      <c r="F1193" s="342"/>
      <c r="G1193" s="342"/>
      <c r="H1193" s="342"/>
      <c r="I1193" s="342"/>
      <c r="J1193" s="342"/>
      <c r="L1193" s="342"/>
      <c r="M1193" s="342"/>
      <c r="R1193" s="342"/>
      <c r="AJ1193" s="342"/>
      <c r="AL1193" s="342"/>
      <c r="AM1193" s="342"/>
      <c r="BD1193" s="342"/>
    </row>
    <row r="1194" spans="4:56" x14ac:dyDescent="0.2">
      <c r="D1194" s="342"/>
      <c r="F1194" s="342"/>
      <c r="G1194" s="342"/>
      <c r="H1194" s="342"/>
      <c r="I1194" s="342"/>
      <c r="J1194" s="342"/>
      <c r="L1194" s="342"/>
      <c r="M1194" s="342"/>
      <c r="R1194" s="342"/>
      <c r="AJ1194" s="342"/>
      <c r="AL1194" s="342"/>
      <c r="AM1194" s="342"/>
      <c r="BD1194" s="342"/>
    </row>
    <row r="1195" spans="4:56" x14ac:dyDescent="0.2">
      <c r="D1195" s="342"/>
      <c r="F1195" s="342"/>
      <c r="G1195" s="342"/>
      <c r="H1195" s="342"/>
      <c r="I1195" s="342"/>
      <c r="J1195" s="342"/>
      <c r="L1195" s="342"/>
      <c r="M1195" s="342"/>
      <c r="R1195" s="342"/>
      <c r="AJ1195" s="342"/>
      <c r="AL1195" s="342"/>
      <c r="AM1195" s="342"/>
      <c r="BD1195" s="342"/>
    </row>
    <row r="1196" spans="4:56" x14ac:dyDescent="0.2">
      <c r="D1196" s="342"/>
      <c r="F1196" s="342"/>
      <c r="G1196" s="342"/>
      <c r="H1196" s="342"/>
      <c r="I1196" s="342"/>
      <c r="J1196" s="342"/>
      <c r="L1196" s="342"/>
      <c r="M1196" s="342"/>
      <c r="R1196" s="342"/>
      <c r="AJ1196" s="342"/>
      <c r="AL1196" s="342"/>
      <c r="AM1196" s="342"/>
      <c r="BD1196" s="342"/>
    </row>
    <row r="1197" spans="4:56" x14ac:dyDescent="0.2">
      <c r="D1197" s="342"/>
      <c r="F1197" s="342"/>
      <c r="G1197" s="342"/>
      <c r="H1197" s="342"/>
      <c r="I1197" s="342"/>
      <c r="J1197" s="342"/>
      <c r="L1197" s="342"/>
      <c r="M1197" s="342"/>
      <c r="R1197" s="342"/>
      <c r="AJ1197" s="342"/>
      <c r="AL1197" s="342"/>
      <c r="AM1197" s="342"/>
      <c r="BD1197" s="342"/>
    </row>
    <row r="1198" spans="4:56" x14ac:dyDescent="0.2">
      <c r="D1198" s="342"/>
      <c r="F1198" s="342"/>
      <c r="G1198" s="342"/>
      <c r="H1198" s="342"/>
      <c r="I1198" s="342"/>
      <c r="J1198" s="342"/>
      <c r="L1198" s="342"/>
      <c r="M1198" s="342"/>
      <c r="R1198" s="342"/>
      <c r="AJ1198" s="342"/>
      <c r="AL1198" s="342"/>
      <c r="AM1198" s="342"/>
      <c r="BD1198" s="342"/>
    </row>
    <row r="1199" spans="4:56" x14ac:dyDescent="0.2">
      <c r="D1199" s="342"/>
      <c r="F1199" s="342"/>
      <c r="G1199" s="342"/>
      <c r="H1199" s="342"/>
      <c r="I1199" s="342"/>
      <c r="J1199" s="342"/>
      <c r="L1199" s="342"/>
      <c r="M1199" s="342"/>
      <c r="R1199" s="342"/>
      <c r="AJ1199" s="342"/>
      <c r="AL1199" s="342"/>
      <c r="AM1199" s="342"/>
      <c r="BD1199" s="342"/>
    </row>
    <row r="1200" spans="4:56" x14ac:dyDescent="0.2">
      <c r="D1200" s="342"/>
      <c r="F1200" s="342"/>
      <c r="G1200" s="342"/>
      <c r="H1200" s="342"/>
      <c r="I1200" s="342"/>
      <c r="J1200" s="342"/>
      <c r="L1200" s="342"/>
      <c r="M1200" s="342"/>
      <c r="R1200" s="342"/>
      <c r="AJ1200" s="342"/>
      <c r="AL1200" s="342"/>
      <c r="AM1200" s="342"/>
      <c r="BD1200" s="342"/>
    </row>
    <row r="1201" spans="4:56" x14ac:dyDescent="0.2">
      <c r="D1201" s="342"/>
      <c r="F1201" s="342"/>
      <c r="G1201" s="342"/>
      <c r="H1201" s="342"/>
      <c r="I1201" s="342"/>
      <c r="J1201" s="342"/>
      <c r="L1201" s="342"/>
      <c r="M1201" s="342"/>
      <c r="R1201" s="342"/>
      <c r="AJ1201" s="342"/>
      <c r="AL1201" s="342"/>
      <c r="AM1201" s="342"/>
      <c r="BD1201" s="342"/>
    </row>
    <row r="1202" spans="4:56" x14ac:dyDescent="0.2">
      <c r="D1202" s="342"/>
      <c r="F1202" s="342"/>
      <c r="G1202" s="342"/>
      <c r="H1202" s="342"/>
      <c r="I1202" s="342"/>
      <c r="J1202" s="342"/>
      <c r="L1202" s="342"/>
      <c r="M1202" s="342"/>
      <c r="R1202" s="342"/>
      <c r="AJ1202" s="342"/>
      <c r="AL1202" s="342"/>
      <c r="AM1202" s="342"/>
      <c r="BD1202" s="342"/>
    </row>
    <row r="1203" spans="4:56" x14ac:dyDescent="0.2">
      <c r="D1203" s="342"/>
      <c r="F1203" s="342"/>
      <c r="G1203" s="342"/>
      <c r="H1203" s="342"/>
      <c r="I1203" s="342"/>
      <c r="J1203" s="342"/>
      <c r="L1203" s="342"/>
      <c r="M1203" s="342"/>
      <c r="R1203" s="342"/>
      <c r="AJ1203" s="342"/>
      <c r="AL1203" s="342"/>
      <c r="AM1203" s="342"/>
      <c r="BD1203" s="342"/>
    </row>
    <row r="1204" spans="4:56" x14ac:dyDescent="0.2">
      <c r="D1204" s="342"/>
      <c r="F1204" s="342"/>
      <c r="G1204" s="342"/>
      <c r="H1204" s="342"/>
      <c r="I1204" s="342"/>
      <c r="J1204" s="342"/>
      <c r="L1204" s="342"/>
      <c r="M1204" s="342"/>
      <c r="R1204" s="342"/>
      <c r="AJ1204" s="342"/>
      <c r="AL1204" s="342"/>
      <c r="AM1204" s="342"/>
      <c r="BD1204" s="342"/>
    </row>
    <row r="1205" spans="4:56" x14ac:dyDescent="0.2">
      <c r="D1205" s="342"/>
      <c r="F1205" s="342"/>
      <c r="G1205" s="342"/>
      <c r="H1205" s="342"/>
      <c r="I1205" s="342"/>
      <c r="J1205" s="342"/>
      <c r="L1205" s="342"/>
      <c r="M1205" s="342"/>
      <c r="R1205" s="342"/>
      <c r="AJ1205" s="342"/>
      <c r="AL1205" s="342"/>
      <c r="AM1205" s="342"/>
      <c r="BD1205" s="342"/>
    </row>
    <row r="1206" spans="4:56" x14ac:dyDescent="0.2">
      <c r="D1206" s="342"/>
      <c r="F1206" s="342"/>
      <c r="G1206" s="342"/>
      <c r="H1206" s="342"/>
      <c r="I1206" s="342"/>
      <c r="J1206" s="342"/>
      <c r="L1206" s="342"/>
      <c r="M1206" s="342"/>
      <c r="R1206" s="342"/>
      <c r="AJ1206" s="342"/>
      <c r="AL1206" s="342"/>
      <c r="AM1206" s="342"/>
      <c r="BD1206" s="342"/>
    </row>
    <row r="1207" spans="4:56" x14ac:dyDescent="0.2">
      <c r="D1207" s="342"/>
      <c r="F1207" s="342"/>
      <c r="G1207" s="342"/>
      <c r="H1207" s="342"/>
      <c r="I1207" s="342"/>
      <c r="J1207" s="342"/>
      <c r="L1207" s="342"/>
      <c r="M1207" s="342"/>
      <c r="R1207" s="342"/>
      <c r="AJ1207" s="342"/>
      <c r="AL1207" s="342"/>
      <c r="AM1207" s="342"/>
      <c r="BD1207" s="342"/>
    </row>
    <row r="1208" spans="4:56" x14ac:dyDescent="0.2">
      <c r="D1208" s="342"/>
      <c r="F1208" s="342"/>
      <c r="G1208" s="342"/>
      <c r="H1208" s="342"/>
      <c r="I1208" s="342"/>
      <c r="J1208" s="342"/>
      <c r="L1208" s="342"/>
      <c r="M1208" s="342"/>
      <c r="R1208" s="342"/>
      <c r="AJ1208" s="342"/>
      <c r="AL1208" s="342"/>
      <c r="AM1208" s="342"/>
      <c r="BD1208" s="342"/>
    </row>
    <row r="1209" spans="4:56" x14ac:dyDescent="0.2">
      <c r="D1209" s="342"/>
      <c r="F1209" s="342"/>
      <c r="G1209" s="342"/>
      <c r="H1209" s="342"/>
      <c r="I1209" s="342"/>
      <c r="J1209" s="342"/>
      <c r="L1209" s="342"/>
      <c r="M1209" s="342"/>
      <c r="R1209" s="342"/>
      <c r="AJ1209" s="342"/>
      <c r="AL1209" s="342"/>
      <c r="AM1209" s="342"/>
      <c r="BD1209" s="342"/>
    </row>
    <row r="1210" spans="4:56" x14ac:dyDescent="0.2">
      <c r="D1210" s="342"/>
      <c r="F1210" s="342"/>
      <c r="G1210" s="342"/>
      <c r="H1210" s="342"/>
      <c r="I1210" s="342"/>
      <c r="J1210" s="342"/>
      <c r="L1210" s="342"/>
      <c r="M1210" s="342"/>
      <c r="R1210" s="342"/>
      <c r="AJ1210" s="342"/>
      <c r="AL1210" s="342"/>
      <c r="AM1210" s="342"/>
      <c r="BD1210" s="342"/>
    </row>
    <row r="1211" spans="4:56" x14ac:dyDescent="0.2">
      <c r="D1211" s="342"/>
      <c r="F1211" s="342"/>
      <c r="G1211" s="342"/>
      <c r="H1211" s="342"/>
      <c r="I1211" s="342"/>
      <c r="J1211" s="342"/>
      <c r="L1211" s="342"/>
      <c r="M1211" s="342"/>
      <c r="R1211" s="342"/>
      <c r="AJ1211" s="342"/>
      <c r="AL1211" s="342"/>
      <c r="AM1211" s="342"/>
      <c r="BD1211" s="342"/>
    </row>
    <row r="1212" spans="4:56" x14ac:dyDescent="0.2">
      <c r="D1212" s="342"/>
      <c r="F1212" s="342"/>
      <c r="G1212" s="342"/>
      <c r="H1212" s="342"/>
      <c r="I1212" s="342"/>
      <c r="J1212" s="342"/>
      <c r="L1212" s="342"/>
      <c r="M1212" s="342"/>
      <c r="R1212" s="342"/>
      <c r="AJ1212" s="342"/>
      <c r="AL1212" s="342"/>
      <c r="AM1212" s="342"/>
      <c r="BD1212" s="342"/>
    </row>
    <row r="1213" spans="4:56" x14ac:dyDescent="0.2">
      <c r="D1213" s="342"/>
      <c r="F1213" s="342"/>
      <c r="G1213" s="342"/>
      <c r="H1213" s="342"/>
      <c r="I1213" s="342"/>
      <c r="J1213" s="342"/>
      <c r="L1213" s="342"/>
      <c r="M1213" s="342"/>
      <c r="R1213" s="342"/>
      <c r="AJ1213" s="342"/>
      <c r="AL1213" s="342"/>
      <c r="AM1213" s="342"/>
      <c r="BD1213" s="342"/>
    </row>
    <row r="1214" spans="4:56" x14ac:dyDescent="0.2">
      <c r="D1214" s="342"/>
      <c r="F1214" s="342"/>
      <c r="G1214" s="342"/>
      <c r="H1214" s="342"/>
      <c r="I1214" s="342"/>
      <c r="J1214" s="342"/>
      <c r="L1214" s="342"/>
      <c r="M1214" s="342"/>
      <c r="R1214" s="342"/>
      <c r="AJ1214" s="342"/>
      <c r="AL1214" s="342"/>
      <c r="AM1214" s="342"/>
      <c r="BD1214" s="342"/>
    </row>
    <row r="1215" spans="4:56" x14ac:dyDescent="0.2">
      <c r="D1215" s="342"/>
      <c r="F1215" s="342"/>
      <c r="G1215" s="342"/>
      <c r="H1215" s="342"/>
      <c r="I1215" s="342"/>
      <c r="J1215" s="342"/>
      <c r="L1215" s="342"/>
      <c r="M1215" s="342"/>
      <c r="R1215" s="342"/>
      <c r="AJ1215" s="342"/>
      <c r="AL1215" s="342"/>
      <c r="AM1215" s="342"/>
      <c r="BD1215" s="342"/>
    </row>
    <row r="1216" spans="4:56" x14ac:dyDescent="0.2">
      <c r="D1216" s="342"/>
      <c r="F1216" s="342"/>
      <c r="G1216" s="342"/>
      <c r="H1216" s="342"/>
      <c r="I1216" s="342"/>
      <c r="J1216" s="342"/>
      <c r="L1216" s="342"/>
      <c r="M1216" s="342"/>
      <c r="R1216" s="342"/>
      <c r="AJ1216" s="342"/>
      <c r="AL1216" s="342"/>
      <c r="AM1216" s="342"/>
      <c r="BD1216" s="342"/>
    </row>
    <row r="1217" spans="4:56" x14ac:dyDescent="0.2">
      <c r="D1217" s="342"/>
      <c r="F1217" s="342"/>
      <c r="G1217" s="342"/>
      <c r="H1217" s="342"/>
      <c r="I1217" s="342"/>
      <c r="J1217" s="342"/>
      <c r="L1217" s="342"/>
      <c r="M1217" s="342"/>
      <c r="R1217" s="342"/>
      <c r="AJ1217" s="342"/>
      <c r="AL1217" s="342"/>
      <c r="AM1217" s="342"/>
      <c r="BD1217" s="342"/>
    </row>
    <row r="1218" spans="4:56" x14ac:dyDescent="0.2">
      <c r="D1218" s="342"/>
      <c r="F1218" s="342"/>
      <c r="G1218" s="342"/>
      <c r="H1218" s="342"/>
      <c r="I1218" s="342"/>
      <c r="J1218" s="342"/>
      <c r="L1218" s="342"/>
      <c r="M1218" s="342"/>
      <c r="R1218" s="342"/>
      <c r="AJ1218" s="342"/>
      <c r="AL1218" s="342"/>
      <c r="AM1218" s="342"/>
      <c r="BD1218" s="342"/>
    </row>
    <row r="1219" spans="4:56" x14ac:dyDescent="0.2">
      <c r="D1219" s="342"/>
      <c r="F1219" s="342"/>
      <c r="G1219" s="342"/>
      <c r="H1219" s="342"/>
      <c r="I1219" s="342"/>
      <c r="J1219" s="342"/>
      <c r="L1219" s="342"/>
      <c r="M1219" s="342"/>
      <c r="R1219" s="342"/>
      <c r="AJ1219" s="342"/>
      <c r="AL1219" s="342"/>
      <c r="AM1219" s="342"/>
      <c r="BD1219" s="342"/>
    </row>
    <row r="1220" spans="4:56" x14ac:dyDescent="0.2">
      <c r="D1220" s="342"/>
      <c r="F1220" s="342"/>
      <c r="G1220" s="342"/>
      <c r="H1220" s="342"/>
      <c r="I1220" s="342"/>
      <c r="J1220" s="342"/>
      <c r="L1220" s="342"/>
      <c r="M1220" s="342"/>
      <c r="R1220" s="342"/>
      <c r="AJ1220" s="342"/>
      <c r="AL1220" s="342"/>
      <c r="AM1220" s="342"/>
      <c r="BD1220" s="342"/>
    </row>
    <row r="1221" spans="4:56" x14ac:dyDescent="0.2">
      <c r="D1221" s="342"/>
      <c r="F1221" s="342"/>
      <c r="G1221" s="342"/>
      <c r="H1221" s="342"/>
      <c r="I1221" s="342"/>
      <c r="J1221" s="342"/>
      <c r="L1221" s="342"/>
      <c r="M1221" s="342"/>
      <c r="R1221" s="342"/>
      <c r="AJ1221" s="342"/>
      <c r="AL1221" s="342"/>
      <c r="AM1221" s="342"/>
      <c r="BD1221" s="342"/>
    </row>
    <row r="1222" spans="4:56" x14ac:dyDescent="0.2">
      <c r="D1222" s="342"/>
      <c r="F1222" s="342"/>
      <c r="G1222" s="342"/>
      <c r="H1222" s="342"/>
      <c r="I1222" s="342"/>
      <c r="J1222" s="342"/>
      <c r="L1222" s="342"/>
      <c r="M1222" s="342"/>
      <c r="R1222" s="342"/>
      <c r="AJ1222" s="342"/>
      <c r="AL1222" s="342"/>
      <c r="AM1222" s="342"/>
      <c r="BD1222" s="342"/>
    </row>
    <row r="1223" spans="4:56" x14ac:dyDescent="0.2">
      <c r="D1223" s="342"/>
      <c r="F1223" s="342"/>
      <c r="G1223" s="342"/>
      <c r="H1223" s="342"/>
      <c r="I1223" s="342"/>
      <c r="J1223" s="342"/>
      <c r="L1223" s="342"/>
      <c r="M1223" s="342"/>
      <c r="R1223" s="342"/>
      <c r="AJ1223" s="342"/>
      <c r="AL1223" s="342"/>
      <c r="AM1223" s="342"/>
      <c r="BD1223" s="342"/>
    </row>
    <row r="1224" spans="4:56" x14ac:dyDescent="0.2">
      <c r="D1224" s="342"/>
      <c r="F1224" s="342"/>
      <c r="G1224" s="342"/>
      <c r="H1224" s="342"/>
      <c r="I1224" s="342"/>
      <c r="J1224" s="342"/>
      <c r="L1224" s="342"/>
      <c r="M1224" s="342"/>
      <c r="R1224" s="342"/>
      <c r="AJ1224" s="342"/>
      <c r="AL1224" s="342"/>
      <c r="AM1224" s="342"/>
      <c r="BD1224" s="342"/>
    </row>
    <row r="1225" spans="4:56" x14ac:dyDescent="0.2">
      <c r="D1225" s="342"/>
      <c r="F1225" s="342"/>
      <c r="G1225" s="342"/>
      <c r="H1225" s="342"/>
      <c r="I1225" s="342"/>
      <c r="J1225" s="342"/>
      <c r="L1225" s="342"/>
      <c r="M1225" s="342"/>
      <c r="R1225" s="342"/>
      <c r="AJ1225" s="342"/>
      <c r="AL1225" s="342"/>
      <c r="AM1225" s="342"/>
      <c r="BD1225" s="342"/>
    </row>
    <row r="1226" spans="4:56" x14ac:dyDescent="0.2">
      <c r="D1226" s="342"/>
      <c r="F1226" s="342"/>
      <c r="G1226" s="342"/>
      <c r="H1226" s="342"/>
      <c r="I1226" s="342"/>
      <c r="J1226" s="342"/>
      <c r="L1226" s="342"/>
      <c r="M1226" s="342"/>
      <c r="R1226" s="342"/>
      <c r="AJ1226" s="342"/>
      <c r="AL1226" s="342"/>
      <c r="AM1226" s="342"/>
      <c r="BD1226" s="342"/>
    </row>
    <row r="1227" spans="4:56" x14ac:dyDescent="0.2">
      <c r="D1227" s="342"/>
      <c r="F1227" s="342"/>
      <c r="G1227" s="342"/>
      <c r="H1227" s="342"/>
      <c r="I1227" s="342"/>
      <c r="J1227" s="342"/>
      <c r="L1227" s="342"/>
      <c r="M1227" s="342"/>
      <c r="R1227" s="342"/>
      <c r="AJ1227" s="342"/>
      <c r="AL1227" s="342"/>
      <c r="AM1227" s="342"/>
      <c r="BD1227" s="342"/>
    </row>
    <row r="1228" spans="4:56" x14ac:dyDescent="0.2">
      <c r="D1228" s="342"/>
      <c r="F1228" s="342"/>
      <c r="G1228" s="342"/>
      <c r="H1228" s="342"/>
      <c r="I1228" s="342"/>
      <c r="J1228" s="342"/>
      <c r="L1228" s="342"/>
      <c r="M1228" s="342"/>
      <c r="R1228" s="342"/>
      <c r="AJ1228" s="342"/>
      <c r="AL1228" s="342"/>
      <c r="AM1228" s="342"/>
      <c r="BD1228" s="342"/>
    </row>
    <row r="1229" spans="4:56" x14ac:dyDescent="0.2">
      <c r="D1229" s="342"/>
      <c r="F1229" s="342"/>
      <c r="G1229" s="342"/>
      <c r="H1229" s="342"/>
      <c r="I1229" s="342"/>
      <c r="J1229" s="342"/>
      <c r="L1229" s="342"/>
      <c r="M1229" s="342"/>
      <c r="R1229" s="342"/>
      <c r="AJ1229" s="342"/>
      <c r="AL1229" s="342"/>
      <c r="AM1229" s="342"/>
      <c r="BD1229" s="342"/>
    </row>
    <row r="1230" spans="4:56" x14ac:dyDescent="0.2">
      <c r="D1230" s="342"/>
      <c r="F1230" s="342"/>
      <c r="G1230" s="342"/>
      <c r="H1230" s="342"/>
      <c r="I1230" s="342"/>
      <c r="J1230" s="342"/>
      <c r="L1230" s="342"/>
      <c r="M1230" s="342"/>
      <c r="R1230" s="342"/>
      <c r="AJ1230" s="342"/>
      <c r="AL1230" s="342"/>
      <c r="AM1230" s="342"/>
      <c r="BD1230" s="342"/>
    </row>
    <row r="1231" spans="4:56" x14ac:dyDescent="0.2">
      <c r="D1231" s="342"/>
      <c r="F1231" s="342"/>
      <c r="G1231" s="342"/>
      <c r="H1231" s="342"/>
      <c r="I1231" s="342"/>
      <c r="J1231" s="342"/>
      <c r="L1231" s="342"/>
      <c r="M1231" s="342"/>
      <c r="R1231" s="342"/>
      <c r="AJ1231" s="342"/>
      <c r="AL1231" s="342"/>
      <c r="AM1231" s="342"/>
      <c r="BD1231" s="342"/>
    </row>
    <row r="1232" spans="4:56" x14ac:dyDescent="0.2">
      <c r="D1232" s="342"/>
      <c r="F1232" s="342"/>
      <c r="G1232" s="342"/>
      <c r="H1232" s="342"/>
      <c r="I1232" s="342"/>
      <c r="J1232" s="342"/>
      <c r="L1232" s="342"/>
      <c r="M1232" s="342"/>
      <c r="R1232" s="342"/>
      <c r="AJ1232" s="342"/>
      <c r="AL1232" s="342"/>
      <c r="AM1232" s="342"/>
      <c r="BD1232" s="342"/>
    </row>
    <row r="1233" spans="4:56" x14ac:dyDescent="0.2">
      <c r="D1233" s="342"/>
      <c r="F1233" s="342"/>
      <c r="G1233" s="342"/>
      <c r="H1233" s="342"/>
      <c r="I1233" s="342"/>
      <c r="J1233" s="342"/>
      <c r="L1233" s="342"/>
      <c r="M1233" s="342"/>
      <c r="R1233" s="342"/>
      <c r="AJ1233" s="342"/>
      <c r="AL1233" s="342"/>
      <c r="AM1233" s="342"/>
      <c r="BD1233" s="342"/>
    </row>
    <row r="1234" spans="4:56" x14ac:dyDescent="0.2">
      <c r="D1234" s="342"/>
      <c r="F1234" s="342"/>
      <c r="G1234" s="342"/>
      <c r="H1234" s="342"/>
      <c r="I1234" s="342"/>
      <c r="J1234" s="342"/>
      <c r="L1234" s="342"/>
      <c r="M1234" s="342"/>
      <c r="R1234" s="342"/>
      <c r="AJ1234" s="342"/>
      <c r="AL1234" s="342"/>
      <c r="AM1234" s="342"/>
      <c r="BD1234" s="342"/>
    </row>
    <row r="1235" spans="4:56" x14ac:dyDescent="0.2">
      <c r="D1235" s="342"/>
      <c r="F1235" s="342"/>
      <c r="G1235" s="342"/>
      <c r="H1235" s="342"/>
      <c r="I1235" s="342"/>
      <c r="J1235" s="342"/>
      <c r="L1235" s="342"/>
      <c r="M1235" s="342"/>
      <c r="R1235" s="342"/>
      <c r="AJ1235" s="342"/>
      <c r="AL1235" s="342"/>
      <c r="AM1235" s="342"/>
      <c r="BD1235" s="342"/>
    </row>
    <row r="1236" spans="4:56" x14ac:dyDescent="0.2">
      <c r="D1236" s="342"/>
      <c r="F1236" s="342"/>
      <c r="G1236" s="342"/>
      <c r="H1236" s="342"/>
      <c r="I1236" s="342"/>
      <c r="J1236" s="342"/>
      <c r="L1236" s="342"/>
      <c r="M1236" s="342"/>
      <c r="R1236" s="342"/>
      <c r="AJ1236" s="342"/>
      <c r="AL1236" s="342"/>
      <c r="AM1236" s="342"/>
      <c r="BD1236" s="342"/>
    </row>
    <row r="1237" spans="4:56" x14ac:dyDescent="0.2">
      <c r="D1237" s="342"/>
      <c r="F1237" s="342"/>
      <c r="G1237" s="342"/>
      <c r="H1237" s="342"/>
      <c r="I1237" s="342"/>
      <c r="J1237" s="342"/>
      <c r="L1237" s="342"/>
      <c r="M1237" s="342"/>
      <c r="R1237" s="342"/>
      <c r="AJ1237" s="342"/>
      <c r="AL1237" s="342"/>
      <c r="AM1237" s="342"/>
      <c r="BD1237" s="342"/>
    </row>
    <row r="1238" spans="4:56" x14ac:dyDescent="0.2">
      <c r="D1238" s="342"/>
      <c r="F1238" s="342"/>
      <c r="G1238" s="342"/>
      <c r="H1238" s="342"/>
      <c r="I1238" s="342"/>
      <c r="J1238" s="342"/>
      <c r="L1238" s="342"/>
      <c r="M1238" s="342"/>
      <c r="R1238" s="342"/>
      <c r="AJ1238" s="342"/>
      <c r="AL1238" s="342"/>
      <c r="AM1238" s="342"/>
      <c r="BD1238" s="342"/>
    </row>
    <row r="1239" spans="4:56" x14ac:dyDescent="0.2">
      <c r="D1239" s="342"/>
      <c r="F1239" s="342"/>
      <c r="G1239" s="342"/>
      <c r="H1239" s="342"/>
      <c r="I1239" s="342"/>
      <c r="J1239" s="342"/>
      <c r="L1239" s="342"/>
      <c r="M1239" s="342"/>
      <c r="R1239" s="342"/>
      <c r="AJ1239" s="342"/>
      <c r="AL1239" s="342"/>
      <c r="AM1239" s="342"/>
      <c r="BD1239" s="342"/>
    </row>
    <row r="1240" spans="4:56" x14ac:dyDescent="0.2">
      <c r="D1240" s="342"/>
      <c r="F1240" s="342"/>
      <c r="G1240" s="342"/>
      <c r="H1240" s="342"/>
      <c r="I1240" s="342"/>
      <c r="J1240" s="342"/>
      <c r="L1240" s="342"/>
      <c r="M1240" s="342"/>
      <c r="R1240" s="342"/>
      <c r="AJ1240" s="342"/>
      <c r="AL1240" s="342"/>
      <c r="AM1240" s="342"/>
      <c r="BD1240" s="342"/>
    </row>
    <row r="1241" spans="4:56" x14ac:dyDescent="0.2">
      <c r="D1241" s="342"/>
      <c r="F1241" s="342"/>
      <c r="G1241" s="342"/>
      <c r="H1241" s="342"/>
      <c r="I1241" s="342"/>
      <c r="J1241" s="342"/>
      <c r="L1241" s="342"/>
      <c r="M1241" s="342"/>
      <c r="R1241" s="342"/>
      <c r="AJ1241" s="342"/>
      <c r="AL1241" s="342"/>
      <c r="AM1241" s="342"/>
      <c r="BD1241" s="342"/>
    </row>
    <row r="1242" spans="4:56" x14ac:dyDescent="0.2">
      <c r="D1242" s="342"/>
      <c r="F1242" s="342"/>
      <c r="G1242" s="342"/>
      <c r="H1242" s="342"/>
      <c r="I1242" s="342"/>
      <c r="J1242" s="342"/>
      <c r="L1242" s="342"/>
      <c r="M1242" s="342"/>
      <c r="R1242" s="342"/>
      <c r="AJ1242" s="342"/>
      <c r="AL1242" s="342"/>
      <c r="AM1242" s="342"/>
      <c r="BD1242" s="342"/>
    </row>
    <row r="1243" spans="4:56" x14ac:dyDescent="0.2">
      <c r="D1243" s="342"/>
      <c r="F1243" s="342"/>
      <c r="G1243" s="342"/>
      <c r="H1243" s="342"/>
      <c r="I1243" s="342"/>
      <c r="J1243" s="342"/>
      <c r="L1243" s="342"/>
      <c r="M1243" s="342"/>
      <c r="R1243" s="342"/>
      <c r="AJ1243" s="342"/>
      <c r="AL1243" s="342"/>
      <c r="AM1243" s="342"/>
      <c r="BD1243" s="342"/>
    </row>
    <row r="1244" spans="4:56" x14ac:dyDescent="0.2">
      <c r="D1244" s="342"/>
      <c r="F1244" s="342"/>
      <c r="G1244" s="342"/>
      <c r="H1244" s="342"/>
      <c r="I1244" s="342"/>
      <c r="J1244" s="342"/>
      <c r="L1244" s="342"/>
      <c r="M1244" s="342"/>
      <c r="R1244" s="342"/>
      <c r="AJ1244" s="342"/>
      <c r="AL1244" s="342"/>
      <c r="AM1244" s="342"/>
      <c r="BD1244" s="342"/>
    </row>
    <row r="1245" spans="4:56" x14ac:dyDescent="0.2">
      <c r="D1245" s="342"/>
      <c r="F1245" s="342"/>
      <c r="G1245" s="342"/>
      <c r="H1245" s="342"/>
      <c r="I1245" s="342"/>
      <c r="J1245" s="342"/>
      <c r="L1245" s="342"/>
      <c r="M1245" s="342"/>
      <c r="R1245" s="342"/>
      <c r="AJ1245" s="342"/>
      <c r="AL1245" s="342"/>
      <c r="AM1245" s="342"/>
      <c r="BD1245" s="342"/>
    </row>
    <row r="1246" spans="4:56" x14ac:dyDescent="0.2">
      <c r="D1246" s="342"/>
      <c r="F1246" s="342"/>
      <c r="G1246" s="342"/>
      <c r="H1246" s="342"/>
      <c r="I1246" s="342"/>
      <c r="J1246" s="342"/>
      <c r="L1246" s="342"/>
      <c r="M1246" s="342"/>
      <c r="R1246" s="342"/>
      <c r="AJ1246" s="342"/>
      <c r="AL1246" s="342"/>
      <c r="AM1246" s="342"/>
      <c r="BD1246" s="342"/>
    </row>
    <row r="1247" spans="4:56" x14ac:dyDescent="0.2">
      <c r="D1247" s="342"/>
      <c r="F1247" s="342"/>
      <c r="G1247" s="342"/>
      <c r="H1247" s="342"/>
      <c r="I1247" s="342"/>
      <c r="J1247" s="342"/>
      <c r="L1247" s="342"/>
      <c r="M1247" s="342"/>
      <c r="R1247" s="342"/>
      <c r="AJ1247" s="342"/>
      <c r="AL1247" s="342"/>
      <c r="AM1247" s="342"/>
      <c r="BD1247" s="342"/>
    </row>
    <row r="1248" spans="4:56" x14ac:dyDescent="0.2">
      <c r="D1248" s="342"/>
      <c r="F1248" s="342"/>
      <c r="G1248" s="342"/>
      <c r="H1248" s="342"/>
      <c r="I1248" s="342"/>
      <c r="J1248" s="342"/>
      <c r="L1248" s="342"/>
      <c r="M1248" s="342"/>
      <c r="R1248" s="342"/>
      <c r="AJ1248" s="342"/>
      <c r="AL1248" s="342"/>
      <c r="AM1248" s="342"/>
      <c r="BD1248" s="342"/>
    </row>
    <row r="1249" spans="4:56" x14ac:dyDescent="0.2">
      <c r="D1249" s="342"/>
      <c r="F1249" s="342"/>
      <c r="G1249" s="342"/>
      <c r="H1249" s="342"/>
      <c r="I1249" s="342"/>
      <c r="J1249" s="342"/>
      <c r="L1249" s="342"/>
      <c r="M1249" s="342"/>
      <c r="R1249" s="342"/>
      <c r="AJ1249" s="342"/>
      <c r="AL1249" s="342"/>
      <c r="AM1249" s="342"/>
      <c r="BD1249" s="342"/>
    </row>
    <row r="1250" spans="4:56" x14ac:dyDescent="0.2">
      <c r="D1250" s="342"/>
      <c r="F1250" s="342"/>
      <c r="G1250" s="342"/>
      <c r="H1250" s="342"/>
      <c r="I1250" s="342"/>
      <c r="J1250" s="342"/>
      <c r="L1250" s="342"/>
      <c r="M1250" s="342"/>
      <c r="R1250" s="342"/>
      <c r="AJ1250" s="342"/>
      <c r="AL1250" s="342"/>
      <c r="AM1250" s="342"/>
      <c r="BD1250" s="342"/>
    </row>
    <row r="1251" spans="4:56" x14ac:dyDescent="0.2">
      <c r="D1251" s="342"/>
      <c r="F1251" s="342"/>
      <c r="G1251" s="342"/>
      <c r="H1251" s="342"/>
      <c r="I1251" s="342"/>
      <c r="J1251" s="342"/>
      <c r="L1251" s="342"/>
      <c r="M1251" s="342"/>
      <c r="R1251" s="342"/>
      <c r="AJ1251" s="342"/>
      <c r="AL1251" s="342"/>
      <c r="AM1251" s="342"/>
      <c r="BD1251" s="342"/>
    </row>
    <row r="1252" spans="4:56" x14ac:dyDescent="0.2">
      <c r="D1252" s="342"/>
      <c r="F1252" s="342"/>
      <c r="G1252" s="342"/>
      <c r="H1252" s="342"/>
      <c r="I1252" s="342"/>
      <c r="J1252" s="342"/>
      <c r="L1252" s="342"/>
      <c r="M1252" s="342"/>
      <c r="R1252" s="342"/>
      <c r="AJ1252" s="342"/>
      <c r="AL1252" s="342"/>
      <c r="AM1252" s="342"/>
      <c r="BD1252" s="342"/>
    </row>
    <row r="1253" spans="4:56" x14ac:dyDescent="0.2">
      <c r="D1253" s="342"/>
      <c r="F1253" s="342"/>
      <c r="G1253" s="342"/>
      <c r="H1253" s="342"/>
      <c r="I1253" s="342"/>
      <c r="J1253" s="342"/>
      <c r="L1253" s="342"/>
      <c r="M1253" s="342"/>
      <c r="R1253" s="342"/>
      <c r="AJ1253" s="342"/>
      <c r="AL1253" s="342"/>
      <c r="AM1253" s="342"/>
      <c r="BD1253" s="342"/>
    </row>
    <row r="1254" spans="4:56" x14ac:dyDescent="0.2">
      <c r="D1254" s="342"/>
      <c r="F1254" s="342"/>
      <c r="G1254" s="342"/>
      <c r="H1254" s="342"/>
      <c r="I1254" s="342"/>
      <c r="J1254" s="342"/>
      <c r="L1254" s="342"/>
      <c r="M1254" s="342"/>
      <c r="R1254" s="342"/>
      <c r="AJ1254" s="342"/>
      <c r="AL1254" s="342"/>
      <c r="AM1254" s="342"/>
      <c r="BD1254" s="342"/>
    </row>
    <row r="1255" spans="4:56" x14ac:dyDescent="0.2">
      <c r="D1255" s="342"/>
      <c r="F1255" s="342"/>
      <c r="G1255" s="342"/>
      <c r="H1255" s="342"/>
      <c r="I1255" s="342"/>
      <c r="J1255" s="342"/>
      <c r="L1255" s="342"/>
      <c r="M1255" s="342"/>
      <c r="R1255" s="342"/>
      <c r="AJ1255" s="342"/>
      <c r="AL1255" s="342"/>
      <c r="AM1255" s="342"/>
      <c r="BD1255" s="342"/>
    </row>
    <row r="1256" spans="4:56" x14ac:dyDescent="0.2">
      <c r="D1256" s="342"/>
      <c r="F1256" s="342"/>
      <c r="G1256" s="342"/>
      <c r="H1256" s="342"/>
      <c r="I1256" s="342"/>
      <c r="J1256" s="342"/>
      <c r="L1256" s="342"/>
      <c r="M1256" s="342"/>
      <c r="R1256" s="342"/>
      <c r="AJ1256" s="342"/>
      <c r="AL1256" s="342"/>
      <c r="AM1256" s="342"/>
      <c r="BD1256" s="342"/>
    </row>
    <row r="1257" spans="4:56" x14ac:dyDescent="0.2">
      <c r="D1257" s="342"/>
      <c r="F1257" s="342"/>
      <c r="G1257" s="342"/>
      <c r="H1257" s="342"/>
      <c r="I1257" s="342"/>
      <c r="J1257" s="342"/>
      <c r="L1257" s="342"/>
      <c r="M1257" s="342"/>
      <c r="R1257" s="342"/>
      <c r="AJ1257" s="342"/>
      <c r="AL1257" s="342"/>
      <c r="AM1257" s="342"/>
      <c r="BD1257" s="342"/>
    </row>
    <row r="1258" spans="4:56" x14ac:dyDescent="0.2">
      <c r="D1258" s="342"/>
      <c r="F1258" s="342"/>
      <c r="G1258" s="342"/>
      <c r="H1258" s="342"/>
      <c r="I1258" s="342"/>
      <c r="J1258" s="342"/>
      <c r="L1258" s="342"/>
      <c r="M1258" s="342"/>
      <c r="R1258" s="342"/>
      <c r="AJ1258" s="342"/>
      <c r="AL1258" s="342"/>
      <c r="AM1258" s="342"/>
      <c r="BD1258" s="342"/>
    </row>
    <row r="1259" spans="4:56" x14ac:dyDescent="0.2">
      <c r="D1259" s="342"/>
      <c r="F1259" s="342"/>
      <c r="G1259" s="342"/>
      <c r="H1259" s="342"/>
      <c r="I1259" s="342"/>
      <c r="J1259" s="342"/>
      <c r="L1259" s="342"/>
      <c r="M1259" s="342"/>
      <c r="R1259" s="342"/>
      <c r="AJ1259" s="342"/>
      <c r="AL1259" s="342"/>
      <c r="AM1259" s="342"/>
      <c r="BD1259" s="342"/>
    </row>
    <row r="1260" spans="4:56" x14ac:dyDescent="0.2">
      <c r="D1260" s="342"/>
      <c r="F1260" s="342"/>
      <c r="G1260" s="342"/>
      <c r="H1260" s="342"/>
      <c r="I1260" s="342"/>
      <c r="J1260" s="342"/>
      <c r="L1260" s="342"/>
      <c r="M1260" s="342"/>
      <c r="R1260" s="342"/>
      <c r="AJ1260" s="342"/>
      <c r="AL1260" s="342"/>
      <c r="AM1260" s="342"/>
      <c r="BD1260" s="342"/>
    </row>
    <row r="1261" spans="4:56" x14ac:dyDescent="0.2">
      <c r="D1261" s="342"/>
      <c r="F1261" s="342"/>
      <c r="G1261" s="342"/>
      <c r="H1261" s="342"/>
      <c r="I1261" s="342"/>
      <c r="J1261" s="342"/>
      <c r="L1261" s="342"/>
      <c r="M1261" s="342"/>
      <c r="R1261" s="342"/>
      <c r="AJ1261" s="342"/>
      <c r="AL1261" s="342"/>
      <c r="AM1261" s="342"/>
      <c r="BD1261" s="342"/>
    </row>
    <row r="1262" spans="4:56" x14ac:dyDescent="0.2">
      <c r="D1262" s="342"/>
      <c r="F1262" s="342"/>
      <c r="G1262" s="342"/>
      <c r="H1262" s="342"/>
      <c r="I1262" s="342"/>
      <c r="J1262" s="342"/>
      <c r="L1262" s="342"/>
      <c r="M1262" s="342"/>
      <c r="R1262" s="342"/>
      <c r="AJ1262" s="342"/>
      <c r="AL1262" s="342"/>
      <c r="AM1262" s="342"/>
      <c r="BD1262" s="342"/>
    </row>
    <row r="1263" spans="4:56" x14ac:dyDescent="0.2">
      <c r="D1263" s="342"/>
      <c r="F1263" s="342"/>
      <c r="G1263" s="342"/>
      <c r="H1263" s="342"/>
      <c r="I1263" s="342"/>
      <c r="J1263" s="342"/>
      <c r="L1263" s="342"/>
      <c r="M1263" s="342"/>
      <c r="R1263" s="342"/>
      <c r="AJ1263" s="342"/>
      <c r="AL1263" s="342"/>
      <c r="AM1263" s="342"/>
      <c r="BD1263" s="342"/>
    </row>
    <row r="1264" spans="4:56" x14ac:dyDescent="0.2">
      <c r="D1264" s="342"/>
      <c r="F1264" s="342"/>
      <c r="G1264" s="342"/>
      <c r="H1264" s="342"/>
      <c r="I1264" s="342"/>
      <c r="J1264" s="342"/>
      <c r="L1264" s="342"/>
      <c r="M1264" s="342"/>
      <c r="R1264" s="342"/>
      <c r="AJ1264" s="342"/>
      <c r="AL1264" s="342"/>
      <c r="AM1264" s="342"/>
      <c r="BD1264" s="342"/>
    </row>
    <row r="1265" spans="4:56" x14ac:dyDescent="0.2">
      <c r="D1265" s="342"/>
      <c r="F1265" s="342"/>
      <c r="G1265" s="342"/>
      <c r="H1265" s="342"/>
      <c r="I1265" s="342"/>
      <c r="J1265" s="342"/>
      <c r="L1265" s="342"/>
      <c r="M1265" s="342"/>
      <c r="R1265" s="342"/>
      <c r="AJ1265" s="342"/>
      <c r="AL1265" s="342"/>
      <c r="AM1265" s="342"/>
      <c r="BD1265" s="342"/>
    </row>
    <row r="1266" spans="4:56" x14ac:dyDescent="0.2">
      <c r="D1266" s="342"/>
      <c r="F1266" s="342"/>
      <c r="G1266" s="342"/>
      <c r="H1266" s="342"/>
      <c r="I1266" s="342"/>
      <c r="J1266" s="342"/>
      <c r="L1266" s="342"/>
      <c r="M1266" s="342"/>
      <c r="R1266" s="342"/>
      <c r="AJ1266" s="342"/>
      <c r="AL1266" s="342"/>
      <c r="AM1266" s="342"/>
      <c r="BD1266" s="342"/>
    </row>
    <row r="1267" spans="4:56" x14ac:dyDescent="0.2">
      <c r="D1267" s="342"/>
      <c r="F1267" s="342"/>
      <c r="G1267" s="342"/>
      <c r="H1267" s="342"/>
      <c r="I1267" s="342"/>
      <c r="J1267" s="342"/>
      <c r="L1267" s="342"/>
      <c r="M1267" s="342"/>
      <c r="R1267" s="342"/>
      <c r="AJ1267" s="342"/>
      <c r="AL1267" s="342"/>
      <c r="AM1267" s="342"/>
      <c r="BD1267" s="342"/>
    </row>
    <row r="1268" spans="4:56" x14ac:dyDescent="0.2">
      <c r="D1268" s="342"/>
      <c r="F1268" s="342"/>
      <c r="G1268" s="342"/>
      <c r="H1268" s="342"/>
      <c r="I1268" s="342"/>
      <c r="J1268" s="342"/>
      <c r="L1268" s="342"/>
      <c r="M1268" s="342"/>
      <c r="R1268" s="342"/>
      <c r="AJ1268" s="342"/>
      <c r="AL1268" s="342"/>
      <c r="AM1268" s="342"/>
      <c r="BD1268" s="342"/>
    </row>
    <row r="1269" spans="4:56" x14ac:dyDescent="0.2">
      <c r="D1269" s="342"/>
      <c r="F1269" s="342"/>
      <c r="G1269" s="342"/>
      <c r="H1269" s="342"/>
      <c r="I1269" s="342"/>
      <c r="J1269" s="342"/>
      <c r="L1269" s="342"/>
      <c r="M1269" s="342"/>
      <c r="R1269" s="342"/>
      <c r="AJ1269" s="342"/>
      <c r="AL1269" s="342"/>
      <c r="AM1269" s="342"/>
      <c r="BD1269" s="342"/>
    </row>
    <row r="1270" spans="4:56" x14ac:dyDescent="0.2">
      <c r="D1270" s="342"/>
      <c r="F1270" s="342"/>
      <c r="G1270" s="342"/>
      <c r="H1270" s="342"/>
      <c r="I1270" s="342"/>
      <c r="J1270" s="342"/>
      <c r="L1270" s="342"/>
      <c r="M1270" s="342"/>
      <c r="R1270" s="342"/>
      <c r="AJ1270" s="342"/>
      <c r="AL1270" s="342"/>
      <c r="AM1270" s="342"/>
      <c r="BD1270" s="342"/>
    </row>
    <row r="1271" spans="4:56" x14ac:dyDescent="0.2">
      <c r="D1271" s="342"/>
      <c r="F1271" s="342"/>
      <c r="G1271" s="342"/>
      <c r="H1271" s="342"/>
      <c r="I1271" s="342"/>
      <c r="J1271" s="342"/>
      <c r="L1271" s="342"/>
      <c r="M1271" s="342"/>
      <c r="R1271" s="342"/>
      <c r="AJ1271" s="342"/>
      <c r="AL1271" s="342"/>
      <c r="AM1271" s="342"/>
      <c r="BD1271" s="342"/>
    </row>
    <row r="1272" spans="4:56" x14ac:dyDescent="0.2">
      <c r="D1272" s="342"/>
      <c r="F1272" s="342"/>
      <c r="G1272" s="342"/>
      <c r="H1272" s="342"/>
      <c r="I1272" s="342"/>
      <c r="J1272" s="342"/>
      <c r="L1272" s="342"/>
      <c r="M1272" s="342"/>
      <c r="R1272" s="342"/>
      <c r="AJ1272" s="342"/>
      <c r="AL1272" s="342"/>
      <c r="AM1272" s="342"/>
      <c r="BD1272" s="342"/>
    </row>
    <row r="1273" spans="4:56" x14ac:dyDescent="0.2">
      <c r="D1273" s="342"/>
      <c r="F1273" s="342"/>
      <c r="G1273" s="342"/>
      <c r="H1273" s="342"/>
      <c r="I1273" s="342"/>
      <c r="J1273" s="342"/>
      <c r="L1273" s="342"/>
      <c r="M1273" s="342"/>
      <c r="R1273" s="342"/>
      <c r="AJ1273" s="342"/>
      <c r="AL1273" s="342"/>
      <c r="AM1273" s="342"/>
      <c r="BD1273" s="342"/>
    </row>
    <row r="1274" spans="4:56" x14ac:dyDescent="0.2">
      <c r="D1274" s="342"/>
      <c r="F1274" s="342"/>
      <c r="G1274" s="342"/>
      <c r="H1274" s="342"/>
      <c r="I1274" s="342"/>
      <c r="J1274" s="342"/>
      <c r="L1274" s="342"/>
      <c r="M1274" s="342"/>
      <c r="R1274" s="342"/>
      <c r="AJ1274" s="342"/>
      <c r="AL1274" s="342"/>
      <c r="AM1274" s="342"/>
      <c r="BD1274" s="342"/>
    </row>
    <row r="1275" spans="4:56" x14ac:dyDescent="0.2">
      <c r="D1275" s="342"/>
      <c r="F1275" s="342"/>
      <c r="G1275" s="342"/>
      <c r="H1275" s="342"/>
      <c r="I1275" s="342"/>
      <c r="J1275" s="342"/>
      <c r="L1275" s="342"/>
      <c r="M1275" s="342"/>
      <c r="R1275" s="342"/>
      <c r="AJ1275" s="342"/>
      <c r="AL1275" s="342"/>
      <c r="AM1275" s="342"/>
      <c r="BD1275" s="342"/>
    </row>
    <row r="1276" spans="4:56" x14ac:dyDescent="0.2">
      <c r="D1276" s="342"/>
      <c r="F1276" s="342"/>
      <c r="G1276" s="342"/>
      <c r="H1276" s="342"/>
      <c r="I1276" s="342"/>
      <c r="J1276" s="342"/>
      <c r="L1276" s="342"/>
      <c r="M1276" s="342"/>
      <c r="R1276" s="342"/>
      <c r="AJ1276" s="342"/>
      <c r="AL1276" s="342"/>
      <c r="AM1276" s="342"/>
      <c r="BD1276" s="342"/>
    </row>
    <row r="1277" spans="4:56" x14ac:dyDescent="0.2">
      <c r="D1277" s="342"/>
      <c r="F1277" s="342"/>
      <c r="G1277" s="342"/>
      <c r="H1277" s="342"/>
      <c r="I1277" s="342"/>
      <c r="J1277" s="342"/>
      <c r="L1277" s="342"/>
      <c r="M1277" s="342"/>
      <c r="R1277" s="342"/>
      <c r="AJ1277" s="342"/>
      <c r="AL1277" s="342"/>
      <c r="AM1277" s="342"/>
      <c r="BD1277" s="342"/>
    </row>
    <row r="1278" spans="4:56" x14ac:dyDescent="0.2">
      <c r="D1278" s="342"/>
      <c r="F1278" s="342"/>
      <c r="G1278" s="342"/>
      <c r="H1278" s="342"/>
      <c r="I1278" s="342"/>
      <c r="J1278" s="342"/>
      <c r="L1278" s="342"/>
      <c r="M1278" s="342"/>
      <c r="R1278" s="342"/>
      <c r="AJ1278" s="342"/>
      <c r="AL1278" s="342"/>
      <c r="AM1278" s="342"/>
      <c r="BD1278" s="342"/>
    </row>
    <row r="1279" spans="4:56" x14ac:dyDescent="0.2">
      <c r="D1279" s="342"/>
      <c r="F1279" s="342"/>
      <c r="G1279" s="342"/>
      <c r="H1279" s="342"/>
      <c r="I1279" s="342"/>
      <c r="J1279" s="342"/>
      <c r="L1279" s="342"/>
      <c r="M1279" s="342"/>
      <c r="R1279" s="342"/>
      <c r="AJ1279" s="342"/>
      <c r="AL1279" s="342"/>
      <c r="AM1279" s="342"/>
      <c r="BD1279" s="342"/>
    </row>
    <row r="1280" spans="4:56" x14ac:dyDescent="0.2">
      <c r="D1280" s="342"/>
      <c r="F1280" s="342"/>
      <c r="G1280" s="342"/>
      <c r="H1280" s="342"/>
      <c r="I1280" s="342"/>
      <c r="J1280" s="342"/>
      <c r="L1280" s="342"/>
      <c r="M1280" s="342"/>
      <c r="R1280" s="342"/>
      <c r="AJ1280" s="342"/>
      <c r="AL1280" s="342"/>
      <c r="AM1280" s="342"/>
      <c r="BD1280" s="342"/>
    </row>
    <row r="1281" spans="4:56" x14ac:dyDescent="0.2">
      <c r="D1281" s="342"/>
      <c r="F1281" s="342"/>
      <c r="G1281" s="342"/>
      <c r="H1281" s="342"/>
      <c r="I1281" s="342"/>
      <c r="J1281" s="342"/>
      <c r="L1281" s="342"/>
      <c r="M1281" s="342"/>
      <c r="R1281" s="342"/>
      <c r="AJ1281" s="342"/>
      <c r="AL1281" s="342"/>
      <c r="AM1281" s="342"/>
      <c r="BD1281" s="342"/>
    </row>
    <row r="1282" spans="4:56" x14ac:dyDescent="0.2">
      <c r="D1282" s="342"/>
      <c r="F1282" s="342"/>
      <c r="G1282" s="342"/>
      <c r="H1282" s="342"/>
      <c r="I1282" s="342"/>
      <c r="J1282" s="342"/>
      <c r="L1282" s="342"/>
      <c r="M1282" s="342"/>
      <c r="R1282" s="342"/>
      <c r="AJ1282" s="342"/>
      <c r="AL1282" s="342"/>
      <c r="AM1282" s="342"/>
      <c r="BD1282" s="342"/>
    </row>
    <row r="1283" spans="4:56" x14ac:dyDescent="0.2">
      <c r="D1283" s="342"/>
      <c r="F1283" s="342"/>
      <c r="G1283" s="342"/>
      <c r="H1283" s="342"/>
      <c r="I1283" s="342"/>
      <c r="J1283" s="342"/>
      <c r="L1283" s="342"/>
      <c r="M1283" s="342"/>
      <c r="R1283" s="342"/>
      <c r="AJ1283" s="342"/>
      <c r="AL1283" s="342"/>
      <c r="AM1283" s="342"/>
      <c r="BD1283" s="342"/>
    </row>
    <row r="1284" spans="4:56" x14ac:dyDescent="0.2">
      <c r="D1284" s="342"/>
      <c r="F1284" s="342"/>
      <c r="G1284" s="342"/>
      <c r="H1284" s="342"/>
      <c r="I1284" s="342"/>
      <c r="J1284" s="342"/>
      <c r="L1284" s="342"/>
      <c r="M1284" s="342"/>
      <c r="R1284" s="342"/>
      <c r="AJ1284" s="342"/>
      <c r="AL1284" s="342"/>
      <c r="AM1284" s="342"/>
      <c r="BD1284" s="342"/>
    </row>
    <row r="1285" spans="4:56" x14ac:dyDescent="0.2">
      <c r="D1285" s="342"/>
      <c r="F1285" s="342"/>
      <c r="G1285" s="342"/>
      <c r="H1285" s="342"/>
      <c r="I1285" s="342"/>
      <c r="J1285" s="342"/>
      <c r="L1285" s="342"/>
      <c r="M1285" s="342"/>
      <c r="R1285" s="342"/>
      <c r="AJ1285" s="342"/>
      <c r="AL1285" s="342"/>
      <c r="AM1285" s="342"/>
      <c r="BD1285" s="342"/>
    </row>
    <row r="1286" spans="4:56" x14ac:dyDescent="0.2">
      <c r="D1286" s="342"/>
      <c r="F1286" s="342"/>
      <c r="G1286" s="342"/>
      <c r="H1286" s="342"/>
      <c r="I1286" s="342"/>
      <c r="J1286" s="342"/>
      <c r="L1286" s="342"/>
      <c r="M1286" s="342"/>
      <c r="R1286" s="342"/>
      <c r="AJ1286" s="342"/>
      <c r="AL1286" s="342"/>
      <c r="AM1286" s="342"/>
      <c r="BD1286" s="342"/>
    </row>
    <row r="1287" spans="4:56" x14ac:dyDescent="0.2">
      <c r="D1287" s="342"/>
      <c r="F1287" s="342"/>
      <c r="G1287" s="342"/>
      <c r="H1287" s="342"/>
      <c r="I1287" s="342"/>
      <c r="J1287" s="342"/>
      <c r="L1287" s="342"/>
      <c r="M1287" s="342"/>
      <c r="R1287" s="342"/>
      <c r="AJ1287" s="342"/>
      <c r="AL1287" s="342"/>
      <c r="AM1287" s="342"/>
      <c r="BD1287" s="342"/>
    </row>
    <row r="1288" spans="4:56" x14ac:dyDescent="0.2">
      <c r="D1288" s="342"/>
      <c r="F1288" s="342"/>
      <c r="G1288" s="342"/>
      <c r="H1288" s="342"/>
      <c r="I1288" s="342"/>
      <c r="J1288" s="342"/>
      <c r="L1288" s="342"/>
      <c r="M1288" s="342"/>
      <c r="R1288" s="342"/>
      <c r="AJ1288" s="342"/>
      <c r="AL1288" s="342"/>
      <c r="AM1288" s="342"/>
      <c r="BD1288" s="342"/>
    </row>
    <row r="1289" spans="4:56" x14ac:dyDescent="0.2">
      <c r="D1289" s="342"/>
      <c r="F1289" s="342"/>
      <c r="G1289" s="342"/>
      <c r="H1289" s="342"/>
      <c r="I1289" s="342"/>
      <c r="J1289" s="342"/>
      <c r="L1289" s="342"/>
      <c r="M1289" s="342"/>
      <c r="R1289" s="342"/>
      <c r="AJ1289" s="342"/>
      <c r="AL1289" s="342"/>
      <c r="AM1289" s="342"/>
      <c r="BD1289" s="342"/>
    </row>
    <row r="1290" spans="4:56" x14ac:dyDescent="0.2">
      <c r="D1290" s="342"/>
      <c r="F1290" s="342"/>
      <c r="G1290" s="342"/>
      <c r="H1290" s="342"/>
      <c r="I1290" s="342"/>
      <c r="J1290" s="342"/>
      <c r="L1290" s="342"/>
      <c r="M1290" s="342"/>
      <c r="R1290" s="342"/>
      <c r="AJ1290" s="342"/>
      <c r="AL1290" s="342"/>
      <c r="AM1290" s="342"/>
      <c r="BD1290" s="342"/>
    </row>
    <row r="1291" spans="4:56" x14ac:dyDescent="0.2">
      <c r="D1291" s="342"/>
      <c r="F1291" s="342"/>
      <c r="G1291" s="342"/>
      <c r="H1291" s="342"/>
      <c r="I1291" s="342"/>
      <c r="J1291" s="342"/>
      <c r="L1291" s="342"/>
      <c r="M1291" s="342"/>
      <c r="R1291" s="342"/>
      <c r="AJ1291" s="342"/>
      <c r="AL1291" s="342"/>
      <c r="AM1291" s="342"/>
      <c r="BD1291" s="342"/>
    </row>
    <row r="1292" spans="4:56" x14ac:dyDescent="0.2">
      <c r="D1292" s="342"/>
      <c r="F1292" s="342"/>
      <c r="G1292" s="342"/>
      <c r="H1292" s="342"/>
      <c r="I1292" s="342"/>
      <c r="J1292" s="342"/>
      <c r="L1292" s="342"/>
      <c r="M1292" s="342"/>
      <c r="R1292" s="342"/>
      <c r="AJ1292" s="342"/>
      <c r="AL1292" s="342"/>
      <c r="AM1292" s="342"/>
      <c r="BD1292" s="342"/>
    </row>
    <row r="1293" spans="4:56" x14ac:dyDescent="0.2">
      <c r="D1293" s="342"/>
      <c r="F1293" s="342"/>
      <c r="G1293" s="342"/>
      <c r="H1293" s="342"/>
      <c r="I1293" s="342"/>
      <c r="J1293" s="342"/>
      <c r="L1293" s="342"/>
      <c r="M1293" s="342"/>
      <c r="R1293" s="342"/>
      <c r="AJ1293" s="342"/>
      <c r="AL1293" s="342"/>
      <c r="AM1293" s="342"/>
      <c r="BD1293" s="342"/>
    </row>
    <row r="1294" spans="4:56" x14ac:dyDescent="0.2">
      <c r="D1294" s="342"/>
      <c r="F1294" s="342"/>
      <c r="G1294" s="342"/>
      <c r="H1294" s="342"/>
      <c r="I1294" s="342"/>
      <c r="J1294" s="342"/>
      <c r="L1294" s="342"/>
      <c r="M1294" s="342"/>
      <c r="R1294" s="342"/>
      <c r="AJ1294" s="342"/>
      <c r="AL1294" s="342"/>
      <c r="AM1294" s="342"/>
      <c r="BD1294" s="342"/>
    </row>
    <row r="1295" spans="4:56" x14ac:dyDescent="0.2">
      <c r="D1295" s="342"/>
      <c r="F1295" s="342"/>
      <c r="G1295" s="342"/>
      <c r="H1295" s="342"/>
      <c r="I1295" s="342"/>
      <c r="J1295" s="342"/>
      <c r="L1295" s="342"/>
      <c r="M1295" s="342"/>
      <c r="R1295" s="342"/>
      <c r="AJ1295" s="342"/>
      <c r="AL1295" s="342"/>
      <c r="AM1295" s="342"/>
      <c r="BD1295" s="342"/>
    </row>
    <row r="1296" spans="4:56" x14ac:dyDescent="0.2">
      <c r="D1296" s="342"/>
      <c r="F1296" s="342"/>
      <c r="G1296" s="342"/>
      <c r="H1296" s="342"/>
      <c r="I1296" s="342"/>
      <c r="J1296" s="342"/>
      <c r="L1296" s="342"/>
      <c r="M1296" s="342"/>
      <c r="R1296" s="342"/>
      <c r="AJ1296" s="342"/>
      <c r="AL1296" s="342"/>
      <c r="AM1296" s="342"/>
      <c r="BD1296" s="342"/>
    </row>
    <row r="1297" spans="4:56" x14ac:dyDescent="0.2">
      <c r="D1297" s="342"/>
      <c r="F1297" s="342"/>
      <c r="G1297" s="342"/>
      <c r="H1297" s="342"/>
      <c r="I1297" s="342"/>
      <c r="J1297" s="342"/>
      <c r="L1297" s="342"/>
      <c r="M1297" s="342"/>
      <c r="R1297" s="342"/>
      <c r="AJ1297" s="342"/>
      <c r="AL1297" s="342"/>
      <c r="AM1297" s="342"/>
      <c r="BD1297" s="342"/>
    </row>
    <row r="1298" spans="4:56" x14ac:dyDescent="0.2">
      <c r="D1298" s="342"/>
      <c r="F1298" s="342"/>
      <c r="G1298" s="342"/>
      <c r="H1298" s="342"/>
      <c r="I1298" s="342"/>
      <c r="J1298" s="342"/>
      <c r="L1298" s="342"/>
      <c r="M1298" s="342"/>
      <c r="R1298" s="342"/>
      <c r="AJ1298" s="342"/>
      <c r="AL1298" s="342"/>
      <c r="AM1298" s="342"/>
      <c r="BD1298" s="342"/>
    </row>
    <row r="1299" spans="4:56" x14ac:dyDescent="0.2">
      <c r="D1299" s="342"/>
      <c r="F1299" s="342"/>
      <c r="G1299" s="342"/>
      <c r="H1299" s="342"/>
      <c r="I1299" s="342"/>
      <c r="J1299" s="342"/>
      <c r="L1299" s="342"/>
      <c r="M1299" s="342"/>
      <c r="R1299" s="342"/>
      <c r="AJ1299" s="342"/>
      <c r="AL1299" s="342"/>
      <c r="AM1299" s="342"/>
      <c r="BD1299" s="342"/>
    </row>
    <row r="1300" spans="4:56" x14ac:dyDescent="0.2">
      <c r="D1300" s="342"/>
      <c r="F1300" s="342"/>
      <c r="G1300" s="342"/>
      <c r="H1300" s="342"/>
      <c r="I1300" s="342"/>
      <c r="J1300" s="342"/>
      <c r="L1300" s="342"/>
      <c r="M1300" s="342"/>
      <c r="R1300" s="342"/>
      <c r="AJ1300" s="342"/>
      <c r="AL1300" s="342"/>
      <c r="AM1300" s="342"/>
      <c r="BD1300" s="342"/>
    </row>
    <row r="1301" spans="4:56" x14ac:dyDescent="0.2">
      <c r="D1301" s="342"/>
      <c r="F1301" s="342"/>
      <c r="G1301" s="342"/>
      <c r="H1301" s="342"/>
      <c r="I1301" s="342"/>
      <c r="J1301" s="342"/>
      <c r="L1301" s="342"/>
      <c r="M1301" s="342"/>
      <c r="R1301" s="342"/>
      <c r="AJ1301" s="342"/>
      <c r="AL1301" s="342"/>
      <c r="AM1301" s="342"/>
      <c r="BD1301" s="342"/>
    </row>
    <row r="1302" spans="4:56" x14ac:dyDescent="0.2">
      <c r="D1302" s="342"/>
      <c r="F1302" s="342"/>
      <c r="G1302" s="342"/>
      <c r="H1302" s="342"/>
      <c r="I1302" s="342"/>
      <c r="J1302" s="342"/>
      <c r="L1302" s="342"/>
      <c r="M1302" s="342"/>
      <c r="R1302" s="342"/>
      <c r="AJ1302" s="342"/>
      <c r="AL1302" s="342"/>
      <c r="AM1302" s="342"/>
      <c r="BD1302" s="342"/>
    </row>
    <row r="1303" spans="4:56" x14ac:dyDescent="0.2">
      <c r="D1303" s="342"/>
      <c r="F1303" s="342"/>
      <c r="G1303" s="342"/>
      <c r="H1303" s="342"/>
      <c r="I1303" s="342"/>
      <c r="J1303" s="342"/>
      <c r="L1303" s="342"/>
      <c r="M1303" s="342"/>
      <c r="R1303" s="342"/>
      <c r="AJ1303" s="342"/>
      <c r="AL1303" s="342"/>
      <c r="AM1303" s="342"/>
      <c r="BD1303" s="342"/>
    </row>
    <row r="1304" spans="4:56" x14ac:dyDescent="0.2">
      <c r="D1304" s="342"/>
      <c r="F1304" s="342"/>
      <c r="G1304" s="342"/>
      <c r="H1304" s="342"/>
      <c r="I1304" s="342"/>
      <c r="J1304" s="342"/>
      <c r="L1304" s="342"/>
      <c r="M1304" s="342"/>
      <c r="R1304" s="342"/>
      <c r="AJ1304" s="342"/>
      <c r="AL1304" s="342"/>
      <c r="AM1304" s="342"/>
      <c r="BD1304" s="342"/>
    </row>
    <row r="1305" spans="4:56" x14ac:dyDescent="0.2">
      <c r="D1305" s="342"/>
      <c r="F1305" s="342"/>
      <c r="G1305" s="342"/>
      <c r="H1305" s="342"/>
      <c r="I1305" s="342"/>
      <c r="J1305" s="342"/>
      <c r="L1305" s="342"/>
      <c r="M1305" s="342"/>
      <c r="R1305" s="342"/>
      <c r="AJ1305" s="342"/>
      <c r="AL1305" s="342"/>
      <c r="AM1305" s="342"/>
      <c r="BD1305" s="342"/>
    </row>
    <row r="1306" spans="4:56" x14ac:dyDescent="0.2">
      <c r="D1306" s="342"/>
      <c r="F1306" s="342"/>
      <c r="G1306" s="342"/>
      <c r="H1306" s="342"/>
      <c r="I1306" s="342"/>
      <c r="J1306" s="342"/>
      <c r="L1306" s="342"/>
      <c r="M1306" s="342"/>
      <c r="R1306" s="342"/>
      <c r="AJ1306" s="342"/>
      <c r="AL1306" s="342"/>
      <c r="AM1306" s="342"/>
      <c r="BD1306" s="342"/>
    </row>
    <row r="1307" spans="4:56" x14ac:dyDescent="0.2">
      <c r="D1307" s="342"/>
      <c r="F1307" s="342"/>
      <c r="G1307" s="342"/>
      <c r="H1307" s="342"/>
      <c r="I1307" s="342"/>
      <c r="J1307" s="342"/>
      <c r="L1307" s="342"/>
      <c r="M1307" s="342"/>
      <c r="R1307" s="342"/>
      <c r="AJ1307" s="342"/>
      <c r="AL1307" s="342"/>
      <c r="AM1307" s="342"/>
      <c r="BD1307" s="342"/>
    </row>
    <row r="1308" spans="4:56" x14ac:dyDescent="0.2">
      <c r="D1308" s="342"/>
      <c r="F1308" s="342"/>
      <c r="G1308" s="342"/>
      <c r="H1308" s="342"/>
      <c r="I1308" s="342"/>
      <c r="J1308" s="342"/>
      <c r="L1308" s="342"/>
      <c r="M1308" s="342"/>
      <c r="R1308" s="342"/>
      <c r="AJ1308" s="342"/>
      <c r="AL1308" s="342"/>
      <c r="AM1308" s="342"/>
      <c r="BD1308" s="342"/>
    </row>
    <row r="1309" spans="4:56" x14ac:dyDescent="0.2">
      <c r="D1309" s="342"/>
      <c r="F1309" s="342"/>
      <c r="G1309" s="342"/>
      <c r="H1309" s="342"/>
      <c r="I1309" s="342"/>
      <c r="J1309" s="342"/>
      <c r="L1309" s="342"/>
      <c r="M1309" s="342"/>
      <c r="R1309" s="342"/>
      <c r="AJ1309" s="342"/>
      <c r="AL1309" s="342"/>
      <c r="AM1309" s="342"/>
      <c r="BD1309" s="342"/>
    </row>
    <row r="1310" spans="4:56" x14ac:dyDescent="0.2">
      <c r="D1310" s="342"/>
      <c r="F1310" s="342"/>
      <c r="G1310" s="342"/>
      <c r="H1310" s="342"/>
      <c r="I1310" s="342"/>
      <c r="J1310" s="342"/>
      <c r="L1310" s="342"/>
      <c r="M1310" s="342"/>
      <c r="R1310" s="342"/>
      <c r="AJ1310" s="342"/>
      <c r="AL1310" s="342"/>
      <c r="AM1310" s="342"/>
      <c r="BD1310" s="342"/>
    </row>
    <row r="1311" spans="4:56" x14ac:dyDescent="0.2">
      <c r="D1311" s="342"/>
      <c r="F1311" s="342"/>
      <c r="G1311" s="342"/>
      <c r="H1311" s="342"/>
      <c r="I1311" s="342"/>
      <c r="J1311" s="342"/>
      <c r="L1311" s="342"/>
      <c r="M1311" s="342"/>
      <c r="R1311" s="342"/>
      <c r="AJ1311" s="342"/>
      <c r="AL1311" s="342"/>
      <c r="AM1311" s="342"/>
      <c r="BD1311" s="342"/>
    </row>
    <row r="1312" spans="4:56" x14ac:dyDescent="0.2">
      <c r="D1312" s="342"/>
      <c r="F1312" s="342"/>
      <c r="G1312" s="342"/>
      <c r="H1312" s="342"/>
      <c r="I1312" s="342"/>
      <c r="J1312" s="342"/>
      <c r="L1312" s="342"/>
      <c r="M1312" s="342"/>
      <c r="R1312" s="342"/>
      <c r="AJ1312" s="342"/>
      <c r="AL1312" s="342"/>
      <c r="AM1312" s="342"/>
      <c r="BD1312" s="342"/>
    </row>
    <row r="1313" spans="4:56" x14ac:dyDescent="0.2">
      <c r="D1313" s="342"/>
      <c r="F1313" s="342"/>
      <c r="G1313" s="342"/>
      <c r="H1313" s="342"/>
      <c r="I1313" s="342"/>
      <c r="J1313" s="342"/>
      <c r="L1313" s="342"/>
      <c r="M1313" s="342"/>
      <c r="R1313" s="342"/>
      <c r="AJ1313" s="342"/>
      <c r="AL1313" s="342"/>
      <c r="AM1313" s="342"/>
      <c r="BD1313" s="342"/>
    </row>
    <row r="1314" spans="4:56" x14ac:dyDescent="0.2">
      <c r="D1314" s="342"/>
      <c r="F1314" s="342"/>
      <c r="G1314" s="342"/>
      <c r="H1314" s="342"/>
      <c r="I1314" s="342"/>
      <c r="J1314" s="342"/>
      <c r="L1314" s="342"/>
      <c r="M1314" s="342"/>
      <c r="R1314" s="342"/>
      <c r="AJ1314" s="342"/>
      <c r="AL1314" s="342"/>
      <c r="AM1314" s="342"/>
      <c r="BD1314" s="342"/>
    </row>
    <row r="1315" spans="4:56" x14ac:dyDescent="0.2">
      <c r="D1315" s="342"/>
      <c r="F1315" s="342"/>
      <c r="G1315" s="342"/>
      <c r="H1315" s="342"/>
      <c r="I1315" s="342"/>
      <c r="J1315" s="342"/>
      <c r="L1315" s="342"/>
      <c r="M1315" s="342"/>
      <c r="R1315" s="342"/>
      <c r="AJ1315" s="342"/>
      <c r="AL1315" s="342"/>
      <c r="AM1315" s="342"/>
      <c r="BD1315" s="342"/>
    </row>
    <row r="1316" spans="4:56" x14ac:dyDescent="0.2">
      <c r="D1316" s="342"/>
      <c r="F1316" s="342"/>
      <c r="G1316" s="342"/>
      <c r="H1316" s="342"/>
      <c r="I1316" s="342"/>
      <c r="J1316" s="342"/>
      <c r="L1316" s="342"/>
      <c r="M1316" s="342"/>
      <c r="R1316" s="342"/>
      <c r="AJ1316" s="342"/>
      <c r="AL1316" s="342"/>
      <c r="AM1316" s="342"/>
      <c r="BD1316" s="342"/>
    </row>
    <row r="1317" spans="4:56" x14ac:dyDescent="0.2">
      <c r="D1317" s="342"/>
      <c r="F1317" s="342"/>
      <c r="G1317" s="342"/>
      <c r="H1317" s="342"/>
      <c r="I1317" s="342"/>
      <c r="J1317" s="342"/>
      <c r="L1317" s="342"/>
      <c r="M1317" s="342"/>
      <c r="R1317" s="342"/>
      <c r="AJ1317" s="342"/>
      <c r="AL1317" s="342"/>
      <c r="AM1317" s="342"/>
      <c r="BD1317" s="342"/>
    </row>
    <row r="1318" spans="4:56" x14ac:dyDescent="0.2">
      <c r="D1318" s="342"/>
      <c r="F1318" s="342"/>
      <c r="G1318" s="342"/>
      <c r="H1318" s="342"/>
      <c r="I1318" s="342"/>
      <c r="J1318" s="342"/>
      <c r="L1318" s="342"/>
      <c r="M1318" s="342"/>
      <c r="R1318" s="342"/>
      <c r="AJ1318" s="342"/>
      <c r="AL1318" s="342"/>
      <c r="AM1318" s="342"/>
      <c r="BD1318" s="342"/>
    </row>
    <row r="1319" spans="4:56" x14ac:dyDescent="0.2">
      <c r="D1319" s="342"/>
      <c r="F1319" s="342"/>
      <c r="G1319" s="342"/>
      <c r="H1319" s="342"/>
      <c r="I1319" s="342"/>
      <c r="J1319" s="342"/>
      <c r="L1319" s="342"/>
      <c r="M1319" s="342"/>
      <c r="R1319" s="342"/>
      <c r="AJ1319" s="342"/>
      <c r="AL1319" s="342"/>
      <c r="AM1319" s="342"/>
      <c r="BD1319" s="342"/>
    </row>
    <row r="1320" spans="4:56" x14ac:dyDescent="0.2">
      <c r="D1320" s="342"/>
      <c r="F1320" s="342"/>
      <c r="G1320" s="342"/>
      <c r="H1320" s="342"/>
      <c r="I1320" s="342"/>
      <c r="J1320" s="342"/>
      <c r="L1320" s="342"/>
      <c r="M1320" s="342"/>
      <c r="R1320" s="342"/>
      <c r="AJ1320" s="342"/>
      <c r="AL1320" s="342"/>
      <c r="AM1320" s="342"/>
      <c r="BD1320" s="342"/>
    </row>
    <row r="1321" spans="4:56" x14ac:dyDescent="0.2">
      <c r="D1321" s="342"/>
      <c r="F1321" s="342"/>
      <c r="G1321" s="342"/>
      <c r="H1321" s="342"/>
      <c r="I1321" s="342"/>
      <c r="J1321" s="342"/>
      <c r="L1321" s="342"/>
      <c r="M1321" s="342"/>
      <c r="R1321" s="342"/>
      <c r="AJ1321" s="342"/>
      <c r="AL1321" s="342"/>
      <c r="AM1321" s="342"/>
      <c r="BD1321" s="342"/>
    </row>
    <row r="1322" spans="4:56" x14ac:dyDescent="0.2">
      <c r="D1322" s="342"/>
      <c r="F1322" s="342"/>
      <c r="G1322" s="342"/>
      <c r="H1322" s="342"/>
      <c r="I1322" s="342"/>
      <c r="J1322" s="342"/>
      <c r="L1322" s="342"/>
      <c r="M1322" s="342"/>
      <c r="R1322" s="342"/>
      <c r="AJ1322" s="342"/>
      <c r="AL1322" s="342"/>
      <c r="AM1322" s="342"/>
      <c r="BD1322" s="342"/>
    </row>
    <row r="1323" spans="4:56" x14ac:dyDescent="0.2">
      <c r="D1323" s="342"/>
      <c r="F1323" s="342"/>
      <c r="G1323" s="342"/>
      <c r="H1323" s="342"/>
      <c r="I1323" s="342"/>
      <c r="J1323" s="342"/>
      <c r="L1323" s="342"/>
      <c r="M1323" s="342"/>
      <c r="R1323" s="342"/>
      <c r="AJ1323" s="342"/>
      <c r="AL1323" s="342"/>
      <c r="AM1323" s="342"/>
      <c r="BD1323" s="342"/>
    </row>
    <row r="1324" spans="4:56" x14ac:dyDescent="0.2">
      <c r="D1324" s="342"/>
      <c r="F1324" s="342"/>
      <c r="G1324" s="342"/>
      <c r="H1324" s="342"/>
      <c r="I1324" s="342"/>
      <c r="J1324" s="342"/>
      <c r="L1324" s="342"/>
      <c r="M1324" s="342"/>
      <c r="R1324" s="342"/>
      <c r="AJ1324" s="342"/>
      <c r="AL1324" s="342"/>
      <c r="AM1324" s="342"/>
      <c r="BD1324" s="342"/>
    </row>
    <row r="1325" spans="4:56" x14ac:dyDescent="0.2">
      <c r="D1325" s="342"/>
      <c r="F1325" s="342"/>
      <c r="G1325" s="342"/>
      <c r="H1325" s="342"/>
      <c r="I1325" s="342"/>
      <c r="J1325" s="342"/>
      <c r="L1325" s="342"/>
      <c r="M1325" s="342"/>
      <c r="R1325" s="342"/>
      <c r="AJ1325" s="342"/>
      <c r="AL1325" s="342"/>
      <c r="AM1325" s="342"/>
      <c r="BD1325" s="342"/>
    </row>
    <row r="1326" spans="4:56" x14ac:dyDescent="0.2">
      <c r="D1326" s="342"/>
      <c r="F1326" s="342"/>
      <c r="G1326" s="342"/>
      <c r="H1326" s="342"/>
      <c r="I1326" s="342"/>
      <c r="J1326" s="342"/>
      <c r="L1326" s="342"/>
      <c r="M1326" s="342"/>
      <c r="R1326" s="342"/>
      <c r="AJ1326" s="342"/>
      <c r="AL1326" s="342"/>
      <c r="AM1326" s="342"/>
      <c r="BD1326" s="342"/>
    </row>
    <row r="1327" spans="4:56" x14ac:dyDescent="0.2">
      <c r="D1327" s="342"/>
      <c r="F1327" s="342"/>
      <c r="G1327" s="342"/>
      <c r="H1327" s="342"/>
      <c r="I1327" s="342"/>
      <c r="J1327" s="342"/>
      <c r="L1327" s="342"/>
      <c r="M1327" s="342"/>
      <c r="R1327" s="342"/>
      <c r="AJ1327" s="342"/>
      <c r="AL1327" s="342"/>
      <c r="AM1327" s="342"/>
      <c r="BD1327" s="342"/>
    </row>
    <row r="1328" spans="4:56" x14ac:dyDescent="0.2">
      <c r="D1328" s="342"/>
      <c r="F1328" s="342"/>
      <c r="G1328" s="342"/>
      <c r="H1328" s="342"/>
      <c r="I1328" s="342"/>
      <c r="J1328" s="342"/>
      <c r="L1328" s="342"/>
      <c r="M1328" s="342"/>
      <c r="R1328" s="342"/>
      <c r="AJ1328" s="342"/>
      <c r="AL1328" s="342"/>
      <c r="AM1328" s="342"/>
      <c r="BD1328" s="342"/>
    </row>
    <row r="1329" spans="4:56" x14ac:dyDescent="0.2">
      <c r="D1329" s="342"/>
      <c r="F1329" s="342"/>
      <c r="G1329" s="342"/>
      <c r="H1329" s="342"/>
      <c r="I1329" s="342"/>
      <c r="J1329" s="342"/>
      <c r="L1329" s="342"/>
      <c r="M1329" s="342"/>
      <c r="R1329" s="342"/>
      <c r="AJ1329" s="342"/>
      <c r="AL1329" s="342"/>
      <c r="AM1329" s="342"/>
      <c r="BD1329" s="342"/>
    </row>
    <row r="1330" spans="4:56" x14ac:dyDescent="0.2">
      <c r="D1330" s="342"/>
      <c r="F1330" s="342"/>
      <c r="G1330" s="342"/>
      <c r="H1330" s="342"/>
      <c r="I1330" s="342"/>
      <c r="J1330" s="342"/>
      <c r="L1330" s="342"/>
      <c r="M1330" s="342"/>
      <c r="R1330" s="342"/>
      <c r="AJ1330" s="342"/>
      <c r="AL1330" s="342"/>
      <c r="AM1330" s="342"/>
      <c r="BD1330" s="342"/>
    </row>
    <row r="1331" spans="4:56" x14ac:dyDescent="0.2">
      <c r="D1331" s="342"/>
      <c r="F1331" s="342"/>
      <c r="G1331" s="342"/>
      <c r="H1331" s="342"/>
      <c r="I1331" s="342"/>
      <c r="J1331" s="342"/>
      <c r="L1331" s="342"/>
      <c r="M1331" s="342"/>
      <c r="R1331" s="342"/>
      <c r="AJ1331" s="342"/>
      <c r="AL1331" s="342"/>
      <c r="AM1331" s="342"/>
      <c r="BD1331" s="342"/>
    </row>
    <row r="1332" spans="4:56" x14ac:dyDescent="0.2">
      <c r="D1332" s="342"/>
      <c r="F1332" s="342"/>
      <c r="G1332" s="342"/>
      <c r="H1332" s="342"/>
      <c r="I1332" s="342"/>
      <c r="J1332" s="342"/>
      <c r="L1332" s="342"/>
      <c r="M1332" s="342"/>
      <c r="R1332" s="342"/>
      <c r="AJ1332" s="342"/>
      <c r="AL1332" s="342"/>
      <c r="AM1332" s="342"/>
      <c r="BD1332" s="342"/>
    </row>
    <row r="1333" spans="4:56" x14ac:dyDescent="0.2">
      <c r="D1333" s="342"/>
      <c r="F1333" s="342"/>
      <c r="G1333" s="342"/>
      <c r="H1333" s="342"/>
      <c r="I1333" s="342"/>
      <c r="J1333" s="342"/>
      <c r="L1333" s="342"/>
      <c r="M1333" s="342"/>
      <c r="R1333" s="342"/>
      <c r="AJ1333" s="342"/>
      <c r="AL1333" s="342"/>
      <c r="AM1333" s="342"/>
      <c r="BD1333" s="342"/>
    </row>
    <row r="1334" spans="4:56" x14ac:dyDescent="0.2">
      <c r="D1334" s="342"/>
      <c r="F1334" s="342"/>
      <c r="G1334" s="342"/>
      <c r="H1334" s="342"/>
      <c r="I1334" s="342"/>
      <c r="J1334" s="342"/>
      <c r="L1334" s="342"/>
      <c r="M1334" s="342"/>
      <c r="R1334" s="342"/>
      <c r="AJ1334" s="342"/>
      <c r="AL1334" s="342"/>
      <c r="AM1334" s="342"/>
      <c r="BD1334" s="342"/>
    </row>
    <row r="1335" spans="4:56" x14ac:dyDescent="0.2">
      <c r="D1335" s="342"/>
      <c r="F1335" s="342"/>
      <c r="G1335" s="342"/>
      <c r="H1335" s="342"/>
      <c r="I1335" s="342"/>
      <c r="J1335" s="342"/>
      <c r="L1335" s="342"/>
      <c r="M1335" s="342"/>
      <c r="R1335" s="342"/>
      <c r="AJ1335" s="342"/>
      <c r="AL1335" s="342"/>
      <c r="AM1335" s="342"/>
      <c r="BD1335" s="342"/>
    </row>
    <row r="1336" spans="4:56" x14ac:dyDescent="0.2">
      <c r="D1336" s="342"/>
      <c r="F1336" s="342"/>
      <c r="G1336" s="342"/>
      <c r="H1336" s="342"/>
      <c r="I1336" s="342"/>
      <c r="J1336" s="342"/>
      <c r="L1336" s="342"/>
      <c r="M1336" s="342"/>
      <c r="R1336" s="342"/>
      <c r="AJ1336" s="342"/>
      <c r="AL1336" s="342"/>
      <c r="AM1336" s="342"/>
      <c r="BD1336" s="342"/>
    </row>
    <row r="1337" spans="4:56" x14ac:dyDescent="0.2">
      <c r="D1337" s="342"/>
      <c r="F1337" s="342"/>
      <c r="G1337" s="342"/>
      <c r="H1337" s="342"/>
      <c r="I1337" s="342"/>
      <c r="J1337" s="342"/>
      <c r="L1337" s="342"/>
      <c r="M1337" s="342"/>
      <c r="R1337" s="342"/>
      <c r="AJ1337" s="342"/>
      <c r="AL1337" s="342"/>
      <c r="AM1337" s="342"/>
      <c r="BD1337" s="342"/>
    </row>
    <row r="1338" spans="4:56" x14ac:dyDescent="0.2">
      <c r="D1338" s="342"/>
      <c r="F1338" s="342"/>
      <c r="G1338" s="342"/>
      <c r="H1338" s="342"/>
      <c r="I1338" s="342"/>
      <c r="J1338" s="342"/>
      <c r="L1338" s="342"/>
      <c r="M1338" s="342"/>
      <c r="R1338" s="342"/>
      <c r="AJ1338" s="342"/>
      <c r="AL1338" s="342"/>
      <c r="AM1338" s="342"/>
      <c r="BD1338" s="342"/>
    </row>
    <row r="1339" spans="4:56" x14ac:dyDescent="0.2">
      <c r="D1339" s="342"/>
      <c r="F1339" s="342"/>
      <c r="G1339" s="342"/>
      <c r="H1339" s="342"/>
      <c r="I1339" s="342"/>
      <c r="J1339" s="342"/>
      <c r="L1339" s="342"/>
      <c r="M1339" s="342"/>
      <c r="R1339" s="342"/>
      <c r="AJ1339" s="342"/>
      <c r="AL1339" s="342"/>
      <c r="AM1339" s="342"/>
      <c r="BD1339" s="342"/>
    </row>
    <row r="1340" spans="4:56" x14ac:dyDescent="0.2">
      <c r="D1340" s="342"/>
      <c r="F1340" s="342"/>
      <c r="G1340" s="342"/>
      <c r="H1340" s="342"/>
      <c r="I1340" s="342"/>
      <c r="J1340" s="342"/>
      <c r="L1340" s="342"/>
      <c r="M1340" s="342"/>
      <c r="R1340" s="342"/>
      <c r="AJ1340" s="342"/>
      <c r="AL1340" s="342"/>
      <c r="AM1340" s="342"/>
      <c r="BD1340" s="342"/>
    </row>
    <row r="1341" spans="4:56" x14ac:dyDescent="0.2">
      <c r="D1341" s="342"/>
      <c r="F1341" s="342"/>
      <c r="G1341" s="342"/>
      <c r="H1341" s="342"/>
      <c r="I1341" s="342"/>
      <c r="J1341" s="342"/>
      <c r="L1341" s="342"/>
      <c r="M1341" s="342"/>
      <c r="R1341" s="342"/>
      <c r="AJ1341" s="342"/>
      <c r="AL1341" s="342"/>
      <c r="AM1341" s="342"/>
      <c r="BD1341" s="342"/>
    </row>
    <row r="1342" spans="4:56" x14ac:dyDescent="0.2">
      <c r="D1342" s="342"/>
      <c r="F1342" s="342"/>
      <c r="G1342" s="342"/>
      <c r="H1342" s="342"/>
      <c r="I1342" s="342"/>
      <c r="J1342" s="342"/>
      <c r="L1342" s="342"/>
      <c r="M1342" s="342"/>
      <c r="R1342" s="342"/>
      <c r="AJ1342" s="342"/>
      <c r="AL1342" s="342"/>
      <c r="AM1342" s="342"/>
      <c r="BD1342" s="342"/>
    </row>
    <row r="1343" spans="4:56" x14ac:dyDescent="0.2">
      <c r="D1343" s="342"/>
      <c r="F1343" s="342"/>
      <c r="G1343" s="342"/>
      <c r="H1343" s="342"/>
      <c r="I1343" s="342"/>
      <c r="J1343" s="342"/>
      <c r="L1343" s="342"/>
      <c r="M1343" s="342"/>
      <c r="R1343" s="342"/>
      <c r="AJ1343" s="342"/>
      <c r="AL1343" s="342"/>
      <c r="AM1343" s="342"/>
      <c r="BD1343" s="342"/>
    </row>
    <row r="1344" spans="4:56" x14ac:dyDescent="0.2">
      <c r="D1344" s="342"/>
      <c r="F1344" s="342"/>
      <c r="G1344" s="342"/>
      <c r="H1344" s="342"/>
      <c r="I1344" s="342"/>
      <c r="J1344" s="342"/>
      <c r="L1344" s="342"/>
      <c r="M1344" s="342"/>
      <c r="R1344" s="342"/>
      <c r="AJ1344" s="342"/>
      <c r="AL1344" s="342"/>
      <c r="AM1344" s="342"/>
      <c r="BD1344" s="342"/>
    </row>
    <row r="1345" spans="4:56" x14ac:dyDescent="0.2">
      <c r="D1345" s="342"/>
      <c r="F1345" s="342"/>
      <c r="G1345" s="342"/>
      <c r="H1345" s="342"/>
      <c r="I1345" s="342"/>
      <c r="J1345" s="342"/>
      <c r="L1345" s="342"/>
      <c r="M1345" s="342"/>
      <c r="R1345" s="342"/>
      <c r="AJ1345" s="342"/>
      <c r="AL1345" s="342"/>
      <c r="AM1345" s="342"/>
      <c r="BD1345" s="342"/>
    </row>
    <row r="1346" spans="4:56" x14ac:dyDescent="0.2">
      <c r="D1346" s="342"/>
      <c r="F1346" s="342"/>
      <c r="G1346" s="342"/>
      <c r="H1346" s="342"/>
      <c r="I1346" s="342"/>
      <c r="J1346" s="342"/>
      <c r="L1346" s="342"/>
      <c r="M1346" s="342"/>
      <c r="R1346" s="342"/>
      <c r="AJ1346" s="342"/>
      <c r="AL1346" s="342"/>
      <c r="AM1346" s="342"/>
      <c r="BD1346" s="342"/>
    </row>
    <row r="1347" spans="4:56" x14ac:dyDescent="0.2">
      <c r="D1347" s="342"/>
      <c r="F1347" s="342"/>
      <c r="G1347" s="342"/>
      <c r="H1347" s="342"/>
      <c r="I1347" s="342"/>
      <c r="J1347" s="342"/>
      <c r="L1347" s="342"/>
      <c r="M1347" s="342"/>
      <c r="R1347" s="342"/>
      <c r="AJ1347" s="342"/>
      <c r="AL1347" s="342"/>
      <c r="AM1347" s="342"/>
      <c r="BD1347" s="342"/>
    </row>
    <row r="1348" spans="4:56" x14ac:dyDescent="0.2">
      <c r="D1348" s="342"/>
      <c r="F1348" s="342"/>
      <c r="G1348" s="342"/>
      <c r="H1348" s="342"/>
      <c r="I1348" s="342"/>
      <c r="J1348" s="342"/>
      <c r="L1348" s="342"/>
      <c r="M1348" s="342"/>
      <c r="R1348" s="342"/>
      <c r="AJ1348" s="342"/>
      <c r="AL1348" s="342"/>
      <c r="AM1348" s="342"/>
      <c r="BD1348" s="342"/>
    </row>
    <row r="1349" spans="4:56" x14ac:dyDescent="0.2">
      <c r="D1349" s="342"/>
      <c r="F1349" s="342"/>
      <c r="G1349" s="342"/>
      <c r="H1349" s="342"/>
      <c r="I1349" s="342"/>
      <c r="J1349" s="342"/>
      <c r="L1349" s="342"/>
      <c r="M1349" s="342"/>
      <c r="R1349" s="342"/>
      <c r="AJ1349" s="342"/>
      <c r="AL1349" s="342"/>
      <c r="AM1349" s="342"/>
      <c r="BD1349" s="342"/>
    </row>
    <row r="1350" spans="4:56" x14ac:dyDescent="0.2">
      <c r="D1350" s="342"/>
      <c r="F1350" s="342"/>
      <c r="G1350" s="342"/>
      <c r="H1350" s="342"/>
      <c r="I1350" s="342"/>
      <c r="J1350" s="342"/>
      <c r="L1350" s="342"/>
      <c r="M1350" s="342"/>
      <c r="R1350" s="342"/>
      <c r="AJ1350" s="342"/>
      <c r="AL1350" s="342"/>
      <c r="AM1350" s="342"/>
      <c r="BD1350" s="342"/>
    </row>
    <row r="1351" spans="4:56" x14ac:dyDescent="0.2">
      <c r="D1351" s="342"/>
      <c r="F1351" s="342"/>
      <c r="G1351" s="342"/>
      <c r="H1351" s="342"/>
      <c r="I1351" s="342"/>
      <c r="J1351" s="342"/>
      <c r="L1351" s="342"/>
      <c r="M1351" s="342"/>
      <c r="R1351" s="342"/>
      <c r="AJ1351" s="342"/>
      <c r="AL1351" s="342"/>
      <c r="AM1351" s="342"/>
      <c r="BD1351" s="342"/>
    </row>
    <row r="1352" spans="4:56" x14ac:dyDescent="0.2">
      <c r="D1352" s="342"/>
      <c r="F1352" s="342"/>
      <c r="G1352" s="342"/>
      <c r="H1352" s="342"/>
      <c r="I1352" s="342"/>
      <c r="J1352" s="342"/>
      <c r="L1352" s="342"/>
      <c r="M1352" s="342"/>
      <c r="R1352" s="342"/>
      <c r="AJ1352" s="342"/>
      <c r="AL1352" s="342"/>
      <c r="AM1352" s="342"/>
      <c r="BD1352" s="342"/>
    </row>
    <row r="1353" spans="4:56" x14ac:dyDescent="0.2">
      <c r="D1353" s="342"/>
      <c r="F1353" s="342"/>
      <c r="G1353" s="342"/>
      <c r="H1353" s="342"/>
      <c r="I1353" s="342"/>
      <c r="J1353" s="342"/>
      <c r="L1353" s="342"/>
      <c r="M1353" s="342"/>
      <c r="R1353" s="342"/>
      <c r="AJ1353" s="342"/>
      <c r="AL1353" s="342"/>
      <c r="AM1353" s="342"/>
      <c r="BD1353" s="342"/>
    </row>
    <row r="1354" spans="4:56" x14ac:dyDescent="0.2">
      <c r="D1354" s="342"/>
      <c r="F1354" s="342"/>
      <c r="G1354" s="342"/>
      <c r="H1354" s="342"/>
      <c r="I1354" s="342"/>
      <c r="J1354" s="342"/>
      <c r="L1354" s="342"/>
      <c r="M1354" s="342"/>
      <c r="R1354" s="342"/>
      <c r="AJ1354" s="342"/>
      <c r="AL1354" s="342"/>
      <c r="AM1354" s="342"/>
      <c r="BD1354" s="342"/>
    </row>
    <row r="1355" spans="4:56" x14ac:dyDescent="0.2">
      <c r="D1355" s="342"/>
      <c r="F1355" s="342"/>
      <c r="G1355" s="342"/>
      <c r="H1355" s="342"/>
      <c r="I1355" s="342"/>
      <c r="J1355" s="342"/>
      <c r="L1355" s="342"/>
      <c r="M1355" s="342"/>
      <c r="R1355" s="342"/>
      <c r="AJ1355" s="342"/>
      <c r="AL1355" s="342"/>
      <c r="AM1355" s="342"/>
      <c r="BD1355" s="342"/>
    </row>
    <row r="1356" spans="4:56" x14ac:dyDescent="0.2">
      <c r="D1356" s="342"/>
      <c r="F1356" s="342"/>
      <c r="G1356" s="342"/>
      <c r="H1356" s="342"/>
      <c r="I1356" s="342"/>
      <c r="J1356" s="342"/>
      <c r="L1356" s="342"/>
      <c r="M1356" s="342"/>
      <c r="R1356" s="342"/>
      <c r="AJ1356" s="342"/>
      <c r="AL1356" s="342"/>
      <c r="AM1356" s="342"/>
      <c r="BD1356" s="342"/>
    </row>
    <row r="1357" spans="4:56" x14ac:dyDescent="0.2">
      <c r="D1357" s="342"/>
      <c r="F1357" s="342"/>
      <c r="G1357" s="342"/>
      <c r="H1357" s="342"/>
      <c r="I1357" s="342"/>
      <c r="J1357" s="342"/>
      <c r="L1357" s="342"/>
      <c r="M1357" s="342"/>
      <c r="R1357" s="342"/>
      <c r="AJ1357" s="342"/>
      <c r="AL1357" s="342"/>
      <c r="AM1357" s="342"/>
      <c r="BD1357" s="342"/>
    </row>
    <row r="1358" spans="4:56" x14ac:dyDescent="0.2">
      <c r="D1358" s="342"/>
      <c r="F1358" s="342"/>
      <c r="G1358" s="342"/>
      <c r="H1358" s="342"/>
      <c r="I1358" s="342"/>
      <c r="J1358" s="342"/>
      <c r="L1358" s="342"/>
      <c r="M1358" s="342"/>
      <c r="R1358" s="342"/>
      <c r="AJ1358" s="342"/>
      <c r="AL1358" s="342"/>
      <c r="AM1358" s="342"/>
      <c r="BD1358" s="342"/>
    </row>
    <row r="1359" spans="4:56" x14ac:dyDescent="0.2">
      <c r="D1359" s="342"/>
      <c r="F1359" s="342"/>
      <c r="G1359" s="342"/>
      <c r="H1359" s="342"/>
      <c r="I1359" s="342"/>
      <c r="J1359" s="342"/>
      <c r="L1359" s="342"/>
      <c r="M1359" s="342"/>
      <c r="R1359" s="342"/>
      <c r="AJ1359" s="342"/>
      <c r="AL1359" s="342"/>
      <c r="AM1359" s="342"/>
      <c r="BD1359" s="342"/>
    </row>
    <row r="1360" spans="4:56" x14ac:dyDescent="0.2">
      <c r="D1360" s="342"/>
      <c r="F1360" s="342"/>
      <c r="G1360" s="342"/>
      <c r="H1360" s="342"/>
      <c r="I1360" s="342"/>
      <c r="J1360" s="342"/>
      <c r="L1360" s="342"/>
      <c r="M1360" s="342"/>
      <c r="R1360" s="342"/>
      <c r="AJ1360" s="342"/>
      <c r="AL1360" s="342"/>
      <c r="AM1360" s="342"/>
      <c r="BD1360" s="342"/>
    </row>
    <row r="1361" spans="4:56" x14ac:dyDescent="0.2">
      <c r="D1361" s="342"/>
      <c r="F1361" s="342"/>
      <c r="G1361" s="342"/>
      <c r="H1361" s="342"/>
      <c r="I1361" s="342"/>
      <c r="J1361" s="342"/>
      <c r="L1361" s="342"/>
      <c r="M1361" s="342"/>
      <c r="R1361" s="342"/>
      <c r="AJ1361" s="342"/>
      <c r="AL1361" s="342"/>
      <c r="AM1361" s="342"/>
      <c r="BD1361" s="342"/>
    </row>
    <row r="1362" spans="4:56" x14ac:dyDescent="0.2">
      <c r="D1362" s="342"/>
      <c r="F1362" s="342"/>
      <c r="G1362" s="342"/>
      <c r="H1362" s="342"/>
      <c r="I1362" s="342"/>
      <c r="J1362" s="342"/>
      <c r="L1362" s="342"/>
      <c r="M1362" s="342"/>
      <c r="R1362" s="342"/>
      <c r="AJ1362" s="342"/>
      <c r="AL1362" s="342"/>
      <c r="AM1362" s="342"/>
      <c r="BD1362" s="342"/>
    </row>
    <row r="1363" spans="4:56" x14ac:dyDescent="0.2">
      <c r="D1363" s="342"/>
      <c r="F1363" s="342"/>
      <c r="G1363" s="342"/>
      <c r="H1363" s="342"/>
      <c r="I1363" s="342"/>
      <c r="J1363" s="342"/>
      <c r="L1363" s="342"/>
      <c r="M1363" s="342"/>
      <c r="R1363" s="342"/>
      <c r="AJ1363" s="342"/>
      <c r="AL1363" s="342"/>
      <c r="AM1363" s="342"/>
      <c r="BD1363" s="342"/>
    </row>
    <row r="1364" spans="4:56" x14ac:dyDescent="0.2">
      <c r="D1364" s="342"/>
      <c r="F1364" s="342"/>
      <c r="G1364" s="342"/>
      <c r="H1364" s="342"/>
      <c r="I1364" s="342"/>
      <c r="J1364" s="342"/>
      <c r="L1364" s="342"/>
      <c r="M1364" s="342"/>
      <c r="R1364" s="342"/>
      <c r="AJ1364" s="342"/>
      <c r="AL1364" s="342"/>
      <c r="AM1364" s="342"/>
      <c r="BD1364" s="342"/>
    </row>
    <row r="1365" spans="4:56" x14ac:dyDescent="0.2">
      <c r="D1365" s="342"/>
      <c r="F1365" s="342"/>
      <c r="G1365" s="342"/>
      <c r="H1365" s="342"/>
      <c r="I1365" s="342"/>
      <c r="J1365" s="342"/>
      <c r="L1365" s="342"/>
      <c r="M1365" s="342"/>
      <c r="R1365" s="342"/>
      <c r="AJ1365" s="342"/>
      <c r="AL1365" s="342"/>
      <c r="AM1365" s="342"/>
      <c r="BD1365" s="342"/>
    </row>
    <row r="1366" spans="4:56" x14ac:dyDescent="0.2">
      <c r="D1366" s="342"/>
      <c r="F1366" s="342"/>
      <c r="G1366" s="342"/>
      <c r="H1366" s="342"/>
      <c r="I1366" s="342"/>
      <c r="J1366" s="342"/>
      <c r="L1366" s="342"/>
      <c r="M1366" s="342"/>
      <c r="R1366" s="342"/>
      <c r="AJ1366" s="342"/>
      <c r="AL1366" s="342"/>
      <c r="AM1366" s="342"/>
      <c r="BD1366" s="342"/>
    </row>
    <row r="1367" spans="4:56" x14ac:dyDescent="0.2">
      <c r="D1367" s="342"/>
      <c r="F1367" s="342"/>
      <c r="G1367" s="342"/>
      <c r="H1367" s="342"/>
      <c r="I1367" s="342"/>
      <c r="J1367" s="342"/>
      <c r="L1367" s="342"/>
      <c r="M1367" s="342"/>
      <c r="R1367" s="342"/>
      <c r="AJ1367" s="342"/>
      <c r="AL1367" s="342"/>
      <c r="AM1367" s="342"/>
      <c r="BD1367" s="342"/>
    </row>
    <row r="1368" spans="4:56" x14ac:dyDescent="0.2">
      <c r="D1368" s="342"/>
      <c r="F1368" s="342"/>
      <c r="G1368" s="342"/>
      <c r="H1368" s="342"/>
      <c r="I1368" s="342"/>
      <c r="J1368" s="342"/>
      <c r="L1368" s="342"/>
      <c r="M1368" s="342"/>
      <c r="R1368" s="342"/>
      <c r="AJ1368" s="342"/>
      <c r="AL1368" s="342"/>
      <c r="AM1368" s="342"/>
      <c r="BD1368" s="342"/>
    </row>
    <row r="1369" spans="4:56" x14ac:dyDescent="0.2">
      <c r="D1369" s="342"/>
      <c r="F1369" s="342"/>
      <c r="G1369" s="342"/>
      <c r="H1369" s="342"/>
      <c r="I1369" s="342"/>
      <c r="J1369" s="342"/>
      <c r="L1369" s="342"/>
      <c r="M1369" s="342"/>
      <c r="R1369" s="342"/>
      <c r="AJ1369" s="342"/>
      <c r="AL1369" s="342"/>
      <c r="AM1369" s="342"/>
      <c r="BD1369" s="342"/>
    </row>
    <row r="1370" spans="4:56" x14ac:dyDescent="0.2">
      <c r="D1370" s="342"/>
      <c r="F1370" s="342"/>
      <c r="G1370" s="342"/>
      <c r="H1370" s="342"/>
      <c r="I1370" s="342"/>
      <c r="J1370" s="342"/>
      <c r="L1370" s="342"/>
      <c r="M1370" s="342"/>
      <c r="R1370" s="342"/>
      <c r="AJ1370" s="342"/>
      <c r="AL1370" s="342"/>
      <c r="AM1370" s="342"/>
      <c r="BD1370" s="342"/>
    </row>
    <row r="1371" spans="4:56" x14ac:dyDescent="0.2">
      <c r="D1371" s="342"/>
      <c r="F1371" s="342"/>
      <c r="G1371" s="342"/>
      <c r="H1371" s="342"/>
      <c r="I1371" s="342"/>
      <c r="J1371" s="342"/>
      <c r="L1371" s="342"/>
      <c r="M1371" s="342"/>
      <c r="R1371" s="342"/>
      <c r="AJ1371" s="342"/>
      <c r="AL1371" s="342"/>
      <c r="AM1371" s="342"/>
      <c r="BD1371" s="342"/>
    </row>
    <row r="1372" spans="4:56" x14ac:dyDescent="0.2">
      <c r="D1372" s="342"/>
      <c r="F1372" s="342"/>
      <c r="G1372" s="342"/>
      <c r="H1372" s="342"/>
      <c r="I1372" s="342"/>
      <c r="J1372" s="342"/>
      <c r="L1372" s="342"/>
      <c r="M1372" s="342"/>
      <c r="R1372" s="342"/>
      <c r="AJ1372" s="342"/>
      <c r="AL1372" s="342"/>
      <c r="AM1372" s="342"/>
      <c r="BD1372" s="342"/>
    </row>
    <row r="1373" spans="4:56" x14ac:dyDescent="0.2">
      <c r="D1373" s="342"/>
      <c r="F1373" s="342"/>
      <c r="G1373" s="342"/>
      <c r="H1373" s="342"/>
      <c r="I1373" s="342"/>
      <c r="J1373" s="342"/>
      <c r="L1373" s="342"/>
      <c r="M1373" s="342"/>
      <c r="R1373" s="342"/>
      <c r="AJ1373" s="342"/>
      <c r="AL1373" s="342"/>
      <c r="AM1373" s="342"/>
      <c r="BD1373" s="342"/>
    </row>
    <row r="1374" spans="4:56" x14ac:dyDescent="0.2">
      <c r="D1374" s="342"/>
      <c r="F1374" s="342"/>
      <c r="G1374" s="342"/>
      <c r="H1374" s="342"/>
      <c r="I1374" s="342"/>
      <c r="J1374" s="342"/>
      <c r="L1374" s="342"/>
      <c r="M1374" s="342"/>
      <c r="R1374" s="342"/>
      <c r="AJ1374" s="342"/>
      <c r="AL1374" s="342"/>
      <c r="AM1374" s="342"/>
      <c r="BD1374" s="342"/>
    </row>
    <row r="1375" spans="4:56" x14ac:dyDescent="0.2">
      <c r="D1375" s="342"/>
      <c r="F1375" s="342"/>
      <c r="G1375" s="342"/>
      <c r="H1375" s="342"/>
      <c r="I1375" s="342"/>
      <c r="J1375" s="342"/>
      <c r="L1375" s="342"/>
      <c r="M1375" s="342"/>
      <c r="R1375" s="342"/>
      <c r="AJ1375" s="342"/>
      <c r="AL1375" s="342"/>
      <c r="AM1375" s="342"/>
      <c r="BD1375" s="342"/>
    </row>
    <row r="1376" spans="4:56" x14ac:dyDescent="0.2">
      <c r="D1376" s="342"/>
      <c r="F1376" s="342"/>
      <c r="G1376" s="342"/>
      <c r="H1376" s="342"/>
      <c r="I1376" s="342"/>
      <c r="J1376" s="342"/>
      <c r="L1376" s="342"/>
      <c r="M1376" s="342"/>
      <c r="R1376" s="342"/>
      <c r="AJ1376" s="342"/>
      <c r="AL1376" s="342"/>
      <c r="AM1376" s="342"/>
      <c r="BD1376" s="342"/>
    </row>
    <row r="1377" spans="4:56" x14ac:dyDescent="0.2">
      <c r="D1377" s="342"/>
      <c r="F1377" s="342"/>
      <c r="G1377" s="342"/>
      <c r="H1377" s="342"/>
      <c r="I1377" s="342"/>
      <c r="J1377" s="342"/>
      <c r="L1377" s="342"/>
      <c r="M1377" s="342"/>
      <c r="R1377" s="342"/>
      <c r="AJ1377" s="342"/>
      <c r="AL1377" s="342"/>
      <c r="AM1377" s="342"/>
      <c r="BD1377" s="342"/>
    </row>
    <row r="1378" spans="4:56" x14ac:dyDescent="0.2">
      <c r="D1378" s="342"/>
      <c r="F1378" s="342"/>
      <c r="G1378" s="342"/>
      <c r="H1378" s="342"/>
      <c r="I1378" s="342"/>
      <c r="J1378" s="342"/>
      <c r="L1378" s="342"/>
      <c r="M1378" s="342"/>
      <c r="R1378" s="342"/>
      <c r="AJ1378" s="342"/>
      <c r="AL1378" s="342"/>
      <c r="AM1378" s="342"/>
      <c r="BD1378" s="342"/>
    </row>
    <row r="1379" spans="4:56" x14ac:dyDescent="0.2">
      <c r="D1379" s="342"/>
      <c r="F1379" s="342"/>
      <c r="G1379" s="342"/>
      <c r="H1379" s="342"/>
      <c r="I1379" s="342"/>
      <c r="J1379" s="342"/>
      <c r="L1379" s="342"/>
      <c r="M1379" s="342"/>
      <c r="R1379" s="342"/>
      <c r="AJ1379" s="342"/>
      <c r="AL1379" s="342"/>
      <c r="AM1379" s="342"/>
      <c r="BD1379" s="342"/>
    </row>
    <row r="1380" spans="4:56" x14ac:dyDescent="0.2">
      <c r="D1380" s="342"/>
      <c r="F1380" s="342"/>
      <c r="G1380" s="342"/>
      <c r="H1380" s="342"/>
      <c r="I1380" s="342"/>
      <c r="J1380" s="342"/>
      <c r="L1380" s="342"/>
      <c r="M1380" s="342"/>
      <c r="R1380" s="342"/>
      <c r="AJ1380" s="342"/>
      <c r="AL1380" s="342"/>
      <c r="AM1380" s="342"/>
      <c r="BD1380" s="342"/>
    </row>
    <row r="1381" spans="4:56" x14ac:dyDescent="0.2">
      <c r="D1381" s="342"/>
      <c r="F1381" s="342"/>
      <c r="G1381" s="342"/>
      <c r="H1381" s="342"/>
      <c r="I1381" s="342"/>
      <c r="J1381" s="342"/>
      <c r="L1381" s="342"/>
      <c r="M1381" s="342"/>
      <c r="R1381" s="342"/>
      <c r="AJ1381" s="342"/>
      <c r="AL1381" s="342"/>
      <c r="AM1381" s="342"/>
      <c r="BD1381" s="342"/>
    </row>
    <row r="1382" spans="4:56" x14ac:dyDescent="0.2">
      <c r="D1382" s="342"/>
      <c r="F1382" s="342"/>
      <c r="G1382" s="342"/>
      <c r="H1382" s="342"/>
      <c r="I1382" s="342"/>
      <c r="J1382" s="342"/>
      <c r="L1382" s="342"/>
      <c r="M1382" s="342"/>
      <c r="R1382" s="342"/>
      <c r="AJ1382" s="342"/>
      <c r="AL1382" s="342"/>
      <c r="AM1382" s="342"/>
      <c r="BD1382" s="342"/>
    </row>
    <row r="1383" spans="4:56" x14ac:dyDescent="0.2">
      <c r="D1383" s="342"/>
      <c r="F1383" s="342"/>
      <c r="G1383" s="342"/>
      <c r="H1383" s="342"/>
      <c r="I1383" s="342"/>
      <c r="J1383" s="342"/>
      <c r="L1383" s="342"/>
      <c r="M1383" s="342"/>
      <c r="R1383" s="342"/>
      <c r="AJ1383" s="342"/>
      <c r="AL1383" s="342"/>
      <c r="AM1383" s="342"/>
      <c r="BD1383" s="342"/>
    </row>
    <row r="1384" spans="4:56" x14ac:dyDescent="0.2">
      <c r="D1384" s="342"/>
      <c r="F1384" s="342"/>
      <c r="G1384" s="342"/>
      <c r="H1384" s="342"/>
      <c r="I1384" s="342"/>
      <c r="J1384" s="342"/>
      <c r="L1384" s="342"/>
      <c r="M1384" s="342"/>
      <c r="R1384" s="342"/>
      <c r="AJ1384" s="342"/>
      <c r="AL1384" s="342"/>
      <c r="AM1384" s="342"/>
      <c r="BD1384" s="342"/>
    </row>
    <row r="1385" spans="4:56" x14ac:dyDescent="0.2">
      <c r="D1385" s="342"/>
      <c r="F1385" s="342"/>
      <c r="G1385" s="342"/>
      <c r="H1385" s="342"/>
      <c r="I1385" s="342"/>
      <c r="J1385" s="342"/>
      <c r="L1385" s="342"/>
      <c r="M1385" s="342"/>
      <c r="R1385" s="342"/>
      <c r="AJ1385" s="342"/>
      <c r="AL1385" s="342"/>
      <c r="AM1385" s="342"/>
      <c r="BD1385" s="342"/>
    </row>
    <row r="1386" spans="4:56" x14ac:dyDescent="0.2">
      <c r="D1386" s="342"/>
      <c r="F1386" s="342"/>
      <c r="G1386" s="342"/>
      <c r="H1386" s="342"/>
      <c r="I1386" s="342"/>
      <c r="J1386" s="342"/>
      <c r="L1386" s="342"/>
      <c r="M1386" s="342"/>
      <c r="R1386" s="342"/>
      <c r="AJ1386" s="342"/>
      <c r="AL1386" s="342"/>
      <c r="AM1386" s="342"/>
      <c r="BD1386" s="342"/>
    </row>
    <row r="1387" spans="4:56" x14ac:dyDescent="0.2">
      <c r="D1387" s="342"/>
      <c r="F1387" s="342"/>
      <c r="G1387" s="342"/>
      <c r="H1387" s="342"/>
      <c r="I1387" s="342"/>
      <c r="J1387" s="342"/>
      <c r="L1387" s="342"/>
      <c r="M1387" s="342"/>
      <c r="R1387" s="342"/>
      <c r="AJ1387" s="342"/>
      <c r="AL1387" s="342"/>
      <c r="AM1387" s="342"/>
      <c r="BD1387" s="342"/>
    </row>
    <row r="1388" spans="4:56" x14ac:dyDescent="0.2">
      <c r="D1388" s="342"/>
      <c r="F1388" s="342"/>
      <c r="G1388" s="342"/>
      <c r="H1388" s="342"/>
      <c r="I1388" s="342"/>
      <c r="J1388" s="342"/>
      <c r="L1388" s="342"/>
      <c r="M1388" s="342"/>
      <c r="R1388" s="342"/>
      <c r="AJ1388" s="342"/>
      <c r="AL1388" s="342"/>
      <c r="AM1388" s="342"/>
      <c r="BD1388" s="342"/>
    </row>
    <row r="1389" spans="4:56" x14ac:dyDescent="0.2">
      <c r="D1389" s="342"/>
      <c r="F1389" s="342"/>
      <c r="G1389" s="342"/>
      <c r="H1389" s="342"/>
      <c r="I1389" s="342"/>
      <c r="J1389" s="342"/>
      <c r="L1389" s="342"/>
      <c r="M1389" s="342"/>
      <c r="R1389" s="342"/>
      <c r="AJ1389" s="342"/>
      <c r="AL1389" s="342"/>
      <c r="AM1389" s="342"/>
      <c r="BD1389" s="342"/>
    </row>
    <row r="1390" spans="4:56" x14ac:dyDescent="0.2">
      <c r="D1390" s="342"/>
      <c r="F1390" s="342"/>
      <c r="G1390" s="342"/>
      <c r="H1390" s="342"/>
      <c r="I1390" s="342"/>
      <c r="J1390" s="342"/>
      <c r="L1390" s="342"/>
      <c r="M1390" s="342"/>
      <c r="R1390" s="342"/>
      <c r="AJ1390" s="342"/>
      <c r="AL1390" s="342"/>
      <c r="AM1390" s="342"/>
      <c r="BD1390" s="342"/>
    </row>
    <row r="1391" spans="4:56" x14ac:dyDescent="0.2">
      <c r="D1391" s="342"/>
      <c r="F1391" s="342"/>
      <c r="G1391" s="342"/>
      <c r="H1391" s="342"/>
      <c r="I1391" s="342"/>
      <c r="J1391" s="342"/>
      <c r="L1391" s="342"/>
      <c r="M1391" s="342"/>
      <c r="R1391" s="342"/>
      <c r="AJ1391" s="342"/>
      <c r="AL1391" s="342"/>
      <c r="AM1391" s="342"/>
      <c r="BD1391" s="342"/>
    </row>
    <row r="1392" spans="4:56" x14ac:dyDescent="0.2">
      <c r="D1392" s="342"/>
      <c r="F1392" s="342"/>
      <c r="G1392" s="342"/>
      <c r="H1392" s="342"/>
      <c r="I1392" s="342"/>
      <c r="J1392" s="342"/>
      <c r="L1392" s="342"/>
      <c r="M1392" s="342"/>
      <c r="R1392" s="342"/>
      <c r="AJ1392" s="342"/>
      <c r="AL1392" s="342"/>
      <c r="AM1392" s="342"/>
      <c r="BD1392" s="342"/>
    </row>
    <row r="1393" spans="4:56" x14ac:dyDescent="0.2">
      <c r="D1393" s="342"/>
      <c r="F1393" s="342"/>
      <c r="G1393" s="342"/>
      <c r="H1393" s="342"/>
      <c r="I1393" s="342"/>
      <c r="J1393" s="342"/>
      <c r="L1393" s="342"/>
      <c r="M1393" s="342"/>
      <c r="R1393" s="342"/>
      <c r="AJ1393" s="342"/>
      <c r="AL1393" s="342"/>
      <c r="AM1393" s="342"/>
      <c r="BD1393" s="342"/>
    </row>
    <row r="1394" spans="4:56" x14ac:dyDescent="0.2">
      <c r="D1394" s="342"/>
      <c r="F1394" s="342"/>
      <c r="G1394" s="342"/>
      <c r="H1394" s="342"/>
      <c r="I1394" s="342"/>
      <c r="J1394" s="342"/>
      <c r="L1394" s="342"/>
      <c r="M1394" s="342"/>
      <c r="R1394" s="342"/>
      <c r="AJ1394" s="342"/>
      <c r="AL1394" s="342"/>
      <c r="AM1394" s="342"/>
      <c r="BD1394" s="342"/>
    </row>
    <row r="1395" spans="4:56" x14ac:dyDescent="0.2">
      <c r="D1395" s="342"/>
      <c r="F1395" s="342"/>
      <c r="G1395" s="342"/>
      <c r="H1395" s="342"/>
      <c r="I1395" s="342"/>
      <c r="J1395" s="342"/>
      <c r="L1395" s="342"/>
      <c r="M1395" s="342"/>
      <c r="R1395" s="342"/>
      <c r="AJ1395" s="342"/>
      <c r="AL1395" s="342"/>
      <c r="AM1395" s="342"/>
      <c r="BD1395" s="342"/>
    </row>
    <row r="1396" spans="4:56" x14ac:dyDescent="0.2">
      <c r="D1396" s="342"/>
      <c r="F1396" s="342"/>
      <c r="G1396" s="342"/>
      <c r="H1396" s="342"/>
      <c r="I1396" s="342"/>
      <c r="J1396" s="342"/>
      <c r="L1396" s="342"/>
      <c r="M1396" s="342"/>
      <c r="R1396" s="342"/>
      <c r="AJ1396" s="342"/>
      <c r="AL1396" s="342"/>
      <c r="AM1396" s="342"/>
      <c r="BD1396" s="342"/>
    </row>
    <row r="1397" spans="4:56" x14ac:dyDescent="0.2">
      <c r="D1397" s="342"/>
      <c r="F1397" s="342"/>
      <c r="G1397" s="342"/>
      <c r="H1397" s="342"/>
      <c r="I1397" s="342"/>
      <c r="J1397" s="342"/>
      <c r="L1397" s="342"/>
      <c r="M1397" s="342"/>
      <c r="R1397" s="342"/>
      <c r="AJ1397" s="342"/>
      <c r="AL1397" s="342"/>
      <c r="AM1397" s="342"/>
      <c r="BD1397" s="342"/>
    </row>
    <row r="1398" spans="4:56" x14ac:dyDescent="0.2">
      <c r="D1398" s="342"/>
      <c r="F1398" s="342"/>
      <c r="G1398" s="342"/>
      <c r="H1398" s="342"/>
      <c r="I1398" s="342"/>
      <c r="J1398" s="342"/>
      <c r="L1398" s="342"/>
      <c r="M1398" s="342"/>
      <c r="R1398" s="342"/>
      <c r="AJ1398" s="342"/>
      <c r="AL1398" s="342"/>
      <c r="AM1398" s="342"/>
      <c r="BD1398" s="342"/>
    </row>
    <row r="1399" spans="4:56" x14ac:dyDescent="0.2">
      <c r="D1399" s="342"/>
      <c r="F1399" s="342"/>
      <c r="G1399" s="342"/>
      <c r="H1399" s="342"/>
      <c r="I1399" s="342"/>
      <c r="J1399" s="342"/>
      <c r="L1399" s="342"/>
      <c r="M1399" s="342"/>
      <c r="R1399" s="342"/>
      <c r="AJ1399" s="342"/>
      <c r="AL1399" s="342"/>
      <c r="AM1399" s="342"/>
      <c r="BD1399" s="342"/>
    </row>
    <row r="1400" spans="4:56" x14ac:dyDescent="0.2">
      <c r="D1400" s="342"/>
      <c r="F1400" s="342"/>
      <c r="G1400" s="342"/>
      <c r="H1400" s="342"/>
      <c r="I1400" s="342"/>
      <c r="J1400" s="342"/>
      <c r="L1400" s="342"/>
      <c r="M1400" s="342"/>
      <c r="R1400" s="342"/>
      <c r="AJ1400" s="342"/>
      <c r="AL1400" s="342"/>
      <c r="AM1400" s="342"/>
      <c r="BD1400" s="342"/>
    </row>
    <row r="1401" spans="4:56" x14ac:dyDescent="0.2">
      <c r="D1401" s="342"/>
      <c r="F1401" s="342"/>
      <c r="G1401" s="342"/>
      <c r="H1401" s="342"/>
      <c r="I1401" s="342"/>
      <c r="J1401" s="342"/>
      <c r="L1401" s="342"/>
      <c r="M1401" s="342"/>
      <c r="R1401" s="342"/>
      <c r="AJ1401" s="342"/>
      <c r="AL1401" s="342"/>
      <c r="AM1401" s="342"/>
      <c r="BD1401" s="342"/>
    </row>
    <row r="1402" spans="4:56" x14ac:dyDescent="0.2">
      <c r="D1402" s="342"/>
      <c r="F1402" s="342"/>
      <c r="G1402" s="342"/>
      <c r="H1402" s="342"/>
      <c r="I1402" s="342"/>
      <c r="J1402" s="342"/>
      <c r="L1402" s="342"/>
      <c r="M1402" s="342"/>
      <c r="R1402" s="342"/>
      <c r="AJ1402" s="342"/>
      <c r="AL1402" s="342"/>
      <c r="AM1402" s="342"/>
      <c r="BD1402" s="342"/>
    </row>
    <row r="1403" spans="4:56" x14ac:dyDescent="0.2">
      <c r="D1403" s="342"/>
      <c r="F1403" s="342"/>
      <c r="G1403" s="342"/>
      <c r="H1403" s="342"/>
      <c r="I1403" s="342"/>
      <c r="J1403" s="342"/>
      <c r="L1403" s="342"/>
      <c r="M1403" s="342"/>
      <c r="R1403" s="342"/>
      <c r="AJ1403" s="342"/>
      <c r="AL1403" s="342"/>
      <c r="AM1403" s="342"/>
      <c r="BD1403" s="342"/>
    </row>
    <row r="1404" spans="4:56" x14ac:dyDescent="0.2">
      <c r="D1404" s="342"/>
      <c r="F1404" s="342"/>
      <c r="G1404" s="342"/>
      <c r="H1404" s="342"/>
      <c r="I1404" s="342"/>
      <c r="J1404" s="342"/>
      <c r="L1404" s="342"/>
      <c r="M1404" s="342"/>
      <c r="R1404" s="342"/>
      <c r="AJ1404" s="342"/>
      <c r="AL1404" s="342"/>
      <c r="AM1404" s="342"/>
      <c r="BD1404" s="342"/>
    </row>
    <row r="1405" spans="4:56" x14ac:dyDescent="0.2">
      <c r="D1405" s="342"/>
      <c r="F1405" s="342"/>
      <c r="G1405" s="342"/>
      <c r="H1405" s="342"/>
      <c r="I1405" s="342"/>
      <c r="J1405" s="342"/>
      <c r="L1405" s="342"/>
      <c r="M1405" s="342"/>
      <c r="R1405" s="342"/>
      <c r="AJ1405" s="342"/>
      <c r="AL1405" s="342"/>
      <c r="AM1405" s="342"/>
      <c r="BD1405" s="342"/>
    </row>
    <row r="1406" spans="4:56" x14ac:dyDescent="0.2">
      <c r="D1406" s="342"/>
      <c r="F1406" s="342"/>
      <c r="G1406" s="342"/>
      <c r="H1406" s="342"/>
      <c r="I1406" s="342"/>
      <c r="J1406" s="342"/>
      <c r="L1406" s="342"/>
      <c r="M1406" s="342"/>
      <c r="R1406" s="342"/>
      <c r="AJ1406" s="342"/>
      <c r="AL1406" s="342"/>
      <c r="AM1406" s="342"/>
      <c r="BD1406" s="342"/>
    </row>
    <row r="1407" spans="4:56" x14ac:dyDescent="0.2">
      <c r="D1407" s="342"/>
      <c r="F1407" s="342"/>
      <c r="G1407" s="342"/>
      <c r="H1407" s="342"/>
      <c r="I1407" s="342"/>
      <c r="J1407" s="342"/>
      <c r="L1407" s="342"/>
      <c r="M1407" s="342"/>
      <c r="R1407" s="342"/>
      <c r="AJ1407" s="342"/>
      <c r="AL1407" s="342"/>
      <c r="AM1407" s="342"/>
      <c r="BD1407" s="342"/>
    </row>
    <row r="1408" spans="4:56" x14ac:dyDescent="0.2">
      <c r="D1408" s="342"/>
      <c r="F1408" s="342"/>
      <c r="G1408" s="342"/>
      <c r="H1408" s="342"/>
      <c r="I1408" s="342"/>
      <c r="J1408" s="342"/>
      <c r="L1408" s="342"/>
      <c r="M1408" s="342"/>
      <c r="R1408" s="342"/>
      <c r="AJ1408" s="342"/>
      <c r="AL1408" s="342"/>
      <c r="AM1408" s="342"/>
      <c r="BD1408" s="342"/>
    </row>
    <row r="1409" spans="4:56" x14ac:dyDescent="0.2">
      <c r="D1409" s="342"/>
      <c r="F1409" s="342"/>
      <c r="G1409" s="342"/>
      <c r="H1409" s="342"/>
      <c r="I1409" s="342"/>
      <c r="J1409" s="342"/>
      <c r="L1409" s="342"/>
      <c r="M1409" s="342"/>
      <c r="R1409" s="342"/>
      <c r="AJ1409" s="342"/>
      <c r="AL1409" s="342"/>
      <c r="AM1409" s="342"/>
      <c r="BD1409" s="342"/>
    </row>
    <row r="1410" spans="4:56" x14ac:dyDescent="0.2">
      <c r="D1410" s="342"/>
      <c r="F1410" s="342"/>
      <c r="G1410" s="342"/>
      <c r="H1410" s="342"/>
      <c r="I1410" s="342"/>
      <c r="J1410" s="342"/>
      <c r="L1410" s="342"/>
      <c r="M1410" s="342"/>
      <c r="R1410" s="342"/>
      <c r="AJ1410" s="342"/>
      <c r="AL1410" s="342"/>
      <c r="AM1410" s="342"/>
      <c r="BD1410" s="342"/>
    </row>
    <row r="1411" spans="4:56" x14ac:dyDescent="0.2">
      <c r="D1411" s="342"/>
      <c r="F1411" s="342"/>
      <c r="G1411" s="342"/>
      <c r="H1411" s="342"/>
      <c r="I1411" s="342"/>
      <c r="J1411" s="342"/>
      <c r="L1411" s="342"/>
      <c r="M1411" s="342"/>
      <c r="R1411" s="342"/>
      <c r="AJ1411" s="342"/>
      <c r="AL1411" s="342"/>
      <c r="AM1411" s="342"/>
      <c r="BD1411" s="342"/>
    </row>
    <row r="1412" spans="4:56" x14ac:dyDescent="0.2">
      <c r="D1412" s="342"/>
      <c r="F1412" s="342"/>
      <c r="G1412" s="342"/>
      <c r="H1412" s="342"/>
      <c r="I1412" s="342"/>
      <c r="J1412" s="342"/>
      <c r="L1412" s="342"/>
      <c r="M1412" s="342"/>
      <c r="R1412" s="342"/>
      <c r="AJ1412" s="342"/>
      <c r="AL1412" s="342"/>
      <c r="AM1412" s="342"/>
      <c r="BD1412" s="342"/>
    </row>
    <row r="1413" spans="4:56" x14ac:dyDescent="0.2">
      <c r="D1413" s="342"/>
      <c r="F1413" s="342"/>
      <c r="G1413" s="342"/>
      <c r="H1413" s="342"/>
      <c r="I1413" s="342"/>
      <c r="J1413" s="342"/>
      <c r="L1413" s="342"/>
      <c r="M1413" s="342"/>
      <c r="R1413" s="342"/>
      <c r="AJ1413" s="342"/>
      <c r="AL1413" s="342"/>
      <c r="AM1413" s="342"/>
      <c r="BD1413" s="342"/>
    </row>
    <row r="1414" spans="4:56" x14ac:dyDescent="0.2">
      <c r="D1414" s="342"/>
      <c r="F1414" s="342"/>
      <c r="G1414" s="342"/>
      <c r="H1414" s="342"/>
      <c r="I1414" s="342"/>
      <c r="J1414" s="342"/>
      <c r="L1414" s="342"/>
      <c r="M1414" s="342"/>
      <c r="R1414" s="342"/>
      <c r="AJ1414" s="342"/>
      <c r="AL1414" s="342"/>
      <c r="AM1414" s="342"/>
      <c r="BD1414" s="342"/>
    </row>
    <row r="1415" spans="4:56" x14ac:dyDescent="0.2">
      <c r="D1415" s="342"/>
      <c r="F1415" s="342"/>
      <c r="G1415" s="342"/>
      <c r="H1415" s="342"/>
      <c r="I1415" s="342"/>
      <c r="J1415" s="342"/>
      <c r="L1415" s="342"/>
      <c r="M1415" s="342"/>
      <c r="R1415" s="342"/>
      <c r="AJ1415" s="342"/>
      <c r="AL1415" s="342"/>
      <c r="AM1415" s="342"/>
      <c r="BD1415" s="342"/>
    </row>
    <row r="1416" spans="4:56" x14ac:dyDescent="0.2">
      <c r="D1416" s="342"/>
      <c r="F1416" s="342"/>
      <c r="G1416" s="342"/>
      <c r="H1416" s="342"/>
      <c r="I1416" s="342"/>
      <c r="J1416" s="342"/>
      <c r="L1416" s="342"/>
      <c r="M1416" s="342"/>
      <c r="R1416" s="342"/>
      <c r="AJ1416" s="342"/>
      <c r="AL1416" s="342"/>
      <c r="AM1416" s="342"/>
      <c r="BD1416" s="342"/>
    </row>
    <row r="1417" spans="4:56" x14ac:dyDescent="0.2">
      <c r="D1417" s="342"/>
      <c r="F1417" s="342"/>
      <c r="G1417" s="342"/>
      <c r="H1417" s="342"/>
      <c r="I1417" s="342"/>
      <c r="J1417" s="342"/>
      <c r="L1417" s="342"/>
      <c r="M1417" s="342"/>
      <c r="R1417" s="342"/>
      <c r="AJ1417" s="342"/>
      <c r="AL1417" s="342"/>
      <c r="AM1417" s="342"/>
      <c r="BD1417" s="342"/>
    </row>
    <row r="1418" spans="4:56" x14ac:dyDescent="0.2">
      <c r="D1418" s="342"/>
      <c r="F1418" s="342"/>
      <c r="G1418" s="342"/>
      <c r="H1418" s="342"/>
      <c r="I1418" s="342"/>
      <c r="J1418" s="342"/>
      <c r="L1418" s="342"/>
      <c r="M1418" s="342"/>
      <c r="R1418" s="342"/>
      <c r="AJ1418" s="342"/>
      <c r="AL1418" s="342"/>
      <c r="AM1418" s="342"/>
      <c r="BD1418" s="342"/>
    </row>
    <row r="1419" spans="4:56" x14ac:dyDescent="0.2">
      <c r="D1419" s="342"/>
      <c r="F1419" s="342"/>
      <c r="G1419" s="342"/>
      <c r="H1419" s="342"/>
      <c r="I1419" s="342"/>
      <c r="J1419" s="342"/>
      <c r="L1419" s="342"/>
      <c r="M1419" s="342"/>
      <c r="R1419" s="342"/>
      <c r="AJ1419" s="342"/>
      <c r="AL1419" s="342"/>
      <c r="AM1419" s="342"/>
      <c r="BD1419" s="342"/>
    </row>
    <row r="1420" spans="4:56" x14ac:dyDescent="0.2">
      <c r="D1420" s="342"/>
      <c r="F1420" s="342"/>
      <c r="G1420" s="342"/>
      <c r="H1420" s="342"/>
      <c r="I1420" s="342"/>
      <c r="J1420" s="342"/>
      <c r="L1420" s="342"/>
      <c r="M1420" s="342"/>
      <c r="R1420" s="342"/>
      <c r="AJ1420" s="342"/>
      <c r="AL1420" s="342"/>
      <c r="AM1420" s="342"/>
      <c r="BD1420" s="342"/>
    </row>
    <row r="1421" spans="4:56" x14ac:dyDescent="0.2">
      <c r="D1421" s="342"/>
      <c r="F1421" s="342"/>
      <c r="G1421" s="342"/>
      <c r="H1421" s="342"/>
      <c r="I1421" s="342"/>
      <c r="J1421" s="342"/>
      <c r="L1421" s="342"/>
      <c r="M1421" s="342"/>
      <c r="R1421" s="342"/>
      <c r="AJ1421" s="342"/>
      <c r="AL1421" s="342"/>
      <c r="AM1421" s="342"/>
      <c r="BD1421" s="342"/>
    </row>
    <row r="1422" spans="4:56" x14ac:dyDescent="0.2">
      <c r="D1422" s="342"/>
      <c r="F1422" s="342"/>
      <c r="G1422" s="342"/>
      <c r="H1422" s="342"/>
      <c r="I1422" s="342"/>
      <c r="J1422" s="342"/>
      <c r="L1422" s="342"/>
      <c r="M1422" s="342"/>
      <c r="R1422" s="342"/>
      <c r="AJ1422" s="342"/>
      <c r="AL1422" s="342"/>
      <c r="AM1422" s="342"/>
      <c r="BD1422" s="342"/>
    </row>
    <row r="1423" spans="4:56" x14ac:dyDescent="0.2">
      <c r="D1423" s="342"/>
      <c r="F1423" s="342"/>
      <c r="G1423" s="342"/>
      <c r="H1423" s="342"/>
      <c r="I1423" s="342"/>
      <c r="J1423" s="342"/>
      <c r="L1423" s="342"/>
      <c r="M1423" s="342"/>
      <c r="R1423" s="342"/>
      <c r="AJ1423" s="342"/>
      <c r="AL1423" s="342"/>
      <c r="AM1423" s="342"/>
      <c r="BD1423" s="342"/>
    </row>
    <row r="1424" spans="4:56" x14ac:dyDescent="0.2">
      <c r="D1424" s="342"/>
      <c r="F1424" s="342"/>
      <c r="G1424" s="342"/>
      <c r="H1424" s="342"/>
      <c r="I1424" s="342"/>
      <c r="J1424" s="342"/>
      <c r="L1424" s="342"/>
      <c r="M1424" s="342"/>
      <c r="R1424" s="342"/>
      <c r="AJ1424" s="342"/>
      <c r="AL1424" s="342"/>
      <c r="AM1424" s="342"/>
      <c r="BD1424" s="342"/>
    </row>
    <row r="1425" spans="4:56" x14ac:dyDescent="0.2">
      <c r="D1425" s="342"/>
      <c r="F1425" s="342"/>
      <c r="G1425" s="342"/>
      <c r="H1425" s="342"/>
      <c r="I1425" s="342"/>
      <c r="J1425" s="342"/>
      <c r="L1425" s="342"/>
      <c r="M1425" s="342"/>
      <c r="R1425" s="342"/>
      <c r="AJ1425" s="342"/>
      <c r="AL1425" s="342"/>
      <c r="AM1425" s="342"/>
      <c r="BD1425" s="342"/>
    </row>
    <row r="1426" spans="4:56" x14ac:dyDescent="0.2">
      <c r="D1426" s="342"/>
      <c r="F1426" s="342"/>
      <c r="G1426" s="342"/>
      <c r="H1426" s="342"/>
      <c r="I1426" s="342"/>
      <c r="J1426" s="342"/>
      <c r="L1426" s="342"/>
      <c r="M1426" s="342"/>
      <c r="R1426" s="342"/>
      <c r="AJ1426" s="342"/>
      <c r="AL1426" s="342"/>
      <c r="AM1426" s="342"/>
      <c r="BD1426" s="342"/>
    </row>
    <row r="1427" spans="4:56" x14ac:dyDescent="0.2">
      <c r="D1427" s="342"/>
      <c r="F1427" s="342"/>
      <c r="G1427" s="342"/>
      <c r="H1427" s="342"/>
      <c r="I1427" s="342"/>
      <c r="J1427" s="342"/>
      <c r="L1427" s="342"/>
      <c r="M1427" s="342"/>
      <c r="R1427" s="342"/>
      <c r="AJ1427" s="342"/>
      <c r="AL1427" s="342"/>
      <c r="AM1427" s="342"/>
      <c r="BD1427" s="342"/>
    </row>
    <row r="1428" spans="4:56" x14ac:dyDescent="0.2">
      <c r="D1428" s="342"/>
      <c r="F1428" s="342"/>
      <c r="G1428" s="342"/>
      <c r="H1428" s="342"/>
      <c r="I1428" s="342"/>
      <c r="J1428" s="342"/>
      <c r="L1428" s="342"/>
      <c r="M1428" s="342"/>
      <c r="R1428" s="342"/>
      <c r="AJ1428" s="342"/>
      <c r="AL1428" s="342"/>
      <c r="AM1428" s="342"/>
      <c r="BD1428" s="342"/>
    </row>
    <row r="1429" spans="4:56" x14ac:dyDescent="0.2">
      <c r="D1429" s="342"/>
      <c r="F1429" s="342"/>
      <c r="G1429" s="342"/>
      <c r="H1429" s="342"/>
      <c r="I1429" s="342"/>
      <c r="J1429" s="342"/>
      <c r="L1429" s="342"/>
      <c r="M1429" s="342"/>
      <c r="R1429" s="342"/>
      <c r="AJ1429" s="342"/>
      <c r="AL1429" s="342"/>
      <c r="AM1429" s="342"/>
      <c r="BD1429" s="342"/>
    </row>
    <row r="1430" spans="4:56" x14ac:dyDescent="0.2">
      <c r="D1430" s="342"/>
      <c r="F1430" s="342"/>
      <c r="G1430" s="342"/>
      <c r="H1430" s="342"/>
      <c r="I1430" s="342"/>
      <c r="J1430" s="342"/>
      <c r="L1430" s="342"/>
      <c r="M1430" s="342"/>
      <c r="R1430" s="342"/>
      <c r="AJ1430" s="342"/>
      <c r="AL1430" s="342"/>
      <c r="AM1430" s="342"/>
      <c r="BD1430" s="342"/>
    </row>
    <row r="1431" spans="4:56" x14ac:dyDescent="0.2">
      <c r="D1431" s="342"/>
      <c r="F1431" s="342"/>
      <c r="G1431" s="342"/>
      <c r="H1431" s="342"/>
      <c r="I1431" s="342"/>
      <c r="J1431" s="342"/>
      <c r="L1431" s="342"/>
      <c r="M1431" s="342"/>
      <c r="R1431" s="342"/>
      <c r="AJ1431" s="342"/>
      <c r="AL1431" s="342"/>
      <c r="AM1431" s="342"/>
      <c r="BD1431" s="342"/>
    </row>
    <row r="1432" spans="4:56" x14ac:dyDescent="0.2">
      <c r="D1432" s="342"/>
      <c r="F1432" s="342"/>
      <c r="G1432" s="342"/>
      <c r="H1432" s="342"/>
      <c r="I1432" s="342"/>
      <c r="J1432" s="342"/>
      <c r="L1432" s="342"/>
      <c r="M1432" s="342"/>
      <c r="R1432" s="342"/>
      <c r="AJ1432" s="342"/>
      <c r="AL1432" s="342"/>
      <c r="AM1432" s="342"/>
      <c r="BD1432" s="342"/>
    </row>
    <row r="1433" spans="4:56" x14ac:dyDescent="0.2">
      <c r="D1433" s="342"/>
      <c r="F1433" s="342"/>
      <c r="G1433" s="342"/>
      <c r="H1433" s="342"/>
      <c r="I1433" s="342"/>
      <c r="J1433" s="342"/>
      <c r="L1433" s="342"/>
      <c r="M1433" s="342"/>
      <c r="R1433" s="342"/>
      <c r="AJ1433" s="342"/>
      <c r="AL1433" s="342"/>
      <c r="AM1433" s="342"/>
      <c r="BD1433" s="342"/>
    </row>
    <row r="1434" spans="4:56" x14ac:dyDescent="0.2">
      <c r="D1434" s="342"/>
      <c r="F1434" s="342"/>
      <c r="G1434" s="342"/>
      <c r="H1434" s="342"/>
      <c r="I1434" s="342"/>
      <c r="J1434" s="342"/>
      <c r="L1434" s="342"/>
      <c r="M1434" s="342"/>
      <c r="R1434" s="342"/>
      <c r="AJ1434" s="342"/>
      <c r="AL1434" s="342"/>
      <c r="AM1434" s="342"/>
      <c r="BD1434" s="342"/>
    </row>
    <row r="1435" spans="4:56" x14ac:dyDescent="0.2">
      <c r="D1435" s="342"/>
      <c r="F1435" s="342"/>
      <c r="G1435" s="342"/>
      <c r="H1435" s="342"/>
      <c r="I1435" s="342"/>
      <c r="J1435" s="342"/>
      <c r="L1435" s="342"/>
      <c r="M1435" s="342"/>
      <c r="R1435" s="342"/>
      <c r="AJ1435" s="342"/>
      <c r="AL1435" s="342"/>
      <c r="AM1435" s="342"/>
      <c r="BD1435" s="342"/>
    </row>
    <row r="1436" spans="4:56" x14ac:dyDescent="0.2">
      <c r="D1436" s="342"/>
      <c r="F1436" s="342"/>
      <c r="G1436" s="342"/>
      <c r="H1436" s="342"/>
      <c r="I1436" s="342"/>
      <c r="J1436" s="342"/>
      <c r="L1436" s="342"/>
      <c r="M1436" s="342"/>
      <c r="R1436" s="342"/>
      <c r="AJ1436" s="342"/>
      <c r="AL1436" s="342"/>
      <c r="AM1436" s="342"/>
      <c r="BD1436" s="342"/>
    </row>
    <row r="1437" spans="4:56" x14ac:dyDescent="0.2">
      <c r="D1437" s="342"/>
      <c r="F1437" s="342"/>
      <c r="G1437" s="342"/>
      <c r="H1437" s="342"/>
      <c r="I1437" s="342"/>
      <c r="J1437" s="342"/>
      <c r="L1437" s="342"/>
      <c r="M1437" s="342"/>
      <c r="R1437" s="342"/>
      <c r="AJ1437" s="342"/>
      <c r="AL1437" s="342"/>
      <c r="AM1437" s="342"/>
      <c r="BD1437" s="342"/>
    </row>
    <row r="1438" spans="4:56" x14ac:dyDescent="0.2">
      <c r="D1438" s="342"/>
      <c r="F1438" s="342"/>
      <c r="G1438" s="342"/>
      <c r="H1438" s="342"/>
      <c r="I1438" s="342"/>
      <c r="J1438" s="342"/>
      <c r="L1438" s="342"/>
      <c r="M1438" s="342"/>
      <c r="R1438" s="342"/>
      <c r="AJ1438" s="342"/>
      <c r="AL1438" s="342"/>
      <c r="AM1438" s="342"/>
      <c r="BD1438" s="342"/>
    </row>
    <row r="1439" spans="4:56" x14ac:dyDescent="0.2">
      <c r="D1439" s="342"/>
      <c r="F1439" s="342"/>
      <c r="G1439" s="342"/>
      <c r="H1439" s="342"/>
      <c r="I1439" s="342"/>
      <c r="J1439" s="342"/>
      <c r="L1439" s="342"/>
      <c r="M1439" s="342"/>
      <c r="R1439" s="342"/>
      <c r="AJ1439" s="342"/>
      <c r="AL1439" s="342"/>
      <c r="AM1439" s="342"/>
      <c r="BD1439" s="342"/>
    </row>
    <row r="1440" spans="4:56" x14ac:dyDescent="0.2">
      <c r="D1440" s="342"/>
      <c r="F1440" s="342"/>
      <c r="G1440" s="342"/>
      <c r="H1440" s="342"/>
      <c r="I1440" s="342"/>
      <c r="J1440" s="342"/>
      <c r="L1440" s="342"/>
      <c r="M1440" s="342"/>
      <c r="R1440" s="342"/>
      <c r="AJ1440" s="342"/>
      <c r="AL1440" s="342"/>
      <c r="AM1440" s="342"/>
      <c r="BD1440" s="342"/>
    </row>
    <row r="1441" spans="4:56" x14ac:dyDescent="0.2">
      <c r="D1441" s="342"/>
      <c r="F1441" s="342"/>
      <c r="G1441" s="342"/>
      <c r="H1441" s="342"/>
      <c r="I1441" s="342"/>
      <c r="J1441" s="342"/>
      <c r="L1441" s="342"/>
      <c r="M1441" s="342"/>
      <c r="R1441" s="342"/>
      <c r="AJ1441" s="342"/>
      <c r="AL1441" s="342"/>
      <c r="AM1441" s="342"/>
      <c r="BD1441" s="342"/>
    </row>
    <row r="1442" spans="4:56" x14ac:dyDescent="0.2">
      <c r="D1442" s="342"/>
      <c r="F1442" s="342"/>
      <c r="G1442" s="342"/>
      <c r="H1442" s="342"/>
      <c r="I1442" s="342"/>
      <c r="J1442" s="342"/>
      <c r="L1442" s="342"/>
      <c r="M1442" s="342"/>
      <c r="R1442" s="342"/>
      <c r="AJ1442" s="342"/>
      <c r="AL1442" s="342"/>
      <c r="AM1442" s="342"/>
      <c r="BD1442" s="342"/>
    </row>
    <row r="1443" spans="4:56" x14ac:dyDescent="0.2">
      <c r="D1443" s="342"/>
      <c r="F1443" s="342"/>
      <c r="G1443" s="342"/>
      <c r="H1443" s="342"/>
      <c r="I1443" s="342"/>
      <c r="J1443" s="342"/>
      <c r="L1443" s="342"/>
      <c r="M1443" s="342"/>
      <c r="R1443" s="342"/>
      <c r="AJ1443" s="342"/>
      <c r="AL1443" s="342"/>
      <c r="AM1443" s="342"/>
      <c r="BD1443" s="342"/>
    </row>
    <row r="1444" spans="4:56" x14ac:dyDescent="0.2">
      <c r="D1444" s="342"/>
      <c r="F1444" s="342"/>
      <c r="G1444" s="342"/>
      <c r="H1444" s="342"/>
      <c r="I1444" s="342"/>
      <c r="J1444" s="342"/>
      <c r="L1444" s="342"/>
      <c r="M1444" s="342"/>
      <c r="R1444" s="342"/>
      <c r="AJ1444" s="342"/>
      <c r="AL1444" s="342"/>
      <c r="AM1444" s="342"/>
      <c r="BD1444" s="342"/>
    </row>
    <row r="1445" spans="4:56" x14ac:dyDescent="0.2">
      <c r="D1445" s="342"/>
      <c r="F1445" s="342"/>
      <c r="G1445" s="342"/>
      <c r="H1445" s="342"/>
      <c r="I1445" s="342"/>
      <c r="J1445" s="342"/>
      <c r="L1445" s="342"/>
      <c r="M1445" s="342"/>
      <c r="R1445" s="342"/>
      <c r="AJ1445" s="342"/>
      <c r="AL1445" s="342"/>
      <c r="AM1445" s="342"/>
      <c r="BD1445" s="342"/>
    </row>
    <row r="1446" spans="4:56" x14ac:dyDescent="0.2">
      <c r="D1446" s="342"/>
      <c r="F1446" s="342"/>
      <c r="G1446" s="342"/>
      <c r="H1446" s="342"/>
      <c r="I1446" s="342"/>
      <c r="J1446" s="342"/>
      <c r="L1446" s="342"/>
      <c r="M1446" s="342"/>
      <c r="R1446" s="342"/>
      <c r="AJ1446" s="342"/>
      <c r="AL1446" s="342"/>
      <c r="AM1446" s="342"/>
      <c r="BD1446" s="342"/>
    </row>
    <row r="1447" spans="4:56" x14ac:dyDescent="0.2">
      <c r="D1447" s="342"/>
      <c r="F1447" s="342"/>
      <c r="G1447" s="342"/>
      <c r="H1447" s="342"/>
      <c r="I1447" s="342"/>
      <c r="J1447" s="342"/>
      <c r="L1447" s="342"/>
      <c r="M1447" s="342"/>
      <c r="R1447" s="342"/>
      <c r="AJ1447" s="342"/>
      <c r="AL1447" s="342"/>
      <c r="AM1447" s="342"/>
      <c r="BD1447" s="342"/>
    </row>
    <row r="1448" spans="4:56" x14ac:dyDescent="0.2">
      <c r="D1448" s="342"/>
      <c r="F1448" s="342"/>
      <c r="G1448" s="342"/>
      <c r="H1448" s="342"/>
      <c r="I1448" s="342"/>
      <c r="J1448" s="342"/>
      <c r="L1448" s="342"/>
      <c r="M1448" s="342"/>
      <c r="R1448" s="342"/>
      <c r="AJ1448" s="342"/>
      <c r="AL1448" s="342"/>
      <c r="AM1448" s="342"/>
      <c r="BD1448" s="342"/>
    </row>
    <row r="1449" spans="4:56" x14ac:dyDescent="0.2">
      <c r="D1449" s="342"/>
      <c r="F1449" s="342"/>
      <c r="G1449" s="342"/>
      <c r="H1449" s="342"/>
      <c r="I1449" s="342"/>
      <c r="J1449" s="342"/>
      <c r="L1449" s="342"/>
      <c r="M1449" s="342"/>
      <c r="R1449" s="342"/>
      <c r="AJ1449" s="342"/>
      <c r="AL1449" s="342"/>
      <c r="AM1449" s="342"/>
      <c r="BD1449" s="342"/>
    </row>
    <row r="1450" spans="4:56" x14ac:dyDescent="0.2">
      <c r="D1450" s="342"/>
      <c r="F1450" s="342"/>
      <c r="G1450" s="342"/>
      <c r="H1450" s="342"/>
      <c r="I1450" s="342"/>
      <c r="J1450" s="342"/>
      <c r="L1450" s="342"/>
      <c r="M1450" s="342"/>
      <c r="R1450" s="342"/>
      <c r="AJ1450" s="342"/>
      <c r="AL1450" s="342"/>
      <c r="AM1450" s="342"/>
      <c r="BD1450" s="342"/>
    </row>
    <row r="1451" spans="4:56" x14ac:dyDescent="0.2">
      <c r="D1451" s="342"/>
      <c r="F1451" s="342"/>
      <c r="G1451" s="342"/>
      <c r="H1451" s="342"/>
      <c r="I1451" s="342"/>
      <c r="J1451" s="342"/>
      <c r="L1451" s="342"/>
      <c r="M1451" s="342"/>
      <c r="R1451" s="342"/>
      <c r="AJ1451" s="342"/>
      <c r="AL1451" s="342"/>
      <c r="AM1451" s="342"/>
      <c r="BD1451" s="342"/>
    </row>
    <row r="1452" spans="4:56" x14ac:dyDescent="0.2">
      <c r="D1452" s="342"/>
      <c r="F1452" s="342"/>
      <c r="G1452" s="342"/>
      <c r="H1452" s="342"/>
      <c r="I1452" s="342"/>
      <c r="J1452" s="342"/>
      <c r="L1452" s="342"/>
      <c r="M1452" s="342"/>
      <c r="R1452" s="342"/>
      <c r="AJ1452" s="342"/>
      <c r="AL1452" s="342"/>
      <c r="AM1452" s="342"/>
      <c r="BD1452" s="342"/>
    </row>
    <row r="1453" spans="4:56" x14ac:dyDescent="0.2">
      <c r="D1453" s="342"/>
      <c r="F1453" s="342"/>
      <c r="G1453" s="342"/>
      <c r="H1453" s="342"/>
      <c r="I1453" s="342"/>
      <c r="J1453" s="342"/>
      <c r="L1453" s="342"/>
      <c r="M1453" s="342"/>
      <c r="R1453" s="342"/>
      <c r="AJ1453" s="342"/>
      <c r="AL1453" s="342"/>
      <c r="AM1453" s="342"/>
      <c r="BD1453" s="342"/>
    </row>
    <row r="1454" spans="4:56" x14ac:dyDescent="0.2">
      <c r="D1454" s="342"/>
      <c r="F1454" s="342"/>
      <c r="G1454" s="342"/>
      <c r="H1454" s="342"/>
      <c r="I1454" s="342"/>
      <c r="J1454" s="342"/>
      <c r="L1454" s="342"/>
      <c r="M1454" s="342"/>
      <c r="R1454" s="342"/>
      <c r="AJ1454" s="342"/>
      <c r="AL1454" s="342"/>
      <c r="AM1454" s="342"/>
      <c r="BD1454" s="342"/>
    </row>
  </sheetData>
  <mergeCells count="2">
    <mergeCell ref="B149:D149"/>
    <mergeCell ref="B150:AT150"/>
  </mergeCells>
  <phoneticPr fontId="3" type="noConversion"/>
  <printOptions horizontalCentered="1"/>
  <pageMargins left="0.38" right="0.23" top="0.91" bottom="0.59" header="0.42" footer="0.21"/>
  <pageSetup scale="56" orientation="landscape" r:id="rId1"/>
  <headerFooter alignWithMargins="0">
    <oddHeader>&amp;L&amp;"Arial,Bold"&amp;12Department of Corrections&amp;R&amp;"Arial,Bold"&amp;12Justice System Appropriations Subcommittee</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68"/>
  <sheetViews>
    <sheetView view="pageBreakPreview" zoomScale="60" zoomScaleNormal="80" workbookViewId="0">
      <selection activeCell="AO1" sqref="AO1:AT1048576"/>
    </sheetView>
  </sheetViews>
  <sheetFormatPr defaultColWidth="9.140625" defaultRowHeight="12.75" x14ac:dyDescent="0.2"/>
  <cols>
    <col min="1" max="1" width="17.140625" style="293" customWidth="1"/>
    <col min="2" max="2" width="0.7109375" style="95" customWidth="1"/>
    <col min="3" max="3" width="12.7109375" style="122" customWidth="1"/>
    <col min="4" max="4" width="0.7109375" style="95" customWidth="1"/>
    <col min="5" max="5" width="26.5703125" style="124" customWidth="1"/>
    <col min="6" max="6" width="1" style="229" customWidth="1"/>
    <col min="7" max="7" width="16.140625" style="124" customWidth="1"/>
    <col min="8" max="8" width="1" style="229" customWidth="1"/>
    <col min="9" max="9" width="12.7109375" style="130" customWidth="1"/>
    <col min="10" max="10" width="1.28515625" style="95" customWidth="1"/>
    <col min="11" max="11" width="12.7109375" style="130" customWidth="1"/>
    <col min="12" max="12" width="1" style="95" customWidth="1"/>
    <col min="13" max="13" width="15.28515625" style="130" customWidth="1"/>
    <col min="14" max="14" width="1" style="95" customWidth="1"/>
    <col min="15" max="15" width="9.42578125" style="130" customWidth="1"/>
    <col min="16" max="16" width="21.140625" style="130" customWidth="1"/>
    <col min="17" max="17" width="10.42578125" style="128" hidden="1" customWidth="1"/>
    <col min="18" max="18" width="0.85546875" style="128" hidden="1" customWidth="1"/>
    <col min="19" max="19" width="14" style="60" hidden="1" customWidth="1"/>
    <col min="20" max="20" width="0.85546875" style="128" hidden="1" customWidth="1"/>
    <col min="21" max="21" width="10.85546875" style="128" hidden="1" customWidth="1"/>
    <col min="22" max="22" width="1.42578125" style="128" hidden="1" customWidth="1"/>
    <col min="23" max="23" width="12" style="128" hidden="1" customWidth="1"/>
    <col min="24" max="24" width="0.85546875" style="128" hidden="1" customWidth="1"/>
    <col min="25" max="25" width="10.42578125" style="128" hidden="1" customWidth="1"/>
    <col min="26" max="26" width="0.85546875" style="128" hidden="1" customWidth="1"/>
    <col min="27" max="27" width="17" style="60" hidden="1" customWidth="1"/>
    <col min="28" max="28" width="2.7109375" style="128" hidden="1" customWidth="1"/>
    <col min="29" max="29" width="10.85546875" style="128" hidden="1" customWidth="1"/>
    <col min="30" max="30" width="1.42578125" style="128" hidden="1" customWidth="1"/>
    <col min="31" max="31" width="12" style="128" hidden="1" customWidth="1"/>
    <col min="32" max="32" width="10.85546875" style="128" hidden="1" customWidth="1"/>
    <col min="33" max="33" width="1.42578125" style="128" hidden="1" customWidth="1"/>
    <col min="34" max="34" width="12" style="128" hidden="1" customWidth="1"/>
    <col min="35" max="35" width="9.140625" style="150" hidden="1" customWidth="1"/>
    <col min="36" max="39" width="9.140625" style="127" hidden="1" customWidth="1"/>
    <col min="40" max="40" width="1.140625" style="23" customWidth="1"/>
    <col min="41" max="41" width="10.85546875" style="128" hidden="1" customWidth="1"/>
    <col min="42" max="42" width="1.42578125" style="95" hidden="1" customWidth="1"/>
    <col min="43" max="43" width="15.140625" style="128" hidden="1" customWidth="1"/>
    <col min="44" max="44" width="10.85546875" style="128" hidden="1" customWidth="1"/>
    <col min="45" max="45" width="1.42578125" style="95" hidden="1" customWidth="1"/>
    <col min="46" max="46" width="15.140625" style="128" hidden="1" customWidth="1"/>
    <col min="47" max="47" width="1.28515625" style="95" customWidth="1"/>
    <col min="48" max="48" width="11" style="436" customWidth="1"/>
    <col min="49" max="49" width="15.140625" style="128" customWidth="1"/>
    <col min="50" max="50" width="1.42578125" style="95" customWidth="1"/>
    <col min="51" max="51" width="15.140625" style="436" customWidth="1"/>
    <col min="52" max="52" width="15.140625" style="128" customWidth="1"/>
    <col min="53" max="53" width="22" style="215" customWidth="1"/>
    <col min="54" max="61" width="9.140625" style="23"/>
    <col min="62" max="271" width="9.140625" style="127"/>
    <col min="272" max="272" width="2.140625" style="127" customWidth="1"/>
    <col min="273" max="273" width="14" style="127" customWidth="1"/>
    <col min="274" max="274" width="0.7109375" style="127" customWidth="1"/>
    <col min="275" max="275" width="17.140625" style="127" customWidth="1"/>
    <col min="276" max="276" width="1.140625" style="127" customWidth="1"/>
    <col min="277" max="277" width="26.5703125" style="127" customWidth="1"/>
    <col min="278" max="278" width="1" style="127" customWidth="1"/>
    <col min="279" max="279" width="32.85546875" style="127" customWidth="1"/>
    <col min="280" max="280" width="1" style="127" customWidth="1"/>
    <col min="281" max="281" width="12.7109375" style="127" customWidth="1"/>
    <col min="282" max="282" width="1.28515625" style="127" customWidth="1"/>
    <col min="283" max="283" width="11.42578125" style="127" customWidth="1"/>
    <col min="284" max="284" width="1" style="127" customWidth="1"/>
    <col min="285" max="285" width="10.42578125" style="127" customWidth="1"/>
    <col min="286" max="286" width="0.85546875" style="127" customWidth="1"/>
    <col min="287" max="287" width="14" style="127" customWidth="1"/>
    <col min="288" max="288" width="0.85546875" style="127" customWidth="1"/>
    <col min="289" max="289" width="10.85546875" style="127" customWidth="1"/>
    <col min="290" max="290" width="1.42578125" style="127" customWidth="1"/>
    <col min="291" max="291" width="10.85546875" style="127" customWidth="1"/>
    <col min="292" max="292" width="0.85546875" style="127" customWidth="1"/>
    <col min="293" max="293" width="16" style="127" customWidth="1"/>
    <col min="294" max="294" width="0.5703125" style="127" customWidth="1"/>
    <col min="295" max="295" width="9.42578125" style="127" bestFit="1" customWidth="1"/>
    <col min="296" max="296" width="1.140625" style="127" customWidth="1"/>
    <col min="297" max="527" width="9.140625" style="127"/>
    <col min="528" max="528" width="2.140625" style="127" customWidth="1"/>
    <col min="529" max="529" width="14" style="127" customWidth="1"/>
    <col min="530" max="530" width="0.7109375" style="127" customWidth="1"/>
    <col min="531" max="531" width="17.140625" style="127" customWidth="1"/>
    <col min="532" max="532" width="1.140625" style="127" customWidth="1"/>
    <col min="533" max="533" width="26.5703125" style="127" customWidth="1"/>
    <col min="534" max="534" width="1" style="127" customWidth="1"/>
    <col min="535" max="535" width="32.85546875" style="127" customWidth="1"/>
    <col min="536" max="536" width="1" style="127" customWidth="1"/>
    <col min="537" max="537" width="12.7109375" style="127" customWidth="1"/>
    <col min="538" max="538" width="1.28515625" style="127" customWidth="1"/>
    <col min="539" max="539" width="11.42578125" style="127" customWidth="1"/>
    <col min="540" max="540" width="1" style="127" customWidth="1"/>
    <col min="541" max="541" width="10.42578125" style="127" customWidth="1"/>
    <col min="542" max="542" width="0.85546875" style="127" customWidth="1"/>
    <col min="543" max="543" width="14" style="127" customWidth="1"/>
    <col min="544" max="544" width="0.85546875" style="127" customWidth="1"/>
    <col min="545" max="545" width="10.85546875" style="127" customWidth="1"/>
    <col min="546" max="546" width="1.42578125" style="127" customWidth="1"/>
    <col min="547" max="547" width="10.85546875" style="127" customWidth="1"/>
    <col min="548" max="548" width="0.85546875" style="127" customWidth="1"/>
    <col min="549" max="549" width="16" style="127" customWidth="1"/>
    <col min="550" max="550" width="0.5703125" style="127" customWidth="1"/>
    <col min="551" max="551" width="9.42578125" style="127" bestFit="1" customWidth="1"/>
    <col min="552" max="552" width="1.140625" style="127" customWidth="1"/>
    <col min="553" max="783" width="9.140625" style="127"/>
    <col min="784" max="784" width="2.140625" style="127" customWidth="1"/>
    <col min="785" max="785" width="14" style="127" customWidth="1"/>
    <col min="786" max="786" width="0.7109375" style="127" customWidth="1"/>
    <col min="787" max="787" width="17.140625" style="127" customWidth="1"/>
    <col min="788" max="788" width="1.140625" style="127" customWidth="1"/>
    <col min="789" max="789" width="26.5703125" style="127" customWidth="1"/>
    <col min="790" max="790" width="1" style="127" customWidth="1"/>
    <col min="791" max="791" width="32.85546875" style="127" customWidth="1"/>
    <col min="792" max="792" width="1" style="127" customWidth="1"/>
    <col min="793" max="793" width="12.7109375" style="127" customWidth="1"/>
    <col min="794" max="794" width="1.28515625" style="127" customWidth="1"/>
    <col min="795" max="795" width="11.42578125" style="127" customWidth="1"/>
    <col min="796" max="796" width="1" style="127" customWidth="1"/>
    <col min="797" max="797" width="10.42578125" style="127" customWidth="1"/>
    <col min="798" max="798" width="0.85546875" style="127" customWidth="1"/>
    <col min="799" max="799" width="14" style="127" customWidth="1"/>
    <col min="800" max="800" width="0.85546875" style="127" customWidth="1"/>
    <col min="801" max="801" width="10.85546875" style="127" customWidth="1"/>
    <col min="802" max="802" width="1.42578125" style="127" customWidth="1"/>
    <col min="803" max="803" width="10.85546875" style="127" customWidth="1"/>
    <col min="804" max="804" width="0.85546875" style="127" customWidth="1"/>
    <col min="805" max="805" width="16" style="127" customWidth="1"/>
    <col min="806" max="806" width="0.5703125" style="127" customWidth="1"/>
    <col min="807" max="807" width="9.42578125" style="127" bestFit="1" customWidth="1"/>
    <col min="808" max="808" width="1.140625" style="127" customWidth="1"/>
    <col min="809" max="1039" width="9.140625" style="127"/>
    <col min="1040" max="1040" width="2.140625" style="127" customWidth="1"/>
    <col min="1041" max="1041" width="14" style="127" customWidth="1"/>
    <col min="1042" max="1042" width="0.7109375" style="127" customWidth="1"/>
    <col min="1043" max="1043" width="17.140625" style="127" customWidth="1"/>
    <col min="1044" max="1044" width="1.140625" style="127" customWidth="1"/>
    <col min="1045" max="1045" width="26.5703125" style="127" customWidth="1"/>
    <col min="1046" max="1046" width="1" style="127" customWidth="1"/>
    <col min="1047" max="1047" width="32.85546875" style="127" customWidth="1"/>
    <col min="1048" max="1048" width="1" style="127" customWidth="1"/>
    <col min="1049" max="1049" width="12.7109375" style="127" customWidth="1"/>
    <col min="1050" max="1050" width="1.28515625" style="127" customWidth="1"/>
    <col min="1051" max="1051" width="11.42578125" style="127" customWidth="1"/>
    <col min="1052" max="1052" width="1" style="127" customWidth="1"/>
    <col min="1053" max="1053" width="10.42578125" style="127" customWidth="1"/>
    <col min="1054" max="1054" width="0.85546875" style="127" customWidth="1"/>
    <col min="1055" max="1055" width="14" style="127" customWidth="1"/>
    <col min="1056" max="1056" width="0.85546875" style="127" customWidth="1"/>
    <col min="1057" max="1057" width="10.85546875" style="127" customWidth="1"/>
    <col min="1058" max="1058" width="1.42578125" style="127" customWidth="1"/>
    <col min="1059" max="1059" width="10.85546875" style="127" customWidth="1"/>
    <col min="1060" max="1060" width="0.85546875" style="127" customWidth="1"/>
    <col min="1061" max="1061" width="16" style="127" customWidth="1"/>
    <col min="1062" max="1062" width="0.5703125" style="127" customWidth="1"/>
    <col min="1063" max="1063" width="9.42578125" style="127" bestFit="1" customWidth="1"/>
    <col min="1064" max="1064" width="1.140625" style="127" customWidth="1"/>
    <col min="1065" max="1295" width="9.140625" style="127"/>
    <col min="1296" max="1296" width="2.140625" style="127" customWidth="1"/>
    <col min="1297" max="1297" width="14" style="127" customWidth="1"/>
    <col min="1298" max="1298" width="0.7109375" style="127" customWidth="1"/>
    <col min="1299" max="1299" width="17.140625" style="127" customWidth="1"/>
    <col min="1300" max="1300" width="1.140625" style="127" customWidth="1"/>
    <col min="1301" max="1301" width="26.5703125" style="127" customWidth="1"/>
    <col min="1302" max="1302" width="1" style="127" customWidth="1"/>
    <col min="1303" max="1303" width="32.85546875" style="127" customWidth="1"/>
    <col min="1304" max="1304" width="1" style="127" customWidth="1"/>
    <col min="1305" max="1305" width="12.7109375" style="127" customWidth="1"/>
    <col min="1306" max="1306" width="1.28515625" style="127" customWidth="1"/>
    <col min="1307" max="1307" width="11.42578125" style="127" customWidth="1"/>
    <col min="1308" max="1308" width="1" style="127" customWidth="1"/>
    <col min="1309" max="1309" width="10.42578125" style="127" customWidth="1"/>
    <col min="1310" max="1310" width="0.85546875" style="127" customWidth="1"/>
    <col min="1311" max="1311" width="14" style="127" customWidth="1"/>
    <col min="1312" max="1312" width="0.85546875" style="127" customWidth="1"/>
    <col min="1313" max="1313" width="10.85546875" style="127" customWidth="1"/>
    <col min="1314" max="1314" width="1.42578125" style="127" customWidth="1"/>
    <col min="1315" max="1315" width="10.85546875" style="127" customWidth="1"/>
    <col min="1316" max="1316" width="0.85546875" style="127" customWidth="1"/>
    <col min="1317" max="1317" width="16" style="127" customWidth="1"/>
    <col min="1318" max="1318" width="0.5703125" style="127" customWidth="1"/>
    <col min="1319" max="1319" width="9.42578125" style="127" bestFit="1" customWidth="1"/>
    <col min="1320" max="1320" width="1.140625" style="127" customWidth="1"/>
    <col min="1321" max="1551" width="9.140625" style="127"/>
    <col min="1552" max="1552" width="2.140625" style="127" customWidth="1"/>
    <col min="1553" max="1553" width="14" style="127" customWidth="1"/>
    <col min="1554" max="1554" width="0.7109375" style="127" customWidth="1"/>
    <col min="1555" max="1555" width="17.140625" style="127" customWidth="1"/>
    <col min="1556" max="1556" width="1.140625" style="127" customWidth="1"/>
    <col min="1557" max="1557" width="26.5703125" style="127" customWidth="1"/>
    <col min="1558" max="1558" width="1" style="127" customWidth="1"/>
    <col min="1559" max="1559" width="32.85546875" style="127" customWidth="1"/>
    <col min="1560" max="1560" width="1" style="127" customWidth="1"/>
    <col min="1561" max="1561" width="12.7109375" style="127" customWidth="1"/>
    <col min="1562" max="1562" width="1.28515625" style="127" customWidth="1"/>
    <col min="1563" max="1563" width="11.42578125" style="127" customWidth="1"/>
    <col min="1564" max="1564" width="1" style="127" customWidth="1"/>
    <col min="1565" max="1565" width="10.42578125" style="127" customWidth="1"/>
    <col min="1566" max="1566" width="0.85546875" style="127" customWidth="1"/>
    <col min="1567" max="1567" width="14" style="127" customWidth="1"/>
    <col min="1568" max="1568" width="0.85546875" style="127" customWidth="1"/>
    <col min="1569" max="1569" width="10.85546875" style="127" customWidth="1"/>
    <col min="1570" max="1570" width="1.42578125" style="127" customWidth="1"/>
    <col min="1571" max="1571" width="10.85546875" style="127" customWidth="1"/>
    <col min="1572" max="1572" width="0.85546875" style="127" customWidth="1"/>
    <col min="1573" max="1573" width="16" style="127" customWidth="1"/>
    <col min="1574" max="1574" width="0.5703125" style="127" customWidth="1"/>
    <col min="1575" max="1575" width="9.42578125" style="127" bestFit="1" customWidth="1"/>
    <col min="1576" max="1576" width="1.140625" style="127" customWidth="1"/>
    <col min="1577" max="1807" width="9.140625" style="127"/>
    <col min="1808" max="1808" width="2.140625" style="127" customWidth="1"/>
    <col min="1809" max="1809" width="14" style="127" customWidth="1"/>
    <col min="1810" max="1810" width="0.7109375" style="127" customWidth="1"/>
    <col min="1811" max="1811" width="17.140625" style="127" customWidth="1"/>
    <col min="1812" max="1812" width="1.140625" style="127" customWidth="1"/>
    <col min="1813" max="1813" width="26.5703125" style="127" customWidth="1"/>
    <col min="1814" max="1814" width="1" style="127" customWidth="1"/>
    <col min="1815" max="1815" width="32.85546875" style="127" customWidth="1"/>
    <col min="1816" max="1816" width="1" style="127" customWidth="1"/>
    <col min="1817" max="1817" width="12.7109375" style="127" customWidth="1"/>
    <col min="1818" max="1818" width="1.28515625" style="127" customWidth="1"/>
    <col min="1819" max="1819" width="11.42578125" style="127" customWidth="1"/>
    <col min="1820" max="1820" width="1" style="127" customWidth="1"/>
    <col min="1821" max="1821" width="10.42578125" style="127" customWidth="1"/>
    <col min="1822" max="1822" width="0.85546875" style="127" customWidth="1"/>
    <col min="1823" max="1823" width="14" style="127" customWidth="1"/>
    <col min="1824" max="1824" width="0.85546875" style="127" customWidth="1"/>
    <col min="1825" max="1825" width="10.85546875" style="127" customWidth="1"/>
    <col min="1826" max="1826" width="1.42578125" style="127" customWidth="1"/>
    <col min="1827" max="1827" width="10.85546875" style="127" customWidth="1"/>
    <col min="1828" max="1828" width="0.85546875" style="127" customWidth="1"/>
    <col min="1829" max="1829" width="16" style="127" customWidth="1"/>
    <col min="1830" max="1830" width="0.5703125" style="127" customWidth="1"/>
    <col min="1831" max="1831" width="9.42578125" style="127" bestFit="1" customWidth="1"/>
    <col min="1832" max="1832" width="1.140625" style="127" customWidth="1"/>
    <col min="1833" max="2063" width="9.140625" style="127"/>
    <col min="2064" max="2064" width="2.140625" style="127" customWidth="1"/>
    <col min="2065" max="2065" width="14" style="127" customWidth="1"/>
    <col min="2066" max="2066" width="0.7109375" style="127" customWidth="1"/>
    <col min="2067" max="2067" width="17.140625" style="127" customWidth="1"/>
    <col min="2068" max="2068" width="1.140625" style="127" customWidth="1"/>
    <col min="2069" max="2069" width="26.5703125" style="127" customWidth="1"/>
    <col min="2070" max="2070" width="1" style="127" customWidth="1"/>
    <col min="2071" max="2071" width="32.85546875" style="127" customWidth="1"/>
    <col min="2072" max="2072" width="1" style="127" customWidth="1"/>
    <col min="2073" max="2073" width="12.7109375" style="127" customWidth="1"/>
    <col min="2074" max="2074" width="1.28515625" style="127" customWidth="1"/>
    <col min="2075" max="2075" width="11.42578125" style="127" customWidth="1"/>
    <col min="2076" max="2076" width="1" style="127" customWidth="1"/>
    <col min="2077" max="2077" width="10.42578125" style="127" customWidth="1"/>
    <col min="2078" max="2078" width="0.85546875" style="127" customWidth="1"/>
    <col min="2079" max="2079" width="14" style="127" customWidth="1"/>
    <col min="2080" max="2080" width="0.85546875" style="127" customWidth="1"/>
    <col min="2081" max="2081" width="10.85546875" style="127" customWidth="1"/>
    <col min="2082" max="2082" width="1.42578125" style="127" customWidth="1"/>
    <col min="2083" max="2083" width="10.85546875" style="127" customWidth="1"/>
    <col min="2084" max="2084" width="0.85546875" style="127" customWidth="1"/>
    <col min="2085" max="2085" width="16" style="127" customWidth="1"/>
    <col min="2086" max="2086" width="0.5703125" style="127" customWidth="1"/>
    <col min="2087" max="2087" width="9.42578125" style="127" bestFit="1" customWidth="1"/>
    <col min="2088" max="2088" width="1.140625" style="127" customWidth="1"/>
    <col min="2089" max="2319" width="9.140625" style="127"/>
    <col min="2320" max="2320" width="2.140625" style="127" customWidth="1"/>
    <col min="2321" max="2321" width="14" style="127" customWidth="1"/>
    <col min="2322" max="2322" width="0.7109375" style="127" customWidth="1"/>
    <col min="2323" max="2323" width="17.140625" style="127" customWidth="1"/>
    <col min="2324" max="2324" width="1.140625" style="127" customWidth="1"/>
    <col min="2325" max="2325" width="26.5703125" style="127" customWidth="1"/>
    <col min="2326" max="2326" width="1" style="127" customWidth="1"/>
    <col min="2327" max="2327" width="32.85546875" style="127" customWidth="1"/>
    <col min="2328" max="2328" width="1" style="127" customWidth="1"/>
    <col min="2329" max="2329" width="12.7109375" style="127" customWidth="1"/>
    <col min="2330" max="2330" width="1.28515625" style="127" customWidth="1"/>
    <col min="2331" max="2331" width="11.42578125" style="127" customWidth="1"/>
    <col min="2332" max="2332" width="1" style="127" customWidth="1"/>
    <col min="2333" max="2333" width="10.42578125" style="127" customWidth="1"/>
    <col min="2334" max="2334" width="0.85546875" style="127" customWidth="1"/>
    <col min="2335" max="2335" width="14" style="127" customWidth="1"/>
    <col min="2336" max="2336" width="0.85546875" style="127" customWidth="1"/>
    <col min="2337" max="2337" width="10.85546875" style="127" customWidth="1"/>
    <col min="2338" max="2338" width="1.42578125" style="127" customWidth="1"/>
    <col min="2339" max="2339" width="10.85546875" style="127" customWidth="1"/>
    <col min="2340" max="2340" width="0.85546875" style="127" customWidth="1"/>
    <col min="2341" max="2341" width="16" style="127" customWidth="1"/>
    <col min="2342" max="2342" width="0.5703125" style="127" customWidth="1"/>
    <col min="2343" max="2343" width="9.42578125" style="127" bestFit="1" customWidth="1"/>
    <col min="2344" max="2344" width="1.140625" style="127" customWidth="1"/>
    <col min="2345" max="2575" width="9.140625" style="127"/>
    <col min="2576" max="2576" width="2.140625" style="127" customWidth="1"/>
    <col min="2577" max="2577" width="14" style="127" customWidth="1"/>
    <col min="2578" max="2578" width="0.7109375" style="127" customWidth="1"/>
    <col min="2579" max="2579" width="17.140625" style="127" customWidth="1"/>
    <col min="2580" max="2580" width="1.140625" style="127" customWidth="1"/>
    <col min="2581" max="2581" width="26.5703125" style="127" customWidth="1"/>
    <col min="2582" max="2582" width="1" style="127" customWidth="1"/>
    <col min="2583" max="2583" width="32.85546875" style="127" customWidth="1"/>
    <col min="2584" max="2584" width="1" style="127" customWidth="1"/>
    <col min="2585" max="2585" width="12.7109375" style="127" customWidth="1"/>
    <col min="2586" max="2586" width="1.28515625" style="127" customWidth="1"/>
    <col min="2587" max="2587" width="11.42578125" style="127" customWidth="1"/>
    <col min="2588" max="2588" width="1" style="127" customWidth="1"/>
    <col min="2589" max="2589" width="10.42578125" style="127" customWidth="1"/>
    <col min="2590" max="2590" width="0.85546875" style="127" customWidth="1"/>
    <col min="2591" max="2591" width="14" style="127" customWidth="1"/>
    <col min="2592" max="2592" width="0.85546875" style="127" customWidth="1"/>
    <col min="2593" max="2593" width="10.85546875" style="127" customWidth="1"/>
    <col min="2594" max="2594" width="1.42578125" style="127" customWidth="1"/>
    <col min="2595" max="2595" width="10.85546875" style="127" customWidth="1"/>
    <col min="2596" max="2596" width="0.85546875" style="127" customWidth="1"/>
    <col min="2597" max="2597" width="16" style="127" customWidth="1"/>
    <col min="2598" max="2598" width="0.5703125" style="127" customWidth="1"/>
    <col min="2599" max="2599" width="9.42578125" style="127" bestFit="1" customWidth="1"/>
    <col min="2600" max="2600" width="1.140625" style="127" customWidth="1"/>
    <col min="2601" max="2831" width="9.140625" style="127"/>
    <col min="2832" max="2832" width="2.140625" style="127" customWidth="1"/>
    <col min="2833" max="2833" width="14" style="127" customWidth="1"/>
    <col min="2834" max="2834" width="0.7109375" style="127" customWidth="1"/>
    <col min="2835" max="2835" width="17.140625" style="127" customWidth="1"/>
    <col min="2836" max="2836" width="1.140625" style="127" customWidth="1"/>
    <col min="2837" max="2837" width="26.5703125" style="127" customWidth="1"/>
    <col min="2838" max="2838" width="1" style="127" customWidth="1"/>
    <col min="2839" max="2839" width="32.85546875" style="127" customWidth="1"/>
    <col min="2840" max="2840" width="1" style="127" customWidth="1"/>
    <col min="2841" max="2841" width="12.7109375" style="127" customWidth="1"/>
    <col min="2842" max="2842" width="1.28515625" style="127" customWidth="1"/>
    <col min="2843" max="2843" width="11.42578125" style="127" customWidth="1"/>
    <col min="2844" max="2844" width="1" style="127" customWidth="1"/>
    <col min="2845" max="2845" width="10.42578125" style="127" customWidth="1"/>
    <col min="2846" max="2846" width="0.85546875" style="127" customWidth="1"/>
    <col min="2847" max="2847" width="14" style="127" customWidth="1"/>
    <col min="2848" max="2848" width="0.85546875" style="127" customWidth="1"/>
    <col min="2849" max="2849" width="10.85546875" style="127" customWidth="1"/>
    <col min="2850" max="2850" width="1.42578125" style="127" customWidth="1"/>
    <col min="2851" max="2851" width="10.85546875" style="127" customWidth="1"/>
    <col min="2852" max="2852" width="0.85546875" style="127" customWidth="1"/>
    <col min="2853" max="2853" width="16" style="127" customWidth="1"/>
    <col min="2854" max="2854" width="0.5703125" style="127" customWidth="1"/>
    <col min="2855" max="2855" width="9.42578125" style="127" bestFit="1" customWidth="1"/>
    <col min="2856" max="2856" width="1.140625" style="127" customWidth="1"/>
    <col min="2857" max="3087" width="9.140625" style="127"/>
    <col min="3088" max="3088" width="2.140625" style="127" customWidth="1"/>
    <col min="3089" max="3089" width="14" style="127" customWidth="1"/>
    <col min="3090" max="3090" width="0.7109375" style="127" customWidth="1"/>
    <col min="3091" max="3091" width="17.140625" style="127" customWidth="1"/>
    <col min="3092" max="3092" width="1.140625" style="127" customWidth="1"/>
    <col min="3093" max="3093" width="26.5703125" style="127" customWidth="1"/>
    <col min="3094" max="3094" width="1" style="127" customWidth="1"/>
    <col min="3095" max="3095" width="32.85546875" style="127" customWidth="1"/>
    <col min="3096" max="3096" width="1" style="127" customWidth="1"/>
    <col min="3097" max="3097" width="12.7109375" style="127" customWidth="1"/>
    <col min="3098" max="3098" width="1.28515625" style="127" customWidth="1"/>
    <col min="3099" max="3099" width="11.42578125" style="127" customWidth="1"/>
    <col min="3100" max="3100" width="1" style="127" customWidth="1"/>
    <col min="3101" max="3101" width="10.42578125" style="127" customWidth="1"/>
    <col min="3102" max="3102" width="0.85546875" style="127" customWidth="1"/>
    <col min="3103" max="3103" width="14" style="127" customWidth="1"/>
    <col min="3104" max="3104" width="0.85546875" style="127" customWidth="1"/>
    <col min="3105" max="3105" width="10.85546875" style="127" customWidth="1"/>
    <col min="3106" max="3106" width="1.42578125" style="127" customWidth="1"/>
    <col min="3107" max="3107" width="10.85546875" style="127" customWidth="1"/>
    <col min="3108" max="3108" width="0.85546875" style="127" customWidth="1"/>
    <col min="3109" max="3109" width="16" style="127" customWidth="1"/>
    <col min="3110" max="3110" width="0.5703125" style="127" customWidth="1"/>
    <col min="3111" max="3111" width="9.42578125" style="127" bestFit="1" customWidth="1"/>
    <col min="3112" max="3112" width="1.140625" style="127" customWidth="1"/>
    <col min="3113" max="3343" width="9.140625" style="127"/>
    <col min="3344" max="3344" width="2.140625" style="127" customWidth="1"/>
    <col min="3345" max="3345" width="14" style="127" customWidth="1"/>
    <col min="3346" max="3346" width="0.7109375" style="127" customWidth="1"/>
    <col min="3347" max="3347" width="17.140625" style="127" customWidth="1"/>
    <col min="3348" max="3348" width="1.140625" style="127" customWidth="1"/>
    <col min="3349" max="3349" width="26.5703125" style="127" customWidth="1"/>
    <col min="3350" max="3350" width="1" style="127" customWidth="1"/>
    <col min="3351" max="3351" width="32.85546875" style="127" customWidth="1"/>
    <col min="3352" max="3352" width="1" style="127" customWidth="1"/>
    <col min="3353" max="3353" width="12.7109375" style="127" customWidth="1"/>
    <col min="3354" max="3354" width="1.28515625" style="127" customWidth="1"/>
    <col min="3355" max="3355" width="11.42578125" style="127" customWidth="1"/>
    <col min="3356" max="3356" width="1" style="127" customWidth="1"/>
    <col min="3357" max="3357" width="10.42578125" style="127" customWidth="1"/>
    <col min="3358" max="3358" width="0.85546875" style="127" customWidth="1"/>
    <col min="3359" max="3359" width="14" style="127" customWidth="1"/>
    <col min="3360" max="3360" width="0.85546875" style="127" customWidth="1"/>
    <col min="3361" max="3361" width="10.85546875" style="127" customWidth="1"/>
    <col min="3362" max="3362" width="1.42578125" style="127" customWidth="1"/>
    <col min="3363" max="3363" width="10.85546875" style="127" customWidth="1"/>
    <col min="3364" max="3364" width="0.85546875" style="127" customWidth="1"/>
    <col min="3365" max="3365" width="16" style="127" customWidth="1"/>
    <col min="3366" max="3366" width="0.5703125" style="127" customWidth="1"/>
    <col min="3367" max="3367" width="9.42578125" style="127" bestFit="1" customWidth="1"/>
    <col min="3368" max="3368" width="1.140625" style="127" customWidth="1"/>
    <col min="3369" max="3599" width="9.140625" style="127"/>
    <col min="3600" max="3600" width="2.140625" style="127" customWidth="1"/>
    <col min="3601" max="3601" width="14" style="127" customWidth="1"/>
    <col min="3602" max="3602" width="0.7109375" style="127" customWidth="1"/>
    <col min="3603" max="3603" width="17.140625" style="127" customWidth="1"/>
    <col min="3604" max="3604" width="1.140625" style="127" customWidth="1"/>
    <col min="3605" max="3605" width="26.5703125" style="127" customWidth="1"/>
    <col min="3606" max="3606" width="1" style="127" customWidth="1"/>
    <col min="3607" max="3607" width="32.85546875" style="127" customWidth="1"/>
    <col min="3608" max="3608" width="1" style="127" customWidth="1"/>
    <col min="3609" max="3609" width="12.7109375" style="127" customWidth="1"/>
    <col min="3610" max="3610" width="1.28515625" style="127" customWidth="1"/>
    <col min="3611" max="3611" width="11.42578125" style="127" customWidth="1"/>
    <col min="3612" max="3612" width="1" style="127" customWidth="1"/>
    <col min="3613" max="3613" width="10.42578125" style="127" customWidth="1"/>
    <col min="3614" max="3614" width="0.85546875" style="127" customWidth="1"/>
    <col min="3615" max="3615" width="14" style="127" customWidth="1"/>
    <col min="3616" max="3616" width="0.85546875" style="127" customWidth="1"/>
    <col min="3617" max="3617" width="10.85546875" style="127" customWidth="1"/>
    <col min="3618" max="3618" width="1.42578125" style="127" customWidth="1"/>
    <col min="3619" max="3619" width="10.85546875" style="127" customWidth="1"/>
    <col min="3620" max="3620" width="0.85546875" style="127" customWidth="1"/>
    <col min="3621" max="3621" width="16" style="127" customWidth="1"/>
    <col min="3622" max="3622" width="0.5703125" style="127" customWidth="1"/>
    <col min="3623" max="3623" width="9.42578125" style="127" bestFit="1" customWidth="1"/>
    <col min="3624" max="3624" width="1.140625" style="127" customWidth="1"/>
    <col min="3625" max="3855" width="9.140625" style="127"/>
    <col min="3856" max="3856" width="2.140625" style="127" customWidth="1"/>
    <col min="3857" max="3857" width="14" style="127" customWidth="1"/>
    <col min="3858" max="3858" width="0.7109375" style="127" customWidth="1"/>
    <col min="3859" max="3859" width="17.140625" style="127" customWidth="1"/>
    <col min="3860" max="3860" width="1.140625" style="127" customWidth="1"/>
    <col min="3861" max="3861" width="26.5703125" style="127" customWidth="1"/>
    <col min="3862" max="3862" width="1" style="127" customWidth="1"/>
    <col min="3863" max="3863" width="32.85546875" style="127" customWidth="1"/>
    <col min="3864" max="3864" width="1" style="127" customWidth="1"/>
    <col min="3865" max="3865" width="12.7109375" style="127" customWidth="1"/>
    <col min="3866" max="3866" width="1.28515625" style="127" customWidth="1"/>
    <col min="3867" max="3867" width="11.42578125" style="127" customWidth="1"/>
    <col min="3868" max="3868" width="1" style="127" customWidth="1"/>
    <col min="3869" max="3869" width="10.42578125" style="127" customWidth="1"/>
    <col min="3870" max="3870" width="0.85546875" style="127" customWidth="1"/>
    <col min="3871" max="3871" width="14" style="127" customWidth="1"/>
    <col min="3872" max="3872" width="0.85546875" style="127" customWidth="1"/>
    <col min="3873" max="3873" width="10.85546875" style="127" customWidth="1"/>
    <col min="3874" max="3874" width="1.42578125" style="127" customWidth="1"/>
    <col min="3875" max="3875" width="10.85546875" style="127" customWidth="1"/>
    <col min="3876" max="3876" width="0.85546875" style="127" customWidth="1"/>
    <col min="3877" max="3877" width="16" style="127" customWidth="1"/>
    <col min="3878" max="3878" width="0.5703125" style="127" customWidth="1"/>
    <col min="3879" max="3879" width="9.42578125" style="127" bestFit="1" customWidth="1"/>
    <col min="3880" max="3880" width="1.140625" style="127" customWidth="1"/>
    <col min="3881" max="4111" width="9.140625" style="127"/>
    <col min="4112" max="4112" width="2.140625" style="127" customWidth="1"/>
    <col min="4113" max="4113" width="14" style="127" customWidth="1"/>
    <col min="4114" max="4114" width="0.7109375" style="127" customWidth="1"/>
    <col min="4115" max="4115" width="17.140625" style="127" customWidth="1"/>
    <col min="4116" max="4116" width="1.140625" style="127" customWidth="1"/>
    <col min="4117" max="4117" width="26.5703125" style="127" customWidth="1"/>
    <col min="4118" max="4118" width="1" style="127" customWidth="1"/>
    <col min="4119" max="4119" width="32.85546875" style="127" customWidth="1"/>
    <col min="4120" max="4120" width="1" style="127" customWidth="1"/>
    <col min="4121" max="4121" width="12.7109375" style="127" customWidth="1"/>
    <col min="4122" max="4122" width="1.28515625" style="127" customWidth="1"/>
    <col min="4123" max="4123" width="11.42578125" style="127" customWidth="1"/>
    <col min="4124" max="4124" width="1" style="127" customWidth="1"/>
    <col min="4125" max="4125" width="10.42578125" style="127" customWidth="1"/>
    <col min="4126" max="4126" width="0.85546875" style="127" customWidth="1"/>
    <col min="4127" max="4127" width="14" style="127" customWidth="1"/>
    <col min="4128" max="4128" width="0.85546875" style="127" customWidth="1"/>
    <col min="4129" max="4129" width="10.85546875" style="127" customWidth="1"/>
    <col min="4130" max="4130" width="1.42578125" style="127" customWidth="1"/>
    <col min="4131" max="4131" width="10.85546875" style="127" customWidth="1"/>
    <col min="4132" max="4132" width="0.85546875" style="127" customWidth="1"/>
    <col min="4133" max="4133" width="16" style="127" customWidth="1"/>
    <col min="4134" max="4134" width="0.5703125" style="127" customWidth="1"/>
    <col min="4135" max="4135" width="9.42578125" style="127" bestFit="1" customWidth="1"/>
    <col min="4136" max="4136" width="1.140625" style="127" customWidth="1"/>
    <col min="4137" max="4367" width="9.140625" style="127"/>
    <col min="4368" max="4368" width="2.140625" style="127" customWidth="1"/>
    <col min="4369" max="4369" width="14" style="127" customWidth="1"/>
    <col min="4370" max="4370" width="0.7109375" style="127" customWidth="1"/>
    <col min="4371" max="4371" width="17.140625" style="127" customWidth="1"/>
    <col min="4372" max="4372" width="1.140625" style="127" customWidth="1"/>
    <col min="4373" max="4373" width="26.5703125" style="127" customWidth="1"/>
    <col min="4374" max="4374" width="1" style="127" customWidth="1"/>
    <col min="4375" max="4375" width="32.85546875" style="127" customWidth="1"/>
    <col min="4376" max="4376" width="1" style="127" customWidth="1"/>
    <col min="4377" max="4377" width="12.7109375" style="127" customWidth="1"/>
    <col min="4378" max="4378" width="1.28515625" style="127" customWidth="1"/>
    <col min="4379" max="4379" width="11.42578125" style="127" customWidth="1"/>
    <col min="4380" max="4380" width="1" style="127" customWidth="1"/>
    <col min="4381" max="4381" width="10.42578125" style="127" customWidth="1"/>
    <col min="4382" max="4382" width="0.85546875" style="127" customWidth="1"/>
    <col min="4383" max="4383" width="14" style="127" customWidth="1"/>
    <col min="4384" max="4384" width="0.85546875" style="127" customWidth="1"/>
    <col min="4385" max="4385" width="10.85546875" style="127" customWidth="1"/>
    <col min="4386" max="4386" width="1.42578125" style="127" customWidth="1"/>
    <col min="4387" max="4387" width="10.85546875" style="127" customWidth="1"/>
    <col min="4388" max="4388" width="0.85546875" style="127" customWidth="1"/>
    <col min="4389" max="4389" width="16" style="127" customWidth="1"/>
    <col min="4390" max="4390" width="0.5703125" style="127" customWidth="1"/>
    <col min="4391" max="4391" width="9.42578125" style="127" bestFit="1" customWidth="1"/>
    <col min="4392" max="4392" width="1.140625" style="127" customWidth="1"/>
    <col min="4393" max="4623" width="9.140625" style="127"/>
    <col min="4624" max="4624" width="2.140625" style="127" customWidth="1"/>
    <col min="4625" max="4625" width="14" style="127" customWidth="1"/>
    <col min="4626" max="4626" width="0.7109375" style="127" customWidth="1"/>
    <col min="4627" max="4627" width="17.140625" style="127" customWidth="1"/>
    <col min="4628" max="4628" width="1.140625" style="127" customWidth="1"/>
    <col min="4629" max="4629" width="26.5703125" style="127" customWidth="1"/>
    <col min="4630" max="4630" width="1" style="127" customWidth="1"/>
    <col min="4631" max="4631" width="32.85546875" style="127" customWidth="1"/>
    <col min="4632" max="4632" width="1" style="127" customWidth="1"/>
    <col min="4633" max="4633" width="12.7109375" style="127" customWidth="1"/>
    <col min="4634" max="4634" width="1.28515625" style="127" customWidth="1"/>
    <col min="4635" max="4635" width="11.42578125" style="127" customWidth="1"/>
    <col min="4636" max="4636" width="1" style="127" customWidth="1"/>
    <col min="4637" max="4637" width="10.42578125" style="127" customWidth="1"/>
    <col min="4638" max="4638" width="0.85546875" style="127" customWidth="1"/>
    <col min="4639" max="4639" width="14" style="127" customWidth="1"/>
    <col min="4640" max="4640" width="0.85546875" style="127" customWidth="1"/>
    <col min="4641" max="4641" width="10.85546875" style="127" customWidth="1"/>
    <col min="4642" max="4642" width="1.42578125" style="127" customWidth="1"/>
    <col min="4643" max="4643" width="10.85546875" style="127" customWidth="1"/>
    <col min="4644" max="4644" width="0.85546875" style="127" customWidth="1"/>
    <col min="4645" max="4645" width="16" style="127" customWidth="1"/>
    <col min="4646" max="4646" width="0.5703125" style="127" customWidth="1"/>
    <col min="4647" max="4647" width="9.42578125" style="127" bestFit="1" customWidth="1"/>
    <col min="4648" max="4648" width="1.140625" style="127" customWidth="1"/>
    <col min="4649" max="4879" width="9.140625" style="127"/>
    <col min="4880" max="4880" width="2.140625" style="127" customWidth="1"/>
    <col min="4881" max="4881" width="14" style="127" customWidth="1"/>
    <col min="4882" max="4882" width="0.7109375" style="127" customWidth="1"/>
    <col min="4883" max="4883" width="17.140625" style="127" customWidth="1"/>
    <col min="4884" max="4884" width="1.140625" style="127" customWidth="1"/>
    <col min="4885" max="4885" width="26.5703125" style="127" customWidth="1"/>
    <col min="4886" max="4886" width="1" style="127" customWidth="1"/>
    <col min="4887" max="4887" width="32.85546875" style="127" customWidth="1"/>
    <col min="4888" max="4888" width="1" style="127" customWidth="1"/>
    <col min="4889" max="4889" width="12.7109375" style="127" customWidth="1"/>
    <col min="4890" max="4890" width="1.28515625" style="127" customWidth="1"/>
    <col min="4891" max="4891" width="11.42578125" style="127" customWidth="1"/>
    <col min="4892" max="4892" width="1" style="127" customWidth="1"/>
    <col min="4893" max="4893" width="10.42578125" style="127" customWidth="1"/>
    <col min="4894" max="4894" width="0.85546875" style="127" customWidth="1"/>
    <col min="4895" max="4895" width="14" style="127" customWidth="1"/>
    <col min="4896" max="4896" width="0.85546875" style="127" customWidth="1"/>
    <col min="4897" max="4897" width="10.85546875" style="127" customWidth="1"/>
    <col min="4898" max="4898" width="1.42578125" style="127" customWidth="1"/>
    <col min="4899" max="4899" width="10.85546875" style="127" customWidth="1"/>
    <col min="4900" max="4900" width="0.85546875" style="127" customWidth="1"/>
    <col min="4901" max="4901" width="16" style="127" customWidth="1"/>
    <col min="4902" max="4902" width="0.5703125" style="127" customWidth="1"/>
    <col min="4903" max="4903" width="9.42578125" style="127" bestFit="1" customWidth="1"/>
    <col min="4904" max="4904" width="1.140625" style="127" customWidth="1"/>
    <col min="4905" max="5135" width="9.140625" style="127"/>
    <col min="5136" max="5136" width="2.140625" style="127" customWidth="1"/>
    <col min="5137" max="5137" width="14" style="127" customWidth="1"/>
    <col min="5138" max="5138" width="0.7109375" style="127" customWidth="1"/>
    <col min="5139" max="5139" width="17.140625" style="127" customWidth="1"/>
    <col min="5140" max="5140" width="1.140625" style="127" customWidth="1"/>
    <col min="5141" max="5141" width="26.5703125" style="127" customWidth="1"/>
    <col min="5142" max="5142" width="1" style="127" customWidth="1"/>
    <col min="5143" max="5143" width="32.85546875" style="127" customWidth="1"/>
    <col min="5144" max="5144" width="1" style="127" customWidth="1"/>
    <col min="5145" max="5145" width="12.7109375" style="127" customWidth="1"/>
    <col min="5146" max="5146" width="1.28515625" style="127" customWidth="1"/>
    <col min="5147" max="5147" width="11.42578125" style="127" customWidth="1"/>
    <col min="5148" max="5148" width="1" style="127" customWidth="1"/>
    <col min="5149" max="5149" width="10.42578125" style="127" customWidth="1"/>
    <col min="5150" max="5150" width="0.85546875" style="127" customWidth="1"/>
    <col min="5151" max="5151" width="14" style="127" customWidth="1"/>
    <col min="5152" max="5152" width="0.85546875" style="127" customWidth="1"/>
    <col min="5153" max="5153" width="10.85546875" style="127" customWidth="1"/>
    <col min="5154" max="5154" width="1.42578125" style="127" customWidth="1"/>
    <col min="5155" max="5155" width="10.85546875" style="127" customWidth="1"/>
    <col min="5156" max="5156" width="0.85546875" style="127" customWidth="1"/>
    <col min="5157" max="5157" width="16" style="127" customWidth="1"/>
    <col min="5158" max="5158" width="0.5703125" style="127" customWidth="1"/>
    <col min="5159" max="5159" width="9.42578125" style="127" bestFit="1" customWidth="1"/>
    <col min="5160" max="5160" width="1.140625" style="127" customWidth="1"/>
    <col min="5161" max="5391" width="9.140625" style="127"/>
    <col min="5392" max="5392" width="2.140625" style="127" customWidth="1"/>
    <col min="5393" max="5393" width="14" style="127" customWidth="1"/>
    <col min="5394" max="5394" width="0.7109375" style="127" customWidth="1"/>
    <col min="5395" max="5395" width="17.140625" style="127" customWidth="1"/>
    <col min="5396" max="5396" width="1.140625" style="127" customWidth="1"/>
    <col min="5397" max="5397" width="26.5703125" style="127" customWidth="1"/>
    <col min="5398" max="5398" width="1" style="127" customWidth="1"/>
    <col min="5399" max="5399" width="32.85546875" style="127" customWidth="1"/>
    <col min="5400" max="5400" width="1" style="127" customWidth="1"/>
    <col min="5401" max="5401" width="12.7109375" style="127" customWidth="1"/>
    <col min="5402" max="5402" width="1.28515625" style="127" customWidth="1"/>
    <col min="5403" max="5403" width="11.42578125" style="127" customWidth="1"/>
    <col min="5404" max="5404" width="1" style="127" customWidth="1"/>
    <col min="5405" max="5405" width="10.42578125" style="127" customWidth="1"/>
    <col min="5406" max="5406" width="0.85546875" style="127" customWidth="1"/>
    <col min="5407" max="5407" width="14" style="127" customWidth="1"/>
    <col min="5408" max="5408" width="0.85546875" style="127" customWidth="1"/>
    <col min="5409" max="5409" width="10.85546875" style="127" customWidth="1"/>
    <col min="5410" max="5410" width="1.42578125" style="127" customWidth="1"/>
    <col min="5411" max="5411" width="10.85546875" style="127" customWidth="1"/>
    <col min="5412" max="5412" width="0.85546875" style="127" customWidth="1"/>
    <col min="5413" max="5413" width="16" style="127" customWidth="1"/>
    <col min="5414" max="5414" width="0.5703125" style="127" customWidth="1"/>
    <col min="5415" max="5415" width="9.42578125" style="127" bestFit="1" customWidth="1"/>
    <col min="5416" max="5416" width="1.140625" style="127" customWidth="1"/>
    <col min="5417" max="5647" width="9.140625" style="127"/>
    <col min="5648" max="5648" width="2.140625" style="127" customWidth="1"/>
    <col min="5649" max="5649" width="14" style="127" customWidth="1"/>
    <col min="5650" max="5650" width="0.7109375" style="127" customWidth="1"/>
    <col min="5651" max="5651" width="17.140625" style="127" customWidth="1"/>
    <col min="5652" max="5652" width="1.140625" style="127" customWidth="1"/>
    <col min="5653" max="5653" width="26.5703125" style="127" customWidth="1"/>
    <col min="5654" max="5654" width="1" style="127" customWidth="1"/>
    <col min="5655" max="5655" width="32.85546875" style="127" customWidth="1"/>
    <col min="5656" max="5656" width="1" style="127" customWidth="1"/>
    <col min="5657" max="5657" width="12.7109375" style="127" customWidth="1"/>
    <col min="5658" max="5658" width="1.28515625" style="127" customWidth="1"/>
    <col min="5659" max="5659" width="11.42578125" style="127" customWidth="1"/>
    <col min="5660" max="5660" width="1" style="127" customWidth="1"/>
    <col min="5661" max="5661" width="10.42578125" style="127" customWidth="1"/>
    <col min="5662" max="5662" width="0.85546875" style="127" customWidth="1"/>
    <col min="5663" max="5663" width="14" style="127" customWidth="1"/>
    <col min="5664" max="5664" width="0.85546875" style="127" customWidth="1"/>
    <col min="5665" max="5665" width="10.85546875" style="127" customWidth="1"/>
    <col min="5666" max="5666" width="1.42578125" style="127" customWidth="1"/>
    <col min="5667" max="5667" width="10.85546875" style="127" customWidth="1"/>
    <col min="5668" max="5668" width="0.85546875" style="127" customWidth="1"/>
    <col min="5669" max="5669" width="16" style="127" customWidth="1"/>
    <col min="5670" max="5670" width="0.5703125" style="127" customWidth="1"/>
    <col min="5671" max="5671" width="9.42578125" style="127" bestFit="1" customWidth="1"/>
    <col min="5672" max="5672" width="1.140625" style="127" customWidth="1"/>
    <col min="5673" max="5903" width="9.140625" style="127"/>
    <col min="5904" max="5904" width="2.140625" style="127" customWidth="1"/>
    <col min="5905" max="5905" width="14" style="127" customWidth="1"/>
    <col min="5906" max="5906" width="0.7109375" style="127" customWidth="1"/>
    <col min="5907" max="5907" width="17.140625" style="127" customWidth="1"/>
    <col min="5908" max="5908" width="1.140625" style="127" customWidth="1"/>
    <col min="5909" max="5909" width="26.5703125" style="127" customWidth="1"/>
    <col min="5910" max="5910" width="1" style="127" customWidth="1"/>
    <col min="5911" max="5911" width="32.85546875" style="127" customWidth="1"/>
    <col min="5912" max="5912" width="1" style="127" customWidth="1"/>
    <col min="5913" max="5913" width="12.7109375" style="127" customWidth="1"/>
    <col min="5914" max="5914" width="1.28515625" style="127" customWidth="1"/>
    <col min="5915" max="5915" width="11.42578125" style="127" customWidth="1"/>
    <col min="5916" max="5916" width="1" style="127" customWidth="1"/>
    <col min="5917" max="5917" width="10.42578125" style="127" customWidth="1"/>
    <col min="5918" max="5918" width="0.85546875" style="127" customWidth="1"/>
    <col min="5919" max="5919" width="14" style="127" customWidth="1"/>
    <col min="5920" max="5920" width="0.85546875" style="127" customWidth="1"/>
    <col min="5921" max="5921" width="10.85546875" style="127" customWidth="1"/>
    <col min="5922" max="5922" width="1.42578125" style="127" customWidth="1"/>
    <col min="5923" max="5923" width="10.85546875" style="127" customWidth="1"/>
    <col min="5924" max="5924" width="0.85546875" style="127" customWidth="1"/>
    <col min="5925" max="5925" width="16" style="127" customWidth="1"/>
    <col min="5926" max="5926" width="0.5703125" style="127" customWidth="1"/>
    <col min="5927" max="5927" width="9.42578125" style="127" bestFit="1" customWidth="1"/>
    <col min="5928" max="5928" width="1.140625" style="127" customWidth="1"/>
    <col min="5929" max="6159" width="9.140625" style="127"/>
    <col min="6160" max="6160" width="2.140625" style="127" customWidth="1"/>
    <col min="6161" max="6161" width="14" style="127" customWidth="1"/>
    <col min="6162" max="6162" width="0.7109375" style="127" customWidth="1"/>
    <col min="6163" max="6163" width="17.140625" style="127" customWidth="1"/>
    <col min="6164" max="6164" width="1.140625" style="127" customWidth="1"/>
    <col min="6165" max="6165" width="26.5703125" style="127" customWidth="1"/>
    <col min="6166" max="6166" width="1" style="127" customWidth="1"/>
    <col min="6167" max="6167" width="32.85546875" style="127" customWidth="1"/>
    <col min="6168" max="6168" width="1" style="127" customWidth="1"/>
    <col min="6169" max="6169" width="12.7109375" style="127" customWidth="1"/>
    <col min="6170" max="6170" width="1.28515625" style="127" customWidth="1"/>
    <col min="6171" max="6171" width="11.42578125" style="127" customWidth="1"/>
    <col min="6172" max="6172" width="1" style="127" customWidth="1"/>
    <col min="6173" max="6173" width="10.42578125" style="127" customWidth="1"/>
    <col min="6174" max="6174" width="0.85546875" style="127" customWidth="1"/>
    <col min="6175" max="6175" width="14" style="127" customWidth="1"/>
    <col min="6176" max="6176" width="0.85546875" style="127" customWidth="1"/>
    <col min="6177" max="6177" width="10.85546875" style="127" customWidth="1"/>
    <col min="6178" max="6178" width="1.42578125" style="127" customWidth="1"/>
    <col min="6179" max="6179" width="10.85546875" style="127" customWidth="1"/>
    <col min="6180" max="6180" width="0.85546875" style="127" customWidth="1"/>
    <col min="6181" max="6181" width="16" style="127" customWidth="1"/>
    <col min="6182" max="6182" width="0.5703125" style="127" customWidth="1"/>
    <col min="6183" max="6183" width="9.42578125" style="127" bestFit="1" customWidth="1"/>
    <col min="6184" max="6184" width="1.140625" style="127" customWidth="1"/>
    <col min="6185" max="6415" width="9.140625" style="127"/>
    <col min="6416" max="6416" width="2.140625" style="127" customWidth="1"/>
    <col min="6417" max="6417" width="14" style="127" customWidth="1"/>
    <col min="6418" max="6418" width="0.7109375" style="127" customWidth="1"/>
    <col min="6419" max="6419" width="17.140625" style="127" customWidth="1"/>
    <col min="6420" max="6420" width="1.140625" style="127" customWidth="1"/>
    <col min="6421" max="6421" width="26.5703125" style="127" customWidth="1"/>
    <col min="6422" max="6422" width="1" style="127" customWidth="1"/>
    <col min="6423" max="6423" width="32.85546875" style="127" customWidth="1"/>
    <col min="6424" max="6424" width="1" style="127" customWidth="1"/>
    <col min="6425" max="6425" width="12.7109375" style="127" customWidth="1"/>
    <col min="6426" max="6426" width="1.28515625" style="127" customWidth="1"/>
    <col min="6427" max="6427" width="11.42578125" style="127" customWidth="1"/>
    <col min="6428" max="6428" width="1" style="127" customWidth="1"/>
    <col min="6429" max="6429" width="10.42578125" style="127" customWidth="1"/>
    <col min="6430" max="6430" width="0.85546875" style="127" customWidth="1"/>
    <col min="6431" max="6431" width="14" style="127" customWidth="1"/>
    <col min="6432" max="6432" width="0.85546875" style="127" customWidth="1"/>
    <col min="6433" max="6433" width="10.85546875" style="127" customWidth="1"/>
    <col min="6434" max="6434" width="1.42578125" style="127" customWidth="1"/>
    <col min="6435" max="6435" width="10.85546875" style="127" customWidth="1"/>
    <col min="6436" max="6436" width="0.85546875" style="127" customWidth="1"/>
    <col min="6437" max="6437" width="16" style="127" customWidth="1"/>
    <col min="6438" max="6438" width="0.5703125" style="127" customWidth="1"/>
    <col min="6439" max="6439" width="9.42578125" style="127" bestFit="1" customWidth="1"/>
    <col min="6440" max="6440" width="1.140625" style="127" customWidth="1"/>
    <col min="6441" max="6671" width="9.140625" style="127"/>
    <col min="6672" max="6672" width="2.140625" style="127" customWidth="1"/>
    <col min="6673" max="6673" width="14" style="127" customWidth="1"/>
    <col min="6674" max="6674" width="0.7109375" style="127" customWidth="1"/>
    <col min="6675" max="6675" width="17.140625" style="127" customWidth="1"/>
    <col min="6676" max="6676" width="1.140625" style="127" customWidth="1"/>
    <col min="6677" max="6677" width="26.5703125" style="127" customWidth="1"/>
    <col min="6678" max="6678" width="1" style="127" customWidth="1"/>
    <col min="6679" max="6679" width="32.85546875" style="127" customWidth="1"/>
    <col min="6680" max="6680" width="1" style="127" customWidth="1"/>
    <col min="6681" max="6681" width="12.7109375" style="127" customWidth="1"/>
    <col min="6682" max="6682" width="1.28515625" style="127" customWidth="1"/>
    <col min="6683" max="6683" width="11.42578125" style="127" customWidth="1"/>
    <col min="6684" max="6684" width="1" style="127" customWidth="1"/>
    <col min="6685" max="6685" width="10.42578125" style="127" customWidth="1"/>
    <col min="6686" max="6686" width="0.85546875" style="127" customWidth="1"/>
    <col min="6687" max="6687" width="14" style="127" customWidth="1"/>
    <col min="6688" max="6688" width="0.85546875" style="127" customWidth="1"/>
    <col min="6689" max="6689" width="10.85546875" style="127" customWidth="1"/>
    <col min="6690" max="6690" width="1.42578125" style="127" customWidth="1"/>
    <col min="6691" max="6691" width="10.85546875" style="127" customWidth="1"/>
    <col min="6692" max="6692" width="0.85546875" style="127" customWidth="1"/>
    <col min="6693" max="6693" width="16" style="127" customWidth="1"/>
    <col min="6694" max="6694" width="0.5703125" style="127" customWidth="1"/>
    <col min="6695" max="6695" width="9.42578125" style="127" bestFit="1" customWidth="1"/>
    <col min="6696" max="6696" width="1.140625" style="127" customWidth="1"/>
    <col min="6697" max="6927" width="9.140625" style="127"/>
    <col min="6928" max="6928" width="2.140625" style="127" customWidth="1"/>
    <col min="6929" max="6929" width="14" style="127" customWidth="1"/>
    <col min="6930" max="6930" width="0.7109375" style="127" customWidth="1"/>
    <col min="6931" max="6931" width="17.140625" style="127" customWidth="1"/>
    <col min="6932" max="6932" width="1.140625" style="127" customWidth="1"/>
    <col min="6933" max="6933" width="26.5703125" style="127" customWidth="1"/>
    <col min="6934" max="6934" width="1" style="127" customWidth="1"/>
    <col min="6935" max="6935" width="32.85546875" style="127" customWidth="1"/>
    <col min="6936" max="6936" width="1" style="127" customWidth="1"/>
    <col min="6937" max="6937" width="12.7109375" style="127" customWidth="1"/>
    <col min="6938" max="6938" width="1.28515625" style="127" customWidth="1"/>
    <col min="6939" max="6939" width="11.42578125" style="127" customWidth="1"/>
    <col min="6940" max="6940" width="1" style="127" customWidth="1"/>
    <col min="6941" max="6941" width="10.42578125" style="127" customWidth="1"/>
    <col min="6942" max="6942" width="0.85546875" style="127" customWidth="1"/>
    <col min="6943" max="6943" width="14" style="127" customWidth="1"/>
    <col min="6944" max="6944" width="0.85546875" style="127" customWidth="1"/>
    <col min="6945" max="6945" width="10.85546875" style="127" customWidth="1"/>
    <col min="6946" max="6946" width="1.42578125" style="127" customWidth="1"/>
    <col min="6947" max="6947" width="10.85546875" style="127" customWidth="1"/>
    <col min="6948" max="6948" width="0.85546875" style="127" customWidth="1"/>
    <col min="6949" max="6949" width="16" style="127" customWidth="1"/>
    <col min="6950" max="6950" width="0.5703125" style="127" customWidth="1"/>
    <col min="6951" max="6951" width="9.42578125" style="127" bestFit="1" customWidth="1"/>
    <col min="6952" max="6952" width="1.140625" style="127" customWidth="1"/>
    <col min="6953" max="7183" width="9.140625" style="127"/>
    <col min="7184" max="7184" width="2.140625" style="127" customWidth="1"/>
    <col min="7185" max="7185" width="14" style="127" customWidth="1"/>
    <col min="7186" max="7186" width="0.7109375" style="127" customWidth="1"/>
    <col min="7187" max="7187" width="17.140625" style="127" customWidth="1"/>
    <col min="7188" max="7188" width="1.140625" style="127" customWidth="1"/>
    <col min="7189" max="7189" width="26.5703125" style="127" customWidth="1"/>
    <col min="7190" max="7190" width="1" style="127" customWidth="1"/>
    <col min="7191" max="7191" width="32.85546875" style="127" customWidth="1"/>
    <col min="7192" max="7192" width="1" style="127" customWidth="1"/>
    <col min="7193" max="7193" width="12.7109375" style="127" customWidth="1"/>
    <col min="7194" max="7194" width="1.28515625" style="127" customWidth="1"/>
    <col min="7195" max="7195" width="11.42578125" style="127" customWidth="1"/>
    <col min="7196" max="7196" width="1" style="127" customWidth="1"/>
    <col min="7197" max="7197" width="10.42578125" style="127" customWidth="1"/>
    <col min="7198" max="7198" width="0.85546875" style="127" customWidth="1"/>
    <col min="7199" max="7199" width="14" style="127" customWidth="1"/>
    <col min="7200" max="7200" width="0.85546875" style="127" customWidth="1"/>
    <col min="7201" max="7201" width="10.85546875" style="127" customWidth="1"/>
    <col min="7202" max="7202" width="1.42578125" style="127" customWidth="1"/>
    <col min="7203" max="7203" width="10.85546875" style="127" customWidth="1"/>
    <col min="7204" max="7204" width="0.85546875" style="127" customWidth="1"/>
    <col min="7205" max="7205" width="16" style="127" customWidth="1"/>
    <col min="7206" max="7206" width="0.5703125" style="127" customWidth="1"/>
    <col min="7207" max="7207" width="9.42578125" style="127" bestFit="1" customWidth="1"/>
    <col min="7208" max="7208" width="1.140625" style="127" customWidth="1"/>
    <col min="7209" max="7439" width="9.140625" style="127"/>
    <col min="7440" max="7440" width="2.140625" style="127" customWidth="1"/>
    <col min="7441" max="7441" width="14" style="127" customWidth="1"/>
    <col min="7442" max="7442" width="0.7109375" style="127" customWidth="1"/>
    <col min="7443" max="7443" width="17.140625" style="127" customWidth="1"/>
    <col min="7444" max="7444" width="1.140625" style="127" customWidth="1"/>
    <col min="7445" max="7445" width="26.5703125" style="127" customWidth="1"/>
    <col min="7446" max="7446" width="1" style="127" customWidth="1"/>
    <col min="7447" max="7447" width="32.85546875" style="127" customWidth="1"/>
    <col min="7448" max="7448" width="1" style="127" customWidth="1"/>
    <col min="7449" max="7449" width="12.7109375" style="127" customWidth="1"/>
    <col min="7450" max="7450" width="1.28515625" style="127" customWidth="1"/>
    <col min="7451" max="7451" width="11.42578125" style="127" customWidth="1"/>
    <col min="7452" max="7452" width="1" style="127" customWidth="1"/>
    <col min="7453" max="7453" width="10.42578125" style="127" customWidth="1"/>
    <col min="7454" max="7454" width="0.85546875" style="127" customWidth="1"/>
    <col min="7455" max="7455" width="14" style="127" customWidth="1"/>
    <col min="7456" max="7456" width="0.85546875" style="127" customWidth="1"/>
    <col min="7457" max="7457" width="10.85546875" style="127" customWidth="1"/>
    <col min="7458" max="7458" width="1.42578125" style="127" customWidth="1"/>
    <col min="7459" max="7459" width="10.85546875" style="127" customWidth="1"/>
    <col min="7460" max="7460" width="0.85546875" style="127" customWidth="1"/>
    <col min="7461" max="7461" width="16" style="127" customWidth="1"/>
    <col min="7462" max="7462" width="0.5703125" style="127" customWidth="1"/>
    <col min="7463" max="7463" width="9.42578125" style="127" bestFit="1" customWidth="1"/>
    <col min="7464" max="7464" width="1.140625" style="127" customWidth="1"/>
    <col min="7465" max="7695" width="9.140625" style="127"/>
    <col min="7696" max="7696" width="2.140625" style="127" customWidth="1"/>
    <col min="7697" max="7697" width="14" style="127" customWidth="1"/>
    <col min="7698" max="7698" width="0.7109375" style="127" customWidth="1"/>
    <col min="7699" max="7699" width="17.140625" style="127" customWidth="1"/>
    <col min="7700" max="7700" width="1.140625" style="127" customWidth="1"/>
    <col min="7701" max="7701" width="26.5703125" style="127" customWidth="1"/>
    <col min="7702" max="7702" width="1" style="127" customWidth="1"/>
    <col min="7703" max="7703" width="32.85546875" style="127" customWidth="1"/>
    <col min="7704" max="7704" width="1" style="127" customWidth="1"/>
    <col min="7705" max="7705" width="12.7109375" style="127" customWidth="1"/>
    <col min="7706" max="7706" width="1.28515625" style="127" customWidth="1"/>
    <col min="7707" max="7707" width="11.42578125" style="127" customWidth="1"/>
    <col min="7708" max="7708" width="1" style="127" customWidth="1"/>
    <col min="7709" max="7709" width="10.42578125" style="127" customWidth="1"/>
    <col min="7710" max="7710" width="0.85546875" style="127" customWidth="1"/>
    <col min="7711" max="7711" width="14" style="127" customWidth="1"/>
    <col min="7712" max="7712" width="0.85546875" style="127" customWidth="1"/>
    <col min="7713" max="7713" width="10.85546875" style="127" customWidth="1"/>
    <col min="7714" max="7714" width="1.42578125" style="127" customWidth="1"/>
    <col min="7715" max="7715" width="10.85546875" style="127" customWidth="1"/>
    <col min="7716" max="7716" width="0.85546875" style="127" customWidth="1"/>
    <col min="7717" max="7717" width="16" style="127" customWidth="1"/>
    <col min="7718" max="7718" width="0.5703125" style="127" customWidth="1"/>
    <col min="7719" max="7719" width="9.42578125" style="127" bestFit="1" customWidth="1"/>
    <col min="7720" max="7720" width="1.140625" style="127" customWidth="1"/>
    <col min="7721" max="7951" width="9.140625" style="127"/>
    <col min="7952" max="7952" width="2.140625" style="127" customWidth="1"/>
    <col min="7953" max="7953" width="14" style="127" customWidth="1"/>
    <col min="7954" max="7954" width="0.7109375" style="127" customWidth="1"/>
    <col min="7955" max="7955" width="17.140625" style="127" customWidth="1"/>
    <col min="7956" max="7956" width="1.140625" style="127" customWidth="1"/>
    <col min="7957" max="7957" width="26.5703125" style="127" customWidth="1"/>
    <col min="7958" max="7958" width="1" style="127" customWidth="1"/>
    <col min="7959" max="7959" width="32.85546875" style="127" customWidth="1"/>
    <col min="7960" max="7960" width="1" style="127" customWidth="1"/>
    <col min="7961" max="7961" width="12.7109375" style="127" customWidth="1"/>
    <col min="7962" max="7962" width="1.28515625" style="127" customWidth="1"/>
    <col min="7963" max="7963" width="11.42578125" style="127" customWidth="1"/>
    <col min="7964" max="7964" width="1" style="127" customWidth="1"/>
    <col min="7965" max="7965" width="10.42578125" style="127" customWidth="1"/>
    <col min="7966" max="7966" width="0.85546875" style="127" customWidth="1"/>
    <col min="7967" max="7967" width="14" style="127" customWidth="1"/>
    <col min="7968" max="7968" width="0.85546875" style="127" customWidth="1"/>
    <col min="7969" max="7969" width="10.85546875" style="127" customWidth="1"/>
    <col min="7970" max="7970" width="1.42578125" style="127" customWidth="1"/>
    <col min="7971" max="7971" width="10.85546875" style="127" customWidth="1"/>
    <col min="7972" max="7972" width="0.85546875" style="127" customWidth="1"/>
    <col min="7973" max="7973" width="16" style="127" customWidth="1"/>
    <col min="7974" max="7974" width="0.5703125" style="127" customWidth="1"/>
    <col min="7975" max="7975" width="9.42578125" style="127" bestFit="1" customWidth="1"/>
    <col min="7976" max="7976" width="1.140625" style="127" customWidth="1"/>
    <col min="7977" max="8207" width="9.140625" style="127"/>
    <col min="8208" max="8208" width="2.140625" style="127" customWidth="1"/>
    <col min="8209" max="8209" width="14" style="127" customWidth="1"/>
    <col min="8210" max="8210" width="0.7109375" style="127" customWidth="1"/>
    <col min="8211" max="8211" width="17.140625" style="127" customWidth="1"/>
    <col min="8212" max="8212" width="1.140625" style="127" customWidth="1"/>
    <col min="8213" max="8213" width="26.5703125" style="127" customWidth="1"/>
    <col min="8214" max="8214" width="1" style="127" customWidth="1"/>
    <col min="8215" max="8215" width="32.85546875" style="127" customWidth="1"/>
    <col min="8216" max="8216" width="1" style="127" customWidth="1"/>
    <col min="8217" max="8217" width="12.7109375" style="127" customWidth="1"/>
    <col min="8218" max="8218" width="1.28515625" style="127" customWidth="1"/>
    <col min="8219" max="8219" width="11.42578125" style="127" customWidth="1"/>
    <col min="8220" max="8220" width="1" style="127" customWidth="1"/>
    <col min="8221" max="8221" width="10.42578125" style="127" customWidth="1"/>
    <col min="8222" max="8222" width="0.85546875" style="127" customWidth="1"/>
    <col min="8223" max="8223" width="14" style="127" customWidth="1"/>
    <col min="8224" max="8224" width="0.85546875" style="127" customWidth="1"/>
    <col min="8225" max="8225" width="10.85546875" style="127" customWidth="1"/>
    <col min="8226" max="8226" width="1.42578125" style="127" customWidth="1"/>
    <col min="8227" max="8227" width="10.85546875" style="127" customWidth="1"/>
    <col min="8228" max="8228" width="0.85546875" style="127" customWidth="1"/>
    <col min="8229" max="8229" width="16" style="127" customWidth="1"/>
    <col min="8230" max="8230" width="0.5703125" style="127" customWidth="1"/>
    <col min="8231" max="8231" width="9.42578125" style="127" bestFit="1" customWidth="1"/>
    <col min="8232" max="8232" width="1.140625" style="127" customWidth="1"/>
    <col min="8233" max="8463" width="9.140625" style="127"/>
    <col min="8464" max="8464" width="2.140625" style="127" customWidth="1"/>
    <col min="8465" max="8465" width="14" style="127" customWidth="1"/>
    <col min="8466" max="8466" width="0.7109375" style="127" customWidth="1"/>
    <col min="8467" max="8467" width="17.140625" style="127" customWidth="1"/>
    <col min="8468" max="8468" width="1.140625" style="127" customWidth="1"/>
    <col min="8469" max="8469" width="26.5703125" style="127" customWidth="1"/>
    <col min="8470" max="8470" width="1" style="127" customWidth="1"/>
    <col min="8471" max="8471" width="32.85546875" style="127" customWidth="1"/>
    <col min="8472" max="8472" width="1" style="127" customWidth="1"/>
    <col min="8473" max="8473" width="12.7109375" style="127" customWidth="1"/>
    <col min="8474" max="8474" width="1.28515625" style="127" customWidth="1"/>
    <col min="8475" max="8475" width="11.42578125" style="127" customWidth="1"/>
    <col min="8476" max="8476" width="1" style="127" customWidth="1"/>
    <col min="8477" max="8477" width="10.42578125" style="127" customWidth="1"/>
    <col min="8478" max="8478" width="0.85546875" style="127" customWidth="1"/>
    <col min="8479" max="8479" width="14" style="127" customWidth="1"/>
    <col min="8480" max="8480" width="0.85546875" style="127" customWidth="1"/>
    <col min="8481" max="8481" width="10.85546875" style="127" customWidth="1"/>
    <col min="8482" max="8482" width="1.42578125" style="127" customWidth="1"/>
    <col min="8483" max="8483" width="10.85546875" style="127" customWidth="1"/>
    <col min="8484" max="8484" width="0.85546875" style="127" customWidth="1"/>
    <col min="8485" max="8485" width="16" style="127" customWidth="1"/>
    <col min="8486" max="8486" width="0.5703125" style="127" customWidth="1"/>
    <col min="8487" max="8487" width="9.42578125" style="127" bestFit="1" customWidth="1"/>
    <col min="8488" max="8488" width="1.140625" style="127" customWidth="1"/>
    <col min="8489" max="8719" width="9.140625" style="127"/>
    <col min="8720" max="8720" width="2.140625" style="127" customWidth="1"/>
    <col min="8721" max="8721" width="14" style="127" customWidth="1"/>
    <col min="8722" max="8722" width="0.7109375" style="127" customWidth="1"/>
    <col min="8723" max="8723" width="17.140625" style="127" customWidth="1"/>
    <col min="8724" max="8724" width="1.140625" style="127" customWidth="1"/>
    <col min="8725" max="8725" width="26.5703125" style="127" customWidth="1"/>
    <col min="8726" max="8726" width="1" style="127" customWidth="1"/>
    <col min="8727" max="8727" width="32.85546875" style="127" customWidth="1"/>
    <col min="8728" max="8728" width="1" style="127" customWidth="1"/>
    <col min="8729" max="8729" width="12.7109375" style="127" customWidth="1"/>
    <col min="8730" max="8730" width="1.28515625" style="127" customWidth="1"/>
    <col min="8731" max="8731" width="11.42578125" style="127" customWidth="1"/>
    <col min="8732" max="8732" width="1" style="127" customWidth="1"/>
    <col min="8733" max="8733" width="10.42578125" style="127" customWidth="1"/>
    <col min="8734" max="8734" width="0.85546875" style="127" customWidth="1"/>
    <col min="8735" max="8735" width="14" style="127" customWidth="1"/>
    <col min="8736" max="8736" width="0.85546875" style="127" customWidth="1"/>
    <col min="8737" max="8737" width="10.85546875" style="127" customWidth="1"/>
    <col min="8738" max="8738" width="1.42578125" style="127" customWidth="1"/>
    <col min="8739" max="8739" width="10.85546875" style="127" customWidth="1"/>
    <col min="8740" max="8740" width="0.85546875" style="127" customWidth="1"/>
    <col min="8741" max="8741" width="16" style="127" customWidth="1"/>
    <col min="8742" max="8742" width="0.5703125" style="127" customWidth="1"/>
    <col min="8743" max="8743" width="9.42578125" style="127" bestFit="1" customWidth="1"/>
    <col min="8744" max="8744" width="1.140625" style="127" customWidth="1"/>
    <col min="8745" max="8975" width="9.140625" style="127"/>
    <col min="8976" max="8976" width="2.140625" style="127" customWidth="1"/>
    <col min="8977" max="8977" width="14" style="127" customWidth="1"/>
    <col min="8978" max="8978" width="0.7109375" style="127" customWidth="1"/>
    <col min="8979" max="8979" width="17.140625" style="127" customWidth="1"/>
    <col min="8980" max="8980" width="1.140625" style="127" customWidth="1"/>
    <col min="8981" max="8981" width="26.5703125" style="127" customWidth="1"/>
    <col min="8982" max="8982" width="1" style="127" customWidth="1"/>
    <col min="8983" max="8983" width="32.85546875" style="127" customWidth="1"/>
    <col min="8984" max="8984" width="1" style="127" customWidth="1"/>
    <col min="8985" max="8985" width="12.7109375" style="127" customWidth="1"/>
    <col min="8986" max="8986" width="1.28515625" style="127" customWidth="1"/>
    <col min="8987" max="8987" width="11.42578125" style="127" customWidth="1"/>
    <col min="8988" max="8988" width="1" style="127" customWidth="1"/>
    <col min="8989" max="8989" width="10.42578125" style="127" customWidth="1"/>
    <col min="8990" max="8990" width="0.85546875" style="127" customWidth="1"/>
    <col min="8991" max="8991" width="14" style="127" customWidth="1"/>
    <col min="8992" max="8992" width="0.85546875" style="127" customWidth="1"/>
    <col min="8993" max="8993" width="10.85546875" style="127" customWidth="1"/>
    <col min="8994" max="8994" width="1.42578125" style="127" customWidth="1"/>
    <col min="8995" max="8995" width="10.85546875" style="127" customWidth="1"/>
    <col min="8996" max="8996" width="0.85546875" style="127" customWidth="1"/>
    <col min="8997" max="8997" width="16" style="127" customWidth="1"/>
    <col min="8998" max="8998" width="0.5703125" style="127" customWidth="1"/>
    <col min="8999" max="8999" width="9.42578125" style="127" bestFit="1" customWidth="1"/>
    <col min="9000" max="9000" width="1.140625" style="127" customWidth="1"/>
    <col min="9001" max="9231" width="9.140625" style="127"/>
    <col min="9232" max="9232" width="2.140625" style="127" customWidth="1"/>
    <col min="9233" max="9233" width="14" style="127" customWidth="1"/>
    <col min="9234" max="9234" width="0.7109375" style="127" customWidth="1"/>
    <col min="9235" max="9235" width="17.140625" style="127" customWidth="1"/>
    <col min="9236" max="9236" width="1.140625" style="127" customWidth="1"/>
    <col min="9237" max="9237" width="26.5703125" style="127" customWidth="1"/>
    <col min="9238" max="9238" width="1" style="127" customWidth="1"/>
    <col min="9239" max="9239" width="32.85546875" style="127" customWidth="1"/>
    <col min="9240" max="9240" width="1" style="127" customWidth="1"/>
    <col min="9241" max="9241" width="12.7109375" style="127" customWidth="1"/>
    <col min="9242" max="9242" width="1.28515625" style="127" customWidth="1"/>
    <col min="9243" max="9243" width="11.42578125" style="127" customWidth="1"/>
    <col min="9244" max="9244" width="1" style="127" customWidth="1"/>
    <col min="9245" max="9245" width="10.42578125" style="127" customWidth="1"/>
    <col min="9246" max="9246" width="0.85546875" style="127" customWidth="1"/>
    <col min="9247" max="9247" width="14" style="127" customWidth="1"/>
    <col min="9248" max="9248" width="0.85546875" style="127" customWidth="1"/>
    <col min="9249" max="9249" width="10.85546875" style="127" customWidth="1"/>
    <col min="9250" max="9250" width="1.42578125" style="127" customWidth="1"/>
    <col min="9251" max="9251" width="10.85546875" style="127" customWidth="1"/>
    <col min="9252" max="9252" width="0.85546875" style="127" customWidth="1"/>
    <col min="9253" max="9253" width="16" style="127" customWidth="1"/>
    <col min="9254" max="9254" width="0.5703125" style="127" customWidth="1"/>
    <col min="9255" max="9255" width="9.42578125" style="127" bestFit="1" customWidth="1"/>
    <col min="9256" max="9256" width="1.140625" style="127" customWidth="1"/>
    <col min="9257" max="9487" width="9.140625" style="127"/>
    <col min="9488" max="9488" width="2.140625" style="127" customWidth="1"/>
    <col min="9489" max="9489" width="14" style="127" customWidth="1"/>
    <col min="9490" max="9490" width="0.7109375" style="127" customWidth="1"/>
    <col min="9491" max="9491" width="17.140625" style="127" customWidth="1"/>
    <col min="9492" max="9492" width="1.140625" style="127" customWidth="1"/>
    <col min="9493" max="9493" width="26.5703125" style="127" customWidth="1"/>
    <col min="9494" max="9494" width="1" style="127" customWidth="1"/>
    <col min="9495" max="9495" width="32.85546875" style="127" customWidth="1"/>
    <col min="9496" max="9496" width="1" style="127" customWidth="1"/>
    <col min="9497" max="9497" width="12.7109375" style="127" customWidth="1"/>
    <col min="9498" max="9498" width="1.28515625" style="127" customWidth="1"/>
    <col min="9499" max="9499" width="11.42578125" style="127" customWidth="1"/>
    <col min="9500" max="9500" width="1" style="127" customWidth="1"/>
    <col min="9501" max="9501" width="10.42578125" style="127" customWidth="1"/>
    <col min="9502" max="9502" width="0.85546875" style="127" customWidth="1"/>
    <col min="9503" max="9503" width="14" style="127" customWidth="1"/>
    <col min="9504" max="9504" width="0.85546875" style="127" customWidth="1"/>
    <col min="9505" max="9505" width="10.85546875" style="127" customWidth="1"/>
    <col min="9506" max="9506" width="1.42578125" style="127" customWidth="1"/>
    <col min="9507" max="9507" width="10.85546875" style="127" customWidth="1"/>
    <col min="9508" max="9508" width="0.85546875" style="127" customWidth="1"/>
    <col min="9509" max="9509" width="16" style="127" customWidth="1"/>
    <col min="9510" max="9510" width="0.5703125" style="127" customWidth="1"/>
    <col min="9511" max="9511" width="9.42578125" style="127" bestFit="1" customWidth="1"/>
    <col min="9512" max="9512" width="1.140625" style="127" customWidth="1"/>
    <col min="9513" max="9743" width="9.140625" style="127"/>
    <col min="9744" max="9744" width="2.140625" style="127" customWidth="1"/>
    <col min="9745" max="9745" width="14" style="127" customWidth="1"/>
    <col min="9746" max="9746" width="0.7109375" style="127" customWidth="1"/>
    <col min="9747" max="9747" width="17.140625" style="127" customWidth="1"/>
    <col min="9748" max="9748" width="1.140625" style="127" customWidth="1"/>
    <col min="9749" max="9749" width="26.5703125" style="127" customWidth="1"/>
    <col min="9750" max="9750" width="1" style="127" customWidth="1"/>
    <col min="9751" max="9751" width="32.85546875" style="127" customWidth="1"/>
    <col min="9752" max="9752" width="1" style="127" customWidth="1"/>
    <col min="9753" max="9753" width="12.7109375" style="127" customWidth="1"/>
    <col min="9754" max="9754" width="1.28515625" style="127" customWidth="1"/>
    <col min="9755" max="9755" width="11.42578125" style="127" customWidth="1"/>
    <col min="9756" max="9756" width="1" style="127" customWidth="1"/>
    <col min="9757" max="9757" width="10.42578125" style="127" customWidth="1"/>
    <col min="9758" max="9758" width="0.85546875" style="127" customWidth="1"/>
    <col min="9759" max="9759" width="14" style="127" customWidth="1"/>
    <col min="9760" max="9760" width="0.85546875" style="127" customWidth="1"/>
    <col min="9761" max="9761" width="10.85546875" style="127" customWidth="1"/>
    <col min="9762" max="9762" width="1.42578125" style="127" customWidth="1"/>
    <col min="9763" max="9763" width="10.85546875" style="127" customWidth="1"/>
    <col min="9764" max="9764" width="0.85546875" style="127" customWidth="1"/>
    <col min="9765" max="9765" width="16" style="127" customWidth="1"/>
    <col min="9766" max="9766" width="0.5703125" style="127" customWidth="1"/>
    <col min="9767" max="9767" width="9.42578125" style="127" bestFit="1" customWidth="1"/>
    <col min="9768" max="9768" width="1.140625" style="127" customWidth="1"/>
    <col min="9769" max="9999" width="9.140625" style="127"/>
    <col min="10000" max="10000" width="2.140625" style="127" customWidth="1"/>
    <col min="10001" max="10001" width="14" style="127" customWidth="1"/>
    <col min="10002" max="10002" width="0.7109375" style="127" customWidth="1"/>
    <col min="10003" max="10003" width="17.140625" style="127" customWidth="1"/>
    <col min="10004" max="10004" width="1.140625" style="127" customWidth="1"/>
    <col min="10005" max="10005" width="26.5703125" style="127" customWidth="1"/>
    <col min="10006" max="10006" width="1" style="127" customWidth="1"/>
    <col min="10007" max="10007" width="32.85546875" style="127" customWidth="1"/>
    <col min="10008" max="10008" width="1" style="127" customWidth="1"/>
    <col min="10009" max="10009" width="12.7109375" style="127" customWidth="1"/>
    <col min="10010" max="10010" width="1.28515625" style="127" customWidth="1"/>
    <col min="10011" max="10011" width="11.42578125" style="127" customWidth="1"/>
    <col min="10012" max="10012" width="1" style="127" customWidth="1"/>
    <col min="10013" max="10013" width="10.42578125" style="127" customWidth="1"/>
    <col min="10014" max="10014" width="0.85546875" style="127" customWidth="1"/>
    <col min="10015" max="10015" width="14" style="127" customWidth="1"/>
    <col min="10016" max="10016" width="0.85546875" style="127" customWidth="1"/>
    <col min="10017" max="10017" width="10.85546875" style="127" customWidth="1"/>
    <col min="10018" max="10018" width="1.42578125" style="127" customWidth="1"/>
    <col min="10019" max="10019" width="10.85546875" style="127" customWidth="1"/>
    <col min="10020" max="10020" width="0.85546875" style="127" customWidth="1"/>
    <col min="10021" max="10021" width="16" style="127" customWidth="1"/>
    <col min="10022" max="10022" width="0.5703125" style="127" customWidth="1"/>
    <col min="10023" max="10023" width="9.42578125" style="127" bestFit="1" customWidth="1"/>
    <col min="10024" max="10024" width="1.140625" style="127" customWidth="1"/>
    <col min="10025" max="10255" width="9.140625" style="127"/>
    <col min="10256" max="10256" width="2.140625" style="127" customWidth="1"/>
    <col min="10257" max="10257" width="14" style="127" customWidth="1"/>
    <col min="10258" max="10258" width="0.7109375" style="127" customWidth="1"/>
    <col min="10259" max="10259" width="17.140625" style="127" customWidth="1"/>
    <col min="10260" max="10260" width="1.140625" style="127" customWidth="1"/>
    <col min="10261" max="10261" width="26.5703125" style="127" customWidth="1"/>
    <col min="10262" max="10262" width="1" style="127" customWidth="1"/>
    <col min="10263" max="10263" width="32.85546875" style="127" customWidth="1"/>
    <col min="10264" max="10264" width="1" style="127" customWidth="1"/>
    <col min="10265" max="10265" width="12.7109375" style="127" customWidth="1"/>
    <col min="10266" max="10266" width="1.28515625" style="127" customWidth="1"/>
    <col min="10267" max="10267" width="11.42578125" style="127" customWidth="1"/>
    <col min="10268" max="10268" width="1" style="127" customWidth="1"/>
    <col min="10269" max="10269" width="10.42578125" style="127" customWidth="1"/>
    <col min="10270" max="10270" width="0.85546875" style="127" customWidth="1"/>
    <col min="10271" max="10271" width="14" style="127" customWidth="1"/>
    <col min="10272" max="10272" width="0.85546875" style="127" customWidth="1"/>
    <col min="10273" max="10273" width="10.85546875" style="127" customWidth="1"/>
    <col min="10274" max="10274" width="1.42578125" style="127" customWidth="1"/>
    <col min="10275" max="10275" width="10.85546875" style="127" customWidth="1"/>
    <col min="10276" max="10276" width="0.85546875" style="127" customWidth="1"/>
    <col min="10277" max="10277" width="16" style="127" customWidth="1"/>
    <col min="10278" max="10278" width="0.5703125" style="127" customWidth="1"/>
    <col min="10279" max="10279" width="9.42578125" style="127" bestFit="1" customWidth="1"/>
    <col min="10280" max="10280" width="1.140625" style="127" customWidth="1"/>
    <col min="10281" max="10511" width="9.140625" style="127"/>
    <col min="10512" max="10512" width="2.140625" style="127" customWidth="1"/>
    <col min="10513" max="10513" width="14" style="127" customWidth="1"/>
    <col min="10514" max="10514" width="0.7109375" style="127" customWidth="1"/>
    <col min="10515" max="10515" width="17.140625" style="127" customWidth="1"/>
    <col min="10516" max="10516" width="1.140625" style="127" customWidth="1"/>
    <col min="10517" max="10517" width="26.5703125" style="127" customWidth="1"/>
    <col min="10518" max="10518" width="1" style="127" customWidth="1"/>
    <col min="10519" max="10519" width="32.85546875" style="127" customWidth="1"/>
    <col min="10520" max="10520" width="1" style="127" customWidth="1"/>
    <col min="10521" max="10521" width="12.7109375" style="127" customWidth="1"/>
    <col min="10522" max="10522" width="1.28515625" style="127" customWidth="1"/>
    <col min="10523" max="10523" width="11.42578125" style="127" customWidth="1"/>
    <col min="10524" max="10524" width="1" style="127" customWidth="1"/>
    <col min="10525" max="10525" width="10.42578125" style="127" customWidth="1"/>
    <col min="10526" max="10526" width="0.85546875" style="127" customWidth="1"/>
    <col min="10527" max="10527" width="14" style="127" customWidth="1"/>
    <col min="10528" max="10528" width="0.85546875" style="127" customWidth="1"/>
    <col min="10529" max="10529" width="10.85546875" style="127" customWidth="1"/>
    <col min="10530" max="10530" width="1.42578125" style="127" customWidth="1"/>
    <col min="10531" max="10531" width="10.85546875" style="127" customWidth="1"/>
    <col min="10532" max="10532" width="0.85546875" style="127" customWidth="1"/>
    <col min="10533" max="10533" width="16" style="127" customWidth="1"/>
    <col min="10534" max="10534" width="0.5703125" style="127" customWidth="1"/>
    <col min="10535" max="10535" width="9.42578125" style="127" bestFit="1" customWidth="1"/>
    <col min="10536" max="10536" width="1.140625" style="127" customWidth="1"/>
    <col min="10537" max="10767" width="9.140625" style="127"/>
    <col min="10768" max="10768" width="2.140625" style="127" customWidth="1"/>
    <col min="10769" max="10769" width="14" style="127" customWidth="1"/>
    <col min="10770" max="10770" width="0.7109375" style="127" customWidth="1"/>
    <col min="10771" max="10771" width="17.140625" style="127" customWidth="1"/>
    <col min="10772" max="10772" width="1.140625" style="127" customWidth="1"/>
    <col min="10773" max="10773" width="26.5703125" style="127" customWidth="1"/>
    <col min="10774" max="10774" width="1" style="127" customWidth="1"/>
    <col min="10775" max="10775" width="32.85546875" style="127" customWidth="1"/>
    <col min="10776" max="10776" width="1" style="127" customWidth="1"/>
    <col min="10777" max="10777" width="12.7109375" style="127" customWidth="1"/>
    <col min="10778" max="10778" width="1.28515625" style="127" customWidth="1"/>
    <col min="10779" max="10779" width="11.42578125" style="127" customWidth="1"/>
    <col min="10780" max="10780" width="1" style="127" customWidth="1"/>
    <col min="10781" max="10781" width="10.42578125" style="127" customWidth="1"/>
    <col min="10782" max="10782" width="0.85546875" style="127" customWidth="1"/>
    <col min="10783" max="10783" width="14" style="127" customWidth="1"/>
    <col min="10784" max="10784" width="0.85546875" style="127" customWidth="1"/>
    <col min="10785" max="10785" width="10.85546875" style="127" customWidth="1"/>
    <col min="10786" max="10786" width="1.42578125" style="127" customWidth="1"/>
    <col min="10787" max="10787" width="10.85546875" style="127" customWidth="1"/>
    <col min="10788" max="10788" width="0.85546875" style="127" customWidth="1"/>
    <col min="10789" max="10789" width="16" style="127" customWidth="1"/>
    <col min="10790" max="10790" width="0.5703125" style="127" customWidth="1"/>
    <col min="10791" max="10791" width="9.42578125" style="127" bestFit="1" customWidth="1"/>
    <col min="10792" max="10792" width="1.140625" style="127" customWidth="1"/>
    <col min="10793" max="11023" width="9.140625" style="127"/>
    <col min="11024" max="11024" width="2.140625" style="127" customWidth="1"/>
    <col min="11025" max="11025" width="14" style="127" customWidth="1"/>
    <col min="11026" max="11026" width="0.7109375" style="127" customWidth="1"/>
    <col min="11027" max="11027" width="17.140625" style="127" customWidth="1"/>
    <col min="11028" max="11028" width="1.140625" style="127" customWidth="1"/>
    <col min="11029" max="11029" width="26.5703125" style="127" customWidth="1"/>
    <col min="11030" max="11030" width="1" style="127" customWidth="1"/>
    <col min="11031" max="11031" width="32.85546875" style="127" customWidth="1"/>
    <col min="11032" max="11032" width="1" style="127" customWidth="1"/>
    <col min="11033" max="11033" width="12.7109375" style="127" customWidth="1"/>
    <col min="11034" max="11034" width="1.28515625" style="127" customWidth="1"/>
    <col min="11035" max="11035" width="11.42578125" style="127" customWidth="1"/>
    <col min="11036" max="11036" width="1" style="127" customWidth="1"/>
    <col min="11037" max="11037" width="10.42578125" style="127" customWidth="1"/>
    <col min="11038" max="11038" width="0.85546875" style="127" customWidth="1"/>
    <col min="11039" max="11039" width="14" style="127" customWidth="1"/>
    <col min="11040" max="11040" width="0.85546875" style="127" customWidth="1"/>
    <col min="11041" max="11041" width="10.85546875" style="127" customWidth="1"/>
    <col min="11042" max="11042" width="1.42578125" style="127" customWidth="1"/>
    <col min="11043" max="11043" width="10.85546875" style="127" customWidth="1"/>
    <col min="11044" max="11044" width="0.85546875" style="127" customWidth="1"/>
    <col min="11045" max="11045" width="16" style="127" customWidth="1"/>
    <col min="11046" max="11046" width="0.5703125" style="127" customWidth="1"/>
    <col min="11047" max="11047" width="9.42578125" style="127" bestFit="1" customWidth="1"/>
    <col min="11048" max="11048" width="1.140625" style="127" customWidth="1"/>
    <col min="11049" max="11279" width="9.140625" style="127"/>
    <col min="11280" max="11280" width="2.140625" style="127" customWidth="1"/>
    <col min="11281" max="11281" width="14" style="127" customWidth="1"/>
    <col min="11282" max="11282" width="0.7109375" style="127" customWidth="1"/>
    <col min="11283" max="11283" width="17.140625" style="127" customWidth="1"/>
    <col min="11284" max="11284" width="1.140625" style="127" customWidth="1"/>
    <col min="11285" max="11285" width="26.5703125" style="127" customWidth="1"/>
    <col min="11286" max="11286" width="1" style="127" customWidth="1"/>
    <col min="11287" max="11287" width="32.85546875" style="127" customWidth="1"/>
    <col min="11288" max="11288" width="1" style="127" customWidth="1"/>
    <col min="11289" max="11289" width="12.7109375" style="127" customWidth="1"/>
    <col min="11290" max="11290" width="1.28515625" style="127" customWidth="1"/>
    <col min="11291" max="11291" width="11.42578125" style="127" customWidth="1"/>
    <col min="11292" max="11292" width="1" style="127" customWidth="1"/>
    <col min="11293" max="11293" width="10.42578125" style="127" customWidth="1"/>
    <col min="11294" max="11294" width="0.85546875" style="127" customWidth="1"/>
    <col min="11295" max="11295" width="14" style="127" customWidth="1"/>
    <col min="11296" max="11296" width="0.85546875" style="127" customWidth="1"/>
    <col min="11297" max="11297" width="10.85546875" style="127" customWidth="1"/>
    <col min="11298" max="11298" width="1.42578125" style="127" customWidth="1"/>
    <col min="11299" max="11299" width="10.85546875" style="127" customWidth="1"/>
    <col min="11300" max="11300" width="0.85546875" style="127" customWidth="1"/>
    <col min="11301" max="11301" width="16" style="127" customWidth="1"/>
    <col min="11302" max="11302" width="0.5703125" style="127" customWidth="1"/>
    <col min="11303" max="11303" width="9.42578125" style="127" bestFit="1" customWidth="1"/>
    <col min="11304" max="11304" width="1.140625" style="127" customWidth="1"/>
    <col min="11305" max="11535" width="9.140625" style="127"/>
    <col min="11536" max="11536" width="2.140625" style="127" customWidth="1"/>
    <col min="11537" max="11537" width="14" style="127" customWidth="1"/>
    <col min="11538" max="11538" width="0.7109375" style="127" customWidth="1"/>
    <col min="11539" max="11539" width="17.140625" style="127" customWidth="1"/>
    <col min="11540" max="11540" width="1.140625" style="127" customWidth="1"/>
    <col min="11541" max="11541" width="26.5703125" style="127" customWidth="1"/>
    <col min="11542" max="11542" width="1" style="127" customWidth="1"/>
    <col min="11543" max="11543" width="32.85546875" style="127" customWidth="1"/>
    <col min="11544" max="11544" width="1" style="127" customWidth="1"/>
    <col min="11545" max="11545" width="12.7109375" style="127" customWidth="1"/>
    <col min="11546" max="11546" width="1.28515625" style="127" customWidth="1"/>
    <col min="11547" max="11547" width="11.42578125" style="127" customWidth="1"/>
    <col min="11548" max="11548" width="1" style="127" customWidth="1"/>
    <col min="11549" max="11549" width="10.42578125" style="127" customWidth="1"/>
    <col min="11550" max="11550" width="0.85546875" style="127" customWidth="1"/>
    <col min="11551" max="11551" width="14" style="127" customWidth="1"/>
    <col min="11552" max="11552" width="0.85546875" style="127" customWidth="1"/>
    <col min="11553" max="11553" width="10.85546875" style="127" customWidth="1"/>
    <col min="11554" max="11554" width="1.42578125" style="127" customWidth="1"/>
    <col min="11555" max="11555" width="10.85546875" style="127" customWidth="1"/>
    <col min="11556" max="11556" width="0.85546875" style="127" customWidth="1"/>
    <col min="11557" max="11557" width="16" style="127" customWidth="1"/>
    <col min="11558" max="11558" width="0.5703125" style="127" customWidth="1"/>
    <col min="11559" max="11559" width="9.42578125" style="127" bestFit="1" customWidth="1"/>
    <col min="11560" max="11560" width="1.140625" style="127" customWidth="1"/>
    <col min="11561" max="11791" width="9.140625" style="127"/>
    <col min="11792" max="11792" width="2.140625" style="127" customWidth="1"/>
    <col min="11793" max="11793" width="14" style="127" customWidth="1"/>
    <col min="11794" max="11794" width="0.7109375" style="127" customWidth="1"/>
    <col min="11795" max="11795" width="17.140625" style="127" customWidth="1"/>
    <col min="11796" max="11796" width="1.140625" style="127" customWidth="1"/>
    <col min="11797" max="11797" width="26.5703125" style="127" customWidth="1"/>
    <col min="11798" max="11798" width="1" style="127" customWidth="1"/>
    <col min="11799" max="11799" width="32.85546875" style="127" customWidth="1"/>
    <col min="11800" max="11800" width="1" style="127" customWidth="1"/>
    <col min="11801" max="11801" width="12.7109375" style="127" customWidth="1"/>
    <col min="11802" max="11802" width="1.28515625" style="127" customWidth="1"/>
    <col min="11803" max="11803" width="11.42578125" style="127" customWidth="1"/>
    <col min="11804" max="11804" width="1" style="127" customWidth="1"/>
    <col min="11805" max="11805" width="10.42578125" style="127" customWidth="1"/>
    <col min="11806" max="11806" width="0.85546875" style="127" customWidth="1"/>
    <col min="11807" max="11807" width="14" style="127" customWidth="1"/>
    <col min="11808" max="11808" width="0.85546875" style="127" customWidth="1"/>
    <col min="11809" max="11809" width="10.85546875" style="127" customWidth="1"/>
    <col min="11810" max="11810" width="1.42578125" style="127" customWidth="1"/>
    <col min="11811" max="11811" width="10.85546875" style="127" customWidth="1"/>
    <col min="11812" max="11812" width="0.85546875" style="127" customWidth="1"/>
    <col min="11813" max="11813" width="16" style="127" customWidth="1"/>
    <col min="11814" max="11814" width="0.5703125" style="127" customWidth="1"/>
    <col min="11815" max="11815" width="9.42578125" style="127" bestFit="1" customWidth="1"/>
    <col min="11816" max="11816" width="1.140625" style="127" customWidth="1"/>
    <col min="11817" max="12047" width="9.140625" style="127"/>
    <col min="12048" max="12048" width="2.140625" style="127" customWidth="1"/>
    <col min="12049" max="12049" width="14" style="127" customWidth="1"/>
    <col min="12050" max="12050" width="0.7109375" style="127" customWidth="1"/>
    <col min="12051" max="12051" width="17.140625" style="127" customWidth="1"/>
    <col min="12052" max="12052" width="1.140625" style="127" customWidth="1"/>
    <col min="12053" max="12053" width="26.5703125" style="127" customWidth="1"/>
    <col min="12054" max="12054" width="1" style="127" customWidth="1"/>
    <col min="12055" max="12055" width="32.85546875" style="127" customWidth="1"/>
    <col min="12056" max="12056" width="1" style="127" customWidth="1"/>
    <col min="12057" max="12057" width="12.7109375" style="127" customWidth="1"/>
    <col min="12058" max="12058" width="1.28515625" style="127" customWidth="1"/>
    <col min="12059" max="12059" width="11.42578125" style="127" customWidth="1"/>
    <col min="12060" max="12060" width="1" style="127" customWidth="1"/>
    <col min="12061" max="12061" width="10.42578125" style="127" customWidth="1"/>
    <col min="12062" max="12062" width="0.85546875" style="127" customWidth="1"/>
    <col min="12063" max="12063" width="14" style="127" customWidth="1"/>
    <col min="12064" max="12064" width="0.85546875" style="127" customWidth="1"/>
    <col min="12065" max="12065" width="10.85546875" style="127" customWidth="1"/>
    <col min="12066" max="12066" width="1.42578125" style="127" customWidth="1"/>
    <col min="12067" max="12067" width="10.85546875" style="127" customWidth="1"/>
    <col min="12068" max="12068" width="0.85546875" style="127" customWidth="1"/>
    <col min="12069" max="12069" width="16" style="127" customWidth="1"/>
    <col min="12070" max="12070" width="0.5703125" style="127" customWidth="1"/>
    <col min="12071" max="12071" width="9.42578125" style="127" bestFit="1" customWidth="1"/>
    <col min="12072" max="12072" width="1.140625" style="127" customWidth="1"/>
    <col min="12073" max="12303" width="9.140625" style="127"/>
    <col min="12304" max="12304" width="2.140625" style="127" customWidth="1"/>
    <col min="12305" max="12305" width="14" style="127" customWidth="1"/>
    <col min="12306" max="12306" width="0.7109375" style="127" customWidth="1"/>
    <col min="12307" max="12307" width="17.140625" style="127" customWidth="1"/>
    <col min="12308" max="12308" width="1.140625" style="127" customWidth="1"/>
    <col min="12309" max="12309" width="26.5703125" style="127" customWidth="1"/>
    <col min="12310" max="12310" width="1" style="127" customWidth="1"/>
    <col min="12311" max="12311" width="32.85546875" style="127" customWidth="1"/>
    <col min="12312" max="12312" width="1" style="127" customWidth="1"/>
    <col min="12313" max="12313" width="12.7109375" style="127" customWidth="1"/>
    <col min="12314" max="12314" width="1.28515625" style="127" customWidth="1"/>
    <col min="12315" max="12315" width="11.42578125" style="127" customWidth="1"/>
    <col min="12316" max="12316" width="1" style="127" customWidth="1"/>
    <col min="12317" max="12317" width="10.42578125" style="127" customWidth="1"/>
    <col min="12318" max="12318" width="0.85546875" style="127" customWidth="1"/>
    <col min="12319" max="12319" width="14" style="127" customWidth="1"/>
    <col min="12320" max="12320" width="0.85546875" style="127" customWidth="1"/>
    <col min="12321" max="12321" width="10.85546875" style="127" customWidth="1"/>
    <col min="12322" max="12322" width="1.42578125" style="127" customWidth="1"/>
    <col min="12323" max="12323" width="10.85546875" style="127" customWidth="1"/>
    <col min="12324" max="12324" width="0.85546875" style="127" customWidth="1"/>
    <col min="12325" max="12325" width="16" style="127" customWidth="1"/>
    <col min="12326" max="12326" width="0.5703125" style="127" customWidth="1"/>
    <col min="12327" max="12327" width="9.42578125" style="127" bestFit="1" customWidth="1"/>
    <col min="12328" max="12328" width="1.140625" style="127" customWidth="1"/>
    <col min="12329" max="12559" width="9.140625" style="127"/>
    <col min="12560" max="12560" width="2.140625" style="127" customWidth="1"/>
    <col min="12561" max="12561" width="14" style="127" customWidth="1"/>
    <col min="12562" max="12562" width="0.7109375" style="127" customWidth="1"/>
    <col min="12563" max="12563" width="17.140625" style="127" customWidth="1"/>
    <col min="12564" max="12564" width="1.140625" style="127" customWidth="1"/>
    <col min="12565" max="12565" width="26.5703125" style="127" customWidth="1"/>
    <col min="12566" max="12566" width="1" style="127" customWidth="1"/>
    <col min="12567" max="12567" width="32.85546875" style="127" customWidth="1"/>
    <col min="12568" max="12568" width="1" style="127" customWidth="1"/>
    <col min="12569" max="12569" width="12.7109375" style="127" customWidth="1"/>
    <col min="12570" max="12570" width="1.28515625" style="127" customWidth="1"/>
    <col min="12571" max="12571" width="11.42578125" style="127" customWidth="1"/>
    <col min="12572" max="12572" width="1" style="127" customWidth="1"/>
    <col min="12573" max="12573" width="10.42578125" style="127" customWidth="1"/>
    <col min="12574" max="12574" width="0.85546875" style="127" customWidth="1"/>
    <col min="12575" max="12575" width="14" style="127" customWidth="1"/>
    <col min="12576" max="12576" width="0.85546875" style="127" customWidth="1"/>
    <col min="12577" max="12577" width="10.85546875" style="127" customWidth="1"/>
    <col min="12578" max="12578" width="1.42578125" style="127" customWidth="1"/>
    <col min="12579" max="12579" width="10.85546875" style="127" customWidth="1"/>
    <col min="12580" max="12580" width="0.85546875" style="127" customWidth="1"/>
    <col min="12581" max="12581" width="16" style="127" customWidth="1"/>
    <col min="12582" max="12582" width="0.5703125" style="127" customWidth="1"/>
    <col min="12583" max="12583" width="9.42578125" style="127" bestFit="1" customWidth="1"/>
    <col min="12584" max="12584" width="1.140625" style="127" customWidth="1"/>
    <col min="12585" max="12815" width="9.140625" style="127"/>
    <col min="12816" max="12816" width="2.140625" style="127" customWidth="1"/>
    <col min="12817" max="12817" width="14" style="127" customWidth="1"/>
    <col min="12818" max="12818" width="0.7109375" style="127" customWidth="1"/>
    <col min="12819" max="12819" width="17.140625" style="127" customWidth="1"/>
    <col min="12820" max="12820" width="1.140625" style="127" customWidth="1"/>
    <col min="12821" max="12821" width="26.5703125" style="127" customWidth="1"/>
    <col min="12822" max="12822" width="1" style="127" customWidth="1"/>
    <col min="12823" max="12823" width="32.85546875" style="127" customWidth="1"/>
    <col min="12824" max="12824" width="1" style="127" customWidth="1"/>
    <col min="12825" max="12825" width="12.7109375" style="127" customWidth="1"/>
    <col min="12826" max="12826" width="1.28515625" style="127" customWidth="1"/>
    <col min="12827" max="12827" width="11.42578125" style="127" customWidth="1"/>
    <col min="12828" max="12828" width="1" style="127" customWidth="1"/>
    <col min="12829" max="12829" width="10.42578125" style="127" customWidth="1"/>
    <col min="12830" max="12830" width="0.85546875" style="127" customWidth="1"/>
    <col min="12831" max="12831" width="14" style="127" customWidth="1"/>
    <col min="12832" max="12832" width="0.85546875" style="127" customWidth="1"/>
    <col min="12833" max="12833" width="10.85546875" style="127" customWidth="1"/>
    <col min="12834" max="12834" width="1.42578125" style="127" customWidth="1"/>
    <col min="12835" max="12835" width="10.85546875" style="127" customWidth="1"/>
    <col min="12836" max="12836" width="0.85546875" style="127" customWidth="1"/>
    <col min="12837" max="12837" width="16" style="127" customWidth="1"/>
    <col min="12838" max="12838" width="0.5703125" style="127" customWidth="1"/>
    <col min="12839" max="12839" width="9.42578125" style="127" bestFit="1" customWidth="1"/>
    <col min="12840" max="12840" width="1.140625" style="127" customWidth="1"/>
    <col min="12841" max="13071" width="9.140625" style="127"/>
    <col min="13072" max="13072" width="2.140625" style="127" customWidth="1"/>
    <col min="13073" max="13073" width="14" style="127" customWidth="1"/>
    <col min="13074" max="13074" width="0.7109375" style="127" customWidth="1"/>
    <col min="13075" max="13075" width="17.140625" style="127" customWidth="1"/>
    <col min="13076" max="13076" width="1.140625" style="127" customWidth="1"/>
    <col min="13077" max="13077" width="26.5703125" style="127" customWidth="1"/>
    <col min="13078" max="13078" width="1" style="127" customWidth="1"/>
    <col min="13079" max="13079" width="32.85546875" style="127" customWidth="1"/>
    <col min="13080" max="13080" width="1" style="127" customWidth="1"/>
    <col min="13081" max="13081" width="12.7109375" style="127" customWidth="1"/>
    <col min="13082" max="13082" width="1.28515625" style="127" customWidth="1"/>
    <col min="13083" max="13083" width="11.42578125" style="127" customWidth="1"/>
    <col min="13084" max="13084" width="1" style="127" customWidth="1"/>
    <col min="13085" max="13085" width="10.42578125" style="127" customWidth="1"/>
    <col min="13086" max="13086" width="0.85546875" style="127" customWidth="1"/>
    <col min="13087" max="13087" width="14" style="127" customWidth="1"/>
    <col min="13088" max="13088" width="0.85546875" style="127" customWidth="1"/>
    <col min="13089" max="13089" width="10.85546875" style="127" customWidth="1"/>
    <col min="13090" max="13090" width="1.42578125" style="127" customWidth="1"/>
    <col min="13091" max="13091" width="10.85546875" style="127" customWidth="1"/>
    <col min="13092" max="13092" width="0.85546875" style="127" customWidth="1"/>
    <col min="13093" max="13093" width="16" style="127" customWidth="1"/>
    <col min="13094" max="13094" width="0.5703125" style="127" customWidth="1"/>
    <col min="13095" max="13095" width="9.42578125" style="127" bestFit="1" customWidth="1"/>
    <col min="13096" max="13096" width="1.140625" style="127" customWidth="1"/>
    <col min="13097" max="13327" width="9.140625" style="127"/>
    <col min="13328" max="13328" width="2.140625" style="127" customWidth="1"/>
    <col min="13329" max="13329" width="14" style="127" customWidth="1"/>
    <col min="13330" max="13330" width="0.7109375" style="127" customWidth="1"/>
    <col min="13331" max="13331" width="17.140625" style="127" customWidth="1"/>
    <col min="13332" max="13332" width="1.140625" style="127" customWidth="1"/>
    <col min="13333" max="13333" width="26.5703125" style="127" customWidth="1"/>
    <col min="13334" max="13334" width="1" style="127" customWidth="1"/>
    <col min="13335" max="13335" width="32.85546875" style="127" customWidth="1"/>
    <col min="13336" max="13336" width="1" style="127" customWidth="1"/>
    <col min="13337" max="13337" width="12.7109375" style="127" customWidth="1"/>
    <col min="13338" max="13338" width="1.28515625" style="127" customWidth="1"/>
    <col min="13339" max="13339" width="11.42578125" style="127" customWidth="1"/>
    <col min="13340" max="13340" width="1" style="127" customWidth="1"/>
    <col min="13341" max="13341" width="10.42578125" style="127" customWidth="1"/>
    <col min="13342" max="13342" width="0.85546875" style="127" customWidth="1"/>
    <col min="13343" max="13343" width="14" style="127" customWidth="1"/>
    <col min="13344" max="13344" width="0.85546875" style="127" customWidth="1"/>
    <col min="13345" max="13345" width="10.85546875" style="127" customWidth="1"/>
    <col min="13346" max="13346" width="1.42578125" style="127" customWidth="1"/>
    <col min="13347" max="13347" width="10.85546875" style="127" customWidth="1"/>
    <col min="13348" max="13348" width="0.85546875" style="127" customWidth="1"/>
    <col min="13349" max="13349" width="16" style="127" customWidth="1"/>
    <col min="13350" max="13350" width="0.5703125" style="127" customWidth="1"/>
    <col min="13351" max="13351" width="9.42578125" style="127" bestFit="1" customWidth="1"/>
    <col min="13352" max="13352" width="1.140625" style="127" customWidth="1"/>
    <col min="13353" max="13583" width="9.140625" style="127"/>
    <col min="13584" max="13584" width="2.140625" style="127" customWidth="1"/>
    <col min="13585" max="13585" width="14" style="127" customWidth="1"/>
    <col min="13586" max="13586" width="0.7109375" style="127" customWidth="1"/>
    <col min="13587" max="13587" width="17.140625" style="127" customWidth="1"/>
    <col min="13588" max="13588" width="1.140625" style="127" customWidth="1"/>
    <col min="13589" max="13589" width="26.5703125" style="127" customWidth="1"/>
    <col min="13590" max="13590" width="1" style="127" customWidth="1"/>
    <col min="13591" max="13591" width="32.85546875" style="127" customWidth="1"/>
    <col min="13592" max="13592" width="1" style="127" customWidth="1"/>
    <col min="13593" max="13593" width="12.7109375" style="127" customWidth="1"/>
    <col min="13594" max="13594" width="1.28515625" style="127" customWidth="1"/>
    <col min="13595" max="13595" width="11.42578125" style="127" customWidth="1"/>
    <col min="13596" max="13596" width="1" style="127" customWidth="1"/>
    <col min="13597" max="13597" width="10.42578125" style="127" customWidth="1"/>
    <col min="13598" max="13598" width="0.85546875" style="127" customWidth="1"/>
    <col min="13599" max="13599" width="14" style="127" customWidth="1"/>
    <col min="13600" max="13600" width="0.85546875" style="127" customWidth="1"/>
    <col min="13601" max="13601" width="10.85546875" style="127" customWidth="1"/>
    <col min="13602" max="13602" width="1.42578125" style="127" customWidth="1"/>
    <col min="13603" max="13603" width="10.85546875" style="127" customWidth="1"/>
    <col min="13604" max="13604" width="0.85546875" style="127" customWidth="1"/>
    <col min="13605" max="13605" width="16" style="127" customWidth="1"/>
    <col min="13606" max="13606" width="0.5703125" style="127" customWidth="1"/>
    <col min="13607" max="13607" width="9.42578125" style="127" bestFit="1" customWidth="1"/>
    <col min="13608" max="13608" width="1.140625" style="127" customWidth="1"/>
    <col min="13609" max="13839" width="9.140625" style="127"/>
    <col min="13840" max="13840" width="2.140625" style="127" customWidth="1"/>
    <col min="13841" max="13841" width="14" style="127" customWidth="1"/>
    <col min="13842" max="13842" width="0.7109375" style="127" customWidth="1"/>
    <col min="13843" max="13843" width="17.140625" style="127" customWidth="1"/>
    <col min="13844" max="13844" width="1.140625" style="127" customWidth="1"/>
    <col min="13845" max="13845" width="26.5703125" style="127" customWidth="1"/>
    <col min="13846" max="13846" width="1" style="127" customWidth="1"/>
    <col min="13847" max="13847" width="32.85546875" style="127" customWidth="1"/>
    <col min="13848" max="13848" width="1" style="127" customWidth="1"/>
    <col min="13849" max="13849" width="12.7109375" style="127" customWidth="1"/>
    <col min="13850" max="13850" width="1.28515625" style="127" customWidth="1"/>
    <col min="13851" max="13851" width="11.42578125" style="127" customWidth="1"/>
    <col min="13852" max="13852" width="1" style="127" customWidth="1"/>
    <col min="13853" max="13853" width="10.42578125" style="127" customWidth="1"/>
    <col min="13854" max="13854" width="0.85546875" style="127" customWidth="1"/>
    <col min="13855" max="13855" width="14" style="127" customWidth="1"/>
    <col min="13856" max="13856" width="0.85546875" style="127" customWidth="1"/>
    <col min="13857" max="13857" width="10.85546875" style="127" customWidth="1"/>
    <col min="13858" max="13858" width="1.42578125" style="127" customWidth="1"/>
    <col min="13859" max="13859" width="10.85546875" style="127" customWidth="1"/>
    <col min="13860" max="13860" width="0.85546875" style="127" customWidth="1"/>
    <col min="13861" max="13861" width="16" style="127" customWidth="1"/>
    <col min="13862" max="13862" width="0.5703125" style="127" customWidth="1"/>
    <col min="13863" max="13863" width="9.42578125" style="127" bestFit="1" customWidth="1"/>
    <col min="13864" max="13864" width="1.140625" style="127" customWidth="1"/>
    <col min="13865" max="14095" width="9.140625" style="127"/>
    <col min="14096" max="14096" width="2.140625" style="127" customWidth="1"/>
    <col min="14097" max="14097" width="14" style="127" customWidth="1"/>
    <col min="14098" max="14098" width="0.7109375" style="127" customWidth="1"/>
    <col min="14099" max="14099" width="17.140625" style="127" customWidth="1"/>
    <col min="14100" max="14100" width="1.140625" style="127" customWidth="1"/>
    <col min="14101" max="14101" width="26.5703125" style="127" customWidth="1"/>
    <col min="14102" max="14102" width="1" style="127" customWidth="1"/>
    <col min="14103" max="14103" width="32.85546875" style="127" customWidth="1"/>
    <col min="14104" max="14104" width="1" style="127" customWidth="1"/>
    <col min="14105" max="14105" width="12.7109375" style="127" customWidth="1"/>
    <col min="14106" max="14106" width="1.28515625" style="127" customWidth="1"/>
    <col min="14107" max="14107" width="11.42578125" style="127" customWidth="1"/>
    <col min="14108" max="14108" width="1" style="127" customWidth="1"/>
    <col min="14109" max="14109" width="10.42578125" style="127" customWidth="1"/>
    <col min="14110" max="14110" width="0.85546875" style="127" customWidth="1"/>
    <col min="14111" max="14111" width="14" style="127" customWidth="1"/>
    <col min="14112" max="14112" width="0.85546875" style="127" customWidth="1"/>
    <col min="14113" max="14113" width="10.85546875" style="127" customWidth="1"/>
    <col min="14114" max="14114" width="1.42578125" style="127" customWidth="1"/>
    <col min="14115" max="14115" width="10.85546875" style="127" customWidth="1"/>
    <col min="14116" max="14116" width="0.85546875" style="127" customWidth="1"/>
    <col min="14117" max="14117" width="16" style="127" customWidth="1"/>
    <col min="14118" max="14118" width="0.5703125" style="127" customWidth="1"/>
    <col min="14119" max="14119" width="9.42578125" style="127" bestFit="1" customWidth="1"/>
    <col min="14120" max="14120" width="1.140625" style="127" customWidth="1"/>
    <col min="14121" max="14351" width="9.140625" style="127"/>
    <col min="14352" max="14352" width="2.140625" style="127" customWidth="1"/>
    <col min="14353" max="14353" width="14" style="127" customWidth="1"/>
    <col min="14354" max="14354" width="0.7109375" style="127" customWidth="1"/>
    <col min="14355" max="14355" width="17.140625" style="127" customWidth="1"/>
    <col min="14356" max="14356" width="1.140625" style="127" customWidth="1"/>
    <col min="14357" max="14357" width="26.5703125" style="127" customWidth="1"/>
    <col min="14358" max="14358" width="1" style="127" customWidth="1"/>
    <col min="14359" max="14359" width="32.85546875" style="127" customWidth="1"/>
    <col min="14360" max="14360" width="1" style="127" customWidth="1"/>
    <col min="14361" max="14361" width="12.7109375" style="127" customWidth="1"/>
    <col min="14362" max="14362" width="1.28515625" style="127" customWidth="1"/>
    <col min="14363" max="14363" width="11.42578125" style="127" customWidth="1"/>
    <col min="14364" max="14364" width="1" style="127" customWidth="1"/>
    <col min="14365" max="14365" width="10.42578125" style="127" customWidth="1"/>
    <col min="14366" max="14366" width="0.85546875" style="127" customWidth="1"/>
    <col min="14367" max="14367" width="14" style="127" customWidth="1"/>
    <col min="14368" max="14368" width="0.85546875" style="127" customWidth="1"/>
    <col min="14369" max="14369" width="10.85546875" style="127" customWidth="1"/>
    <col min="14370" max="14370" width="1.42578125" style="127" customWidth="1"/>
    <col min="14371" max="14371" width="10.85546875" style="127" customWidth="1"/>
    <col min="14372" max="14372" width="0.85546875" style="127" customWidth="1"/>
    <col min="14373" max="14373" width="16" style="127" customWidth="1"/>
    <col min="14374" max="14374" width="0.5703125" style="127" customWidth="1"/>
    <col min="14375" max="14375" width="9.42578125" style="127" bestFit="1" customWidth="1"/>
    <col min="14376" max="14376" width="1.140625" style="127" customWidth="1"/>
    <col min="14377" max="14607" width="9.140625" style="127"/>
    <col min="14608" max="14608" width="2.140625" style="127" customWidth="1"/>
    <col min="14609" max="14609" width="14" style="127" customWidth="1"/>
    <col min="14610" max="14610" width="0.7109375" style="127" customWidth="1"/>
    <col min="14611" max="14611" width="17.140625" style="127" customWidth="1"/>
    <col min="14612" max="14612" width="1.140625" style="127" customWidth="1"/>
    <col min="14613" max="14613" width="26.5703125" style="127" customWidth="1"/>
    <col min="14614" max="14614" width="1" style="127" customWidth="1"/>
    <col min="14615" max="14615" width="32.85546875" style="127" customWidth="1"/>
    <col min="14616" max="14616" width="1" style="127" customWidth="1"/>
    <col min="14617" max="14617" width="12.7109375" style="127" customWidth="1"/>
    <col min="14618" max="14618" width="1.28515625" style="127" customWidth="1"/>
    <col min="14619" max="14619" width="11.42578125" style="127" customWidth="1"/>
    <col min="14620" max="14620" width="1" style="127" customWidth="1"/>
    <col min="14621" max="14621" width="10.42578125" style="127" customWidth="1"/>
    <col min="14622" max="14622" width="0.85546875" style="127" customWidth="1"/>
    <col min="14623" max="14623" width="14" style="127" customWidth="1"/>
    <col min="14624" max="14624" width="0.85546875" style="127" customWidth="1"/>
    <col min="14625" max="14625" width="10.85546875" style="127" customWidth="1"/>
    <col min="14626" max="14626" width="1.42578125" style="127" customWidth="1"/>
    <col min="14627" max="14627" width="10.85546875" style="127" customWidth="1"/>
    <col min="14628" max="14628" width="0.85546875" style="127" customWidth="1"/>
    <col min="14629" max="14629" width="16" style="127" customWidth="1"/>
    <col min="14630" max="14630" width="0.5703125" style="127" customWidth="1"/>
    <col min="14631" max="14631" width="9.42578125" style="127" bestFit="1" customWidth="1"/>
    <col min="14632" max="14632" width="1.140625" style="127" customWidth="1"/>
    <col min="14633" max="14863" width="9.140625" style="127"/>
    <col min="14864" max="14864" width="2.140625" style="127" customWidth="1"/>
    <col min="14865" max="14865" width="14" style="127" customWidth="1"/>
    <col min="14866" max="14866" width="0.7109375" style="127" customWidth="1"/>
    <col min="14867" max="14867" width="17.140625" style="127" customWidth="1"/>
    <col min="14868" max="14868" width="1.140625" style="127" customWidth="1"/>
    <col min="14869" max="14869" width="26.5703125" style="127" customWidth="1"/>
    <col min="14870" max="14870" width="1" style="127" customWidth="1"/>
    <col min="14871" max="14871" width="32.85546875" style="127" customWidth="1"/>
    <col min="14872" max="14872" width="1" style="127" customWidth="1"/>
    <col min="14873" max="14873" width="12.7109375" style="127" customWidth="1"/>
    <col min="14874" max="14874" width="1.28515625" style="127" customWidth="1"/>
    <col min="14875" max="14875" width="11.42578125" style="127" customWidth="1"/>
    <col min="14876" max="14876" width="1" style="127" customWidth="1"/>
    <col min="14877" max="14877" width="10.42578125" style="127" customWidth="1"/>
    <col min="14878" max="14878" width="0.85546875" style="127" customWidth="1"/>
    <col min="14879" max="14879" width="14" style="127" customWidth="1"/>
    <col min="14880" max="14880" width="0.85546875" style="127" customWidth="1"/>
    <col min="14881" max="14881" width="10.85546875" style="127" customWidth="1"/>
    <col min="14882" max="14882" width="1.42578125" style="127" customWidth="1"/>
    <col min="14883" max="14883" width="10.85546875" style="127" customWidth="1"/>
    <col min="14884" max="14884" width="0.85546875" style="127" customWidth="1"/>
    <col min="14885" max="14885" width="16" style="127" customWidth="1"/>
    <col min="14886" max="14886" width="0.5703125" style="127" customWidth="1"/>
    <col min="14887" max="14887" width="9.42578125" style="127" bestFit="1" customWidth="1"/>
    <col min="14888" max="14888" width="1.140625" style="127" customWidth="1"/>
    <col min="14889" max="15119" width="9.140625" style="127"/>
    <col min="15120" max="15120" width="2.140625" style="127" customWidth="1"/>
    <col min="15121" max="15121" width="14" style="127" customWidth="1"/>
    <col min="15122" max="15122" width="0.7109375" style="127" customWidth="1"/>
    <col min="15123" max="15123" width="17.140625" style="127" customWidth="1"/>
    <col min="15124" max="15124" width="1.140625" style="127" customWidth="1"/>
    <col min="15125" max="15125" width="26.5703125" style="127" customWidth="1"/>
    <col min="15126" max="15126" width="1" style="127" customWidth="1"/>
    <col min="15127" max="15127" width="32.85546875" style="127" customWidth="1"/>
    <col min="15128" max="15128" width="1" style="127" customWidth="1"/>
    <col min="15129" max="15129" width="12.7109375" style="127" customWidth="1"/>
    <col min="15130" max="15130" width="1.28515625" style="127" customWidth="1"/>
    <col min="15131" max="15131" width="11.42578125" style="127" customWidth="1"/>
    <col min="15132" max="15132" width="1" style="127" customWidth="1"/>
    <col min="15133" max="15133" width="10.42578125" style="127" customWidth="1"/>
    <col min="15134" max="15134" width="0.85546875" style="127" customWidth="1"/>
    <col min="15135" max="15135" width="14" style="127" customWidth="1"/>
    <col min="15136" max="15136" width="0.85546875" style="127" customWidth="1"/>
    <col min="15137" max="15137" width="10.85546875" style="127" customWidth="1"/>
    <col min="15138" max="15138" width="1.42578125" style="127" customWidth="1"/>
    <col min="15139" max="15139" width="10.85546875" style="127" customWidth="1"/>
    <col min="15140" max="15140" width="0.85546875" style="127" customWidth="1"/>
    <col min="15141" max="15141" width="16" style="127" customWidth="1"/>
    <col min="15142" max="15142" width="0.5703125" style="127" customWidth="1"/>
    <col min="15143" max="15143" width="9.42578125" style="127" bestFit="1" customWidth="1"/>
    <col min="15144" max="15144" width="1.140625" style="127" customWidth="1"/>
    <col min="15145" max="15375" width="9.140625" style="127"/>
    <col min="15376" max="15376" width="2.140625" style="127" customWidth="1"/>
    <col min="15377" max="15377" width="14" style="127" customWidth="1"/>
    <col min="15378" max="15378" width="0.7109375" style="127" customWidth="1"/>
    <col min="15379" max="15379" width="17.140625" style="127" customWidth="1"/>
    <col min="15380" max="15380" width="1.140625" style="127" customWidth="1"/>
    <col min="15381" max="15381" width="26.5703125" style="127" customWidth="1"/>
    <col min="15382" max="15382" width="1" style="127" customWidth="1"/>
    <col min="15383" max="15383" width="32.85546875" style="127" customWidth="1"/>
    <col min="15384" max="15384" width="1" style="127" customWidth="1"/>
    <col min="15385" max="15385" width="12.7109375" style="127" customWidth="1"/>
    <col min="15386" max="15386" width="1.28515625" style="127" customWidth="1"/>
    <col min="15387" max="15387" width="11.42578125" style="127" customWidth="1"/>
    <col min="15388" max="15388" width="1" style="127" customWidth="1"/>
    <col min="15389" max="15389" width="10.42578125" style="127" customWidth="1"/>
    <col min="15390" max="15390" width="0.85546875" style="127" customWidth="1"/>
    <col min="15391" max="15391" width="14" style="127" customWidth="1"/>
    <col min="15392" max="15392" width="0.85546875" style="127" customWidth="1"/>
    <col min="15393" max="15393" width="10.85546875" style="127" customWidth="1"/>
    <col min="15394" max="15394" width="1.42578125" style="127" customWidth="1"/>
    <col min="15395" max="15395" width="10.85546875" style="127" customWidth="1"/>
    <col min="15396" max="15396" width="0.85546875" style="127" customWidth="1"/>
    <col min="15397" max="15397" width="16" style="127" customWidth="1"/>
    <col min="15398" max="15398" width="0.5703125" style="127" customWidth="1"/>
    <col min="15399" max="15399" width="9.42578125" style="127" bestFit="1" customWidth="1"/>
    <col min="15400" max="15400" width="1.140625" style="127" customWidth="1"/>
    <col min="15401" max="15631" width="9.140625" style="127"/>
    <col min="15632" max="15632" width="2.140625" style="127" customWidth="1"/>
    <col min="15633" max="15633" width="14" style="127" customWidth="1"/>
    <col min="15634" max="15634" width="0.7109375" style="127" customWidth="1"/>
    <col min="15635" max="15635" width="17.140625" style="127" customWidth="1"/>
    <col min="15636" max="15636" width="1.140625" style="127" customWidth="1"/>
    <col min="15637" max="15637" width="26.5703125" style="127" customWidth="1"/>
    <col min="15638" max="15638" width="1" style="127" customWidth="1"/>
    <col min="15639" max="15639" width="32.85546875" style="127" customWidth="1"/>
    <col min="15640" max="15640" width="1" style="127" customWidth="1"/>
    <col min="15641" max="15641" width="12.7109375" style="127" customWidth="1"/>
    <col min="15642" max="15642" width="1.28515625" style="127" customWidth="1"/>
    <col min="15643" max="15643" width="11.42578125" style="127" customWidth="1"/>
    <col min="15644" max="15644" width="1" style="127" customWidth="1"/>
    <col min="15645" max="15645" width="10.42578125" style="127" customWidth="1"/>
    <col min="15646" max="15646" width="0.85546875" style="127" customWidth="1"/>
    <col min="15647" max="15647" width="14" style="127" customWidth="1"/>
    <col min="15648" max="15648" width="0.85546875" style="127" customWidth="1"/>
    <col min="15649" max="15649" width="10.85546875" style="127" customWidth="1"/>
    <col min="15650" max="15650" width="1.42578125" style="127" customWidth="1"/>
    <col min="15651" max="15651" width="10.85546875" style="127" customWidth="1"/>
    <col min="15652" max="15652" width="0.85546875" style="127" customWidth="1"/>
    <col min="15653" max="15653" width="16" style="127" customWidth="1"/>
    <col min="15654" max="15654" width="0.5703125" style="127" customWidth="1"/>
    <col min="15655" max="15655" width="9.42578125" style="127" bestFit="1" customWidth="1"/>
    <col min="15656" max="15656" width="1.140625" style="127" customWidth="1"/>
    <col min="15657" max="15887" width="9.140625" style="127"/>
    <col min="15888" max="15888" width="2.140625" style="127" customWidth="1"/>
    <col min="15889" max="15889" width="14" style="127" customWidth="1"/>
    <col min="15890" max="15890" width="0.7109375" style="127" customWidth="1"/>
    <col min="15891" max="15891" width="17.140625" style="127" customWidth="1"/>
    <col min="15892" max="15892" width="1.140625" style="127" customWidth="1"/>
    <col min="15893" max="15893" width="26.5703125" style="127" customWidth="1"/>
    <col min="15894" max="15894" width="1" style="127" customWidth="1"/>
    <col min="15895" max="15895" width="32.85546875" style="127" customWidth="1"/>
    <col min="15896" max="15896" width="1" style="127" customWidth="1"/>
    <col min="15897" max="15897" width="12.7109375" style="127" customWidth="1"/>
    <col min="15898" max="15898" width="1.28515625" style="127" customWidth="1"/>
    <col min="15899" max="15899" width="11.42578125" style="127" customWidth="1"/>
    <col min="15900" max="15900" width="1" style="127" customWidth="1"/>
    <col min="15901" max="15901" width="10.42578125" style="127" customWidth="1"/>
    <col min="15902" max="15902" width="0.85546875" style="127" customWidth="1"/>
    <col min="15903" max="15903" width="14" style="127" customWidth="1"/>
    <col min="15904" max="15904" width="0.85546875" style="127" customWidth="1"/>
    <col min="15905" max="15905" width="10.85546875" style="127" customWidth="1"/>
    <col min="15906" max="15906" width="1.42578125" style="127" customWidth="1"/>
    <col min="15907" max="15907" width="10.85546875" style="127" customWidth="1"/>
    <col min="15908" max="15908" width="0.85546875" style="127" customWidth="1"/>
    <col min="15909" max="15909" width="16" style="127" customWidth="1"/>
    <col min="15910" max="15910" width="0.5703125" style="127" customWidth="1"/>
    <col min="15911" max="15911" width="9.42578125" style="127" bestFit="1" customWidth="1"/>
    <col min="15912" max="15912" width="1.140625" style="127" customWidth="1"/>
    <col min="15913" max="16143" width="9.140625" style="127"/>
    <col min="16144" max="16144" width="2.140625" style="127" customWidth="1"/>
    <col min="16145" max="16145" width="14" style="127" customWidth="1"/>
    <col min="16146" max="16146" width="0.7109375" style="127" customWidth="1"/>
    <col min="16147" max="16147" width="17.140625" style="127" customWidth="1"/>
    <col min="16148" max="16148" width="1.140625" style="127" customWidth="1"/>
    <col min="16149" max="16149" width="26.5703125" style="127" customWidth="1"/>
    <col min="16150" max="16150" width="1" style="127" customWidth="1"/>
    <col min="16151" max="16151" width="32.85546875" style="127" customWidth="1"/>
    <col min="16152" max="16152" width="1" style="127" customWidth="1"/>
    <col min="16153" max="16153" width="12.7109375" style="127" customWidth="1"/>
    <col min="16154" max="16154" width="1.28515625" style="127" customWidth="1"/>
    <col min="16155" max="16155" width="11.42578125" style="127" customWidth="1"/>
    <col min="16156" max="16156" width="1" style="127" customWidth="1"/>
    <col min="16157" max="16157" width="10.42578125" style="127" customWidth="1"/>
    <col min="16158" max="16158" width="0.85546875" style="127" customWidth="1"/>
    <col min="16159" max="16159" width="14" style="127" customWidth="1"/>
    <col min="16160" max="16160" width="0.85546875" style="127" customWidth="1"/>
    <col min="16161" max="16161" width="10.85546875" style="127" customWidth="1"/>
    <col min="16162" max="16162" width="1.42578125" style="127" customWidth="1"/>
    <col min="16163" max="16163" width="10.85546875" style="127" customWidth="1"/>
    <col min="16164" max="16164" width="0.85546875" style="127" customWidth="1"/>
    <col min="16165" max="16165" width="16" style="127" customWidth="1"/>
    <col min="16166" max="16166" width="0.5703125" style="127" customWidth="1"/>
    <col min="16167" max="16167" width="9.42578125" style="127" bestFit="1" customWidth="1"/>
    <col min="16168" max="16168" width="1.140625" style="127" customWidth="1"/>
    <col min="16169" max="16384" width="9.140625" style="127"/>
  </cols>
  <sheetData>
    <row r="1" spans="1:61" s="59" customFormat="1" ht="51" x14ac:dyDescent="0.2">
      <c r="A1" s="221" t="s">
        <v>9</v>
      </c>
      <c r="B1" s="217"/>
      <c r="C1" s="222" t="s">
        <v>39</v>
      </c>
      <c r="D1" s="217"/>
      <c r="E1" s="222" t="s">
        <v>0</v>
      </c>
      <c r="F1" s="217"/>
      <c r="G1" s="222" t="s">
        <v>1</v>
      </c>
      <c r="H1" s="217"/>
      <c r="I1" s="230" t="s">
        <v>4</v>
      </c>
      <c r="J1" s="217"/>
      <c r="K1" s="222" t="s">
        <v>2</v>
      </c>
      <c r="L1" s="217"/>
      <c r="M1" s="222" t="s">
        <v>7</v>
      </c>
      <c r="N1" s="217"/>
      <c r="O1" s="158" t="s">
        <v>8</v>
      </c>
      <c r="P1" s="252" t="s">
        <v>23</v>
      </c>
      <c r="Q1" s="159" t="s">
        <v>5</v>
      </c>
      <c r="R1" s="158"/>
      <c r="S1" s="160" t="s">
        <v>6</v>
      </c>
      <c r="T1" s="158"/>
      <c r="U1" s="159" t="s">
        <v>500</v>
      </c>
      <c r="V1" s="158"/>
      <c r="W1" s="160" t="s">
        <v>501</v>
      </c>
      <c r="X1" s="158"/>
      <c r="Y1" s="159" t="s">
        <v>613</v>
      </c>
      <c r="Z1" s="158"/>
      <c r="AA1" s="160" t="s">
        <v>614</v>
      </c>
      <c r="AB1" s="158"/>
      <c r="AC1" s="159" t="s">
        <v>615</v>
      </c>
      <c r="AD1" s="158"/>
      <c r="AE1" s="160" t="s">
        <v>616</v>
      </c>
      <c r="AF1" s="159" t="s">
        <v>617</v>
      </c>
      <c r="AG1" s="158"/>
      <c r="AH1" s="160" t="s">
        <v>618</v>
      </c>
      <c r="AI1" s="161"/>
      <c r="AJ1" s="161"/>
      <c r="AK1" s="161" t="s">
        <v>24</v>
      </c>
      <c r="AL1" s="161"/>
      <c r="AM1" s="239" t="s">
        <v>3</v>
      </c>
      <c r="AN1" s="281"/>
      <c r="AO1" s="242" t="s">
        <v>698</v>
      </c>
      <c r="AP1" s="217"/>
      <c r="AQ1" s="160" t="s">
        <v>699</v>
      </c>
      <c r="AR1" s="236" t="s">
        <v>700</v>
      </c>
      <c r="AS1" s="217"/>
      <c r="AT1" s="287" t="s">
        <v>701</v>
      </c>
      <c r="AU1" s="284"/>
      <c r="AV1" s="432" t="s">
        <v>772</v>
      </c>
      <c r="AW1" s="287" t="s">
        <v>773</v>
      </c>
      <c r="AX1" s="58"/>
      <c r="AY1" s="433" t="s">
        <v>774</v>
      </c>
      <c r="AZ1" s="160" t="s">
        <v>775</v>
      </c>
      <c r="BA1" s="283" t="s">
        <v>706</v>
      </c>
      <c r="BB1" s="281"/>
      <c r="BC1" s="281"/>
      <c r="BD1" s="281"/>
      <c r="BE1" s="281"/>
      <c r="BF1" s="281"/>
      <c r="BG1" s="281"/>
      <c r="BH1" s="281"/>
      <c r="BI1" s="281"/>
    </row>
    <row r="2" spans="1:61" ht="55.15" customHeight="1" x14ac:dyDescent="0.2">
      <c r="A2" s="288" t="s">
        <v>10</v>
      </c>
      <c r="C2" s="223" t="s">
        <v>298</v>
      </c>
      <c r="E2" s="225" t="s">
        <v>299</v>
      </c>
      <c r="F2" s="227"/>
      <c r="G2" s="225" t="s">
        <v>300</v>
      </c>
      <c r="H2" s="227"/>
      <c r="I2" s="223" t="s">
        <v>301</v>
      </c>
      <c r="J2" s="235"/>
      <c r="K2" s="223" t="s">
        <v>212</v>
      </c>
      <c r="L2" s="235"/>
      <c r="M2" s="223" t="s">
        <v>55</v>
      </c>
      <c r="N2" s="235"/>
      <c r="O2" s="145">
        <v>2007</v>
      </c>
      <c r="P2" s="144" t="s">
        <v>303</v>
      </c>
      <c r="Q2" s="146" t="s">
        <v>302</v>
      </c>
      <c r="R2" s="146"/>
      <c r="S2" s="147">
        <v>1548318</v>
      </c>
      <c r="T2" s="146"/>
      <c r="U2" s="145" t="s">
        <v>302</v>
      </c>
      <c r="V2" s="146"/>
      <c r="W2" s="147">
        <v>1654792</v>
      </c>
      <c r="X2" s="146"/>
      <c r="Y2" s="145" t="s">
        <v>302</v>
      </c>
      <c r="Z2" s="146"/>
      <c r="AA2" s="147">
        <v>1672377</v>
      </c>
      <c r="AB2" s="146"/>
      <c r="AC2" s="145" t="s">
        <v>302</v>
      </c>
      <c r="AD2" s="146"/>
      <c r="AE2" s="147">
        <v>1962389</v>
      </c>
      <c r="AF2" s="145" t="s">
        <v>302</v>
      </c>
      <c r="AG2" s="146"/>
      <c r="AH2" s="147">
        <v>1907978</v>
      </c>
      <c r="AK2" s="127" t="s">
        <v>304</v>
      </c>
      <c r="AO2" s="88" t="s">
        <v>302</v>
      </c>
      <c r="AP2" s="235"/>
      <c r="AQ2" s="147">
        <v>1787473.56</v>
      </c>
      <c r="AR2" s="223" t="s">
        <v>302</v>
      </c>
      <c r="AS2" s="235"/>
      <c r="AT2" s="285">
        <v>1789894.53</v>
      </c>
      <c r="AU2" s="286"/>
      <c r="AV2" s="88" t="s">
        <v>302</v>
      </c>
      <c r="AW2" s="285">
        <v>1845640</v>
      </c>
      <c r="AX2" s="286"/>
      <c r="AY2" s="88" t="s">
        <v>302</v>
      </c>
      <c r="AZ2" s="147">
        <v>1890705</v>
      </c>
      <c r="BA2" s="207" t="s">
        <v>713</v>
      </c>
    </row>
    <row r="3" spans="1:61" ht="55.15" customHeight="1" x14ac:dyDescent="0.2">
      <c r="A3" s="289" t="s">
        <v>10</v>
      </c>
      <c r="B3" s="126"/>
      <c r="C3" s="223" t="s">
        <v>298</v>
      </c>
      <c r="D3" s="126"/>
      <c r="E3" s="225" t="s">
        <v>305</v>
      </c>
      <c r="F3" s="227"/>
      <c r="G3" s="225" t="s">
        <v>306</v>
      </c>
      <c r="H3" s="227"/>
      <c r="I3" s="231">
        <v>50</v>
      </c>
      <c r="J3" s="235"/>
      <c r="K3" s="223" t="s">
        <v>307</v>
      </c>
      <c r="L3" s="235"/>
      <c r="M3" s="223" t="s">
        <v>55</v>
      </c>
      <c r="N3" s="235"/>
      <c r="O3" s="145">
        <v>2010</v>
      </c>
      <c r="P3" s="144" t="s">
        <v>308</v>
      </c>
      <c r="Q3" s="146" t="s">
        <v>302</v>
      </c>
      <c r="R3" s="146"/>
      <c r="S3" s="147">
        <v>45950</v>
      </c>
      <c r="T3" s="145"/>
      <c r="U3" s="145" t="s">
        <v>302</v>
      </c>
      <c r="V3" s="146"/>
      <c r="W3" s="147">
        <v>674906</v>
      </c>
      <c r="X3" s="146"/>
      <c r="Y3" s="145" t="s">
        <v>302</v>
      </c>
      <c r="Z3" s="146"/>
      <c r="AA3" s="147">
        <v>145342</v>
      </c>
      <c r="AB3" s="145"/>
      <c r="AC3" s="145" t="s">
        <v>302</v>
      </c>
      <c r="AD3" s="146"/>
      <c r="AE3" s="147">
        <v>99293</v>
      </c>
      <c r="AF3" s="145" t="s">
        <v>302</v>
      </c>
      <c r="AG3" s="146"/>
      <c r="AH3" s="147">
        <v>195898</v>
      </c>
      <c r="AK3" s="127" t="s">
        <v>309</v>
      </c>
      <c r="AM3" s="127" t="s">
        <v>566</v>
      </c>
      <c r="AO3" s="88" t="s">
        <v>302</v>
      </c>
      <c r="AP3" s="235"/>
      <c r="AQ3" s="147">
        <v>269313</v>
      </c>
      <c r="AR3" s="223" t="s">
        <v>302</v>
      </c>
      <c r="AS3" s="235"/>
      <c r="AT3" s="285">
        <v>311525</v>
      </c>
      <c r="AU3" s="286"/>
      <c r="AV3" s="88" t="s">
        <v>302</v>
      </c>
      <c r="AW3" s="285">
        <v>692583</v>
      </c>
      <c r="AX3" s="286"/>
      <c r="AY3" s="88" t="s">
        <v>302</v>
      </c>
      <c r="AZ3" s="147">
        <v>575698</v>
      </c>
      <c r="BA3" s="207" t="s">
        <v>707</v>
      </c>
    </row>
    <row r="4" spans="1:61" ht="55.15" customHeight="1" x14ac:dyDescent="0.2">
      <c r="A4" s="289" t="s">
        <v>10</v>
      </c>
      <c r="C4" s="223" t="s">
        <v>298</v>
      </c>
      <c r="E4" s="225" t="s">
        <v>311</v>
      </c>
      <c r="F4" s="227"/>
      <c r="G4" s="225" t="s">
        <v>306</v>
      </c>
      <c r="H4" s="227"/>
      <c r="I4" s="231">
        <v>25</v>
      </c>
      <c r="J4" s="235"/>
      <c r="K4" s="223" t="s">
        <v>307</v>
      </c>
      <c r="L4" s="235"/>
      <c r="M4" s="223" t="s">
        <v>55</v>
      </c>
      <c r="N4" s="235"/>
      <c r="O4" s="145">
        <v>2010</v>
      </c>
      <c r="P4" s="144" t="s">
        <v>308</v>
      </c>
      <c r="Q4" s="146" t="s">
        <v>302</v>
      </c>
      <c r="R4" s="146"/>
      <c r="S4" s="147" t="s">
        <v>312</v>
      </c>
      <c r="T4" s="145"/>
      <c r="U4" s="145" t="s">
        <v>302</v>
      </c>
      <c r="V4" s="146"/>
      <c r="W4" s="147" t="s">
        <v>567</v>
      </c>
      <c r="X4" s="146"/>
      <c r="Y4" s="145" t="s">
        <v>302</v>
      </c>
      <c r="Z4" s="146"/>
      <c r="AA4" s="147" t="s">
        <v>312</v>
      </c>
      <c r="AB4" s="145"/>
      <c r="AC4" s="145" t="s">
        <v>302</v>
      </c>
      <c r="AD4" s="146"/>
      <c r="AE4" s="147" t="s">
        <v>312</v>
      </c>
      <c r="AF4" s="145" t="s">
        <v>302</v>
      </c>
      <c r="AG4" s="146"/>
      <c r="AH4" s="147" t="s">
        <v>312</v>
      </c>
      <c r="AK4" s="127" t="s">
        <v>309</v>
      </c>
      <c r="AM4" s="127" t="s">
        <v>310</v>
      </c>
      <c r="AO4" s="88" t="s">
        <v>302</v>
      </c>
      <c r="AP4" s="235"/>
      <c r="AQ4" s="147" t="s">
        <v>312</v>
      </c>
      <c r="AR4" s="223" t="s">
        <v>302</v>
      </c>
      <c r="AS4" s="235"/>
      <c r="AT4" s="285" t="s">
        <v>312</v>
      </c>
      <c r="AU4" s="286"/>
      <c r="AV4" s="88" t="s">
        <v>302</v>
      </c>
      <c r="AW4" s="285" t="s">
        <v>312</v>
      </c>
      <c r="AX4" s="286"/>
      <c r="AY4" s="88" t="s">
        <v>302</v>
      </c>
      <c r="AZ4" s="147" t="s">
        <v>312</v>
      </c>
      <c r="BA4" s="207" t="s">
        <v>707</v>
      </c>
    </row>
    <row r="5" spans="1:61" ht="55.15" customHeight="1" x14ac:dyDescent="0.2">
      <c r="A5" s="289" t="s">
        <v>10</v>
      </c>
      <c r="B5" s="126"/>
      <c r="C5" s="223" t="s">
        <v>298</v>
      </c>
      <c r="D5" s="126"/>
      <c r="E5" s="225" t="s">
        <v>313</v>
      </c>
      <c r="F5" s="227"/>
      <c r="G5" s="225" t="s">
        <v>306</v>
      </c>
      <c r="H5" s="227"/>
      <c r="I5" s="231"/>
      <c r="J5" s="235"/>
      <c r="K5" s="223" t="s">
        <v>307</v>
      </c>
      <c r="L5" s="235"/>
      <c r="M5" s="223" t="s">
        <v>55</v>
      </c>
      <c r="N5" s="235"/>
      <c r="O5" s="145">
        <v>2010</v>
      </c>
      <c r="P5" s="144" t="s">
        <v>308</v>
      </c>
      <c r="Q5" s="146" t="s">
        <v>302</v>
      </c>
      <c r="R5" s="146"/>
      <c r="S5" s="147" t="s">
        <v>312</v>
      </c>
      <c r="T5" s="145"/>
      <c r="U5" s="145" t="s">
        <v>302</v>
      </c>
      <c r="V5" s="146"/>
      <c r="W5" s="147" t="s">
        <v>567</v>
      </c>
      <c r="X5" s="146"/>
      <c r="Y5" s="145" t="s">
        <v>302</v>
      </c>
      <c r="Z5" s="146"/>
      <c r="AA5" s="147" t="s">
        <v>312</v>
      </c>
      <c r="AB5" s="145"/>
      <c r="AC5" s="145" t="s">
        <v>302</v>
      </c>
      <c r="AD5" s="146"/>
      <c r="AE5" s="147" t="s">
        <v>312</v>
      </c>
      <c r="AF5" s="145" t="s">
        <v>302</v>
      </c>
      <c r="AG5" s="146"/>
      <c r="AH5" s="147" t="s">
        <v>312</v>
      </c>
      <c r="AK5" s="127" t="s">
        <v>309</v>
      </c>
      <c r="AM5" s="127" t="s">
        <v>314</v>
      </c>
      <c r="AO5" s="88" t="s">
        <v>302</v>
      </c>
      <c r="AP5" s="235"/>
      <c r="AQ5" s="147" t="s">
        <v>312</v>
      </c>
      <c r="AR5" s="223" t="s">
        <v>302</v>
      </c>
      <c r="AS5" s="235"/>
      <c r="AT5" s="285" t="s">
        <v>312</v>
      </c>
      <c r="AU5" s="286"/>
      <c r="AV5" s="88" t="s">
        <v>302</v>
      </c>
      <c r="AW5" s="285" t="s">
        <v>312</v>
      </c>
      <c r="AX5" s="286"/>
      <c r="AY5" s="88" t="s">
        <v>302</v>
      </c>
      <c r="AZ5" s="147" t="s">
        <v>312</v>
      </c>
      <c r="BA5" s="207" t="s">
        <v>707</v>
      </c>
    </row>
    <row r="6" spans="1:61" ht="55.15" customHeight="1" x14ac:dyDescent="0.2">
      <c r="A6" s="289" t="s">
        <v>10</v>
      </c>
      <c r="C6" s="223" t="s">
        <v>298</v>
      </c>
      <c r="E6" s="225" t="s">
        <v>315</v>
      </c>
      <c r="F6" s="227"/>
      <c r="G6" s="225" t="s">
        <v>306</v>
      </c>
      <c r="H6" s="227"/>
      <c r="I6" s="231"/>
      <c r="J6" s="235"/>
      <c r="K6" s="223" t="s">
        <v>307</v>
      </c>
      <c r="L6" s="235"/>
      <c r="M6" s="223" t="s">
        <v>55</v>
      </c>
      <c r="N6" s="235"/>
      <c r="O6" s="145">
        <v>2010</v>
      </c>
      <c r="P6" s="144" t="s">
        <v>308</v>
      </c>
      <c r="Q6" s="146" t="s">
        <v>302</v>
      </c>
      <c r="R6" s="146"/>
      <c r="S6" s="147" t="s">
        <v>312</v>
      </c>
      <c r="T6" s="145"/>
      <c r="U6" s="145" t="s">
        <v>302</v>
      </c>
      <c r="V6" s="146"/>
      <c r="W6" s="147" t="s">
        <v>567</v>
      </c>
      <c r="X6" s="146"/>
      <c r="Y6" s="145" t="s">
        <v>302</v>
      </c>
      <c r="Z6" s="146"/>
      <c r="AA6" s="147" t="s">
        <v>312</v>
      </c>
      <c r="AB6" s="145"/>
      <c r="AC6" s="145" t="s">
        <v>302</v>
      </c>
      <c r="AD6" s="146"/>
      <c r="AE6" s="147" t="s">
        <v>312</v>
      </c>
      <c r="AF6" s="145" t="s">
        <v>302</v>
      </c>
      <c r="AG6" s="146"/>
      <c r="AH6" s="147" t="s">
        <v>312</v>
      </c>
      <c r="AK6" s="127" t="s">
        <v>309</v>
      </c>
      <c r="AM6" s="127" t="s">
        <v>314</v>
      </c>
      <c r="AO6" s="88" t="s">
        <v>302</v>
      </c>
      <c r="AP6" s="235"/>
      <c r="AQ6" s="147" t="s">
        <v>312</v>
      </c>
      <c r="AR6" s="223" t="s">
        <v>302</v>
      </c>
      <c r="AS6" s="235"/>
      <c r="AT6" s="285" t="s">
        <v>312</v>
      </c>
      <c r="AU6" s="286"/>
      <c r="AV6" s="88" t="s">
        <v>302</v>
      </c>
      <c r="AW6" s="285" t="s">
        <v>312</v>
      </c>
      <c r="AX6" s="286"/>
      <c r="AY6" s="88" t="s">
        <v>302</v>
      </c>
      <c r="AZ6" s="147" t="s">
        <v>312</v>
      </c>
      <c r="BA6" s="207" t="s">
        <v>707</v>
      </c>
    </row>
    <row r="7" spans="1:61" ht="55.15" customHeight="1" x14ac:dyDescent="0.2">
      <c r="A7" s="289" t="s">
        <v>10</v>
      </c>
      <c r="B7" s="126"/>
      <c r="C7" s="223" t="s">
        <v>298</v>
      </c>
      <c r="D7" s="126"/>
      <c r="E7" s="225" t="s">
        <v>316</v>
      </c>
      <c r="F7" s="227"/>
      <c r="G7" s="225" t="s">
        <v>317</v>
      </c>
      <c r="H7" s="227"/>
      <c r="I7" s="231">
        <v>100</v>
      </c>
      <c r="J7" s="235"/>
      <c r="K7" s="223" t="s">
        <v>649</v>
      </c>
      <c r="L7" s="235"/>
      <c r="M7" s="223" t="s">
        <v>55</v>
      </c>
      <c r="N7" s="235"/>
      <c r="O7" s="145">
        <v>1984</v>
      </c>
      <c r="P7" s="144" t="s">
        <v>318</v>
      </c>
      <c r="Q7" s="146" t="s">
        <v>302</v>
      </c>
      <c r="R7" s="146"/>
      <c r="S7" s="147">
        <v>115995</v>
      </c>
      <c r="T7" s="145"/>
      <c r="U7" s="145" t="s">
        <v>302</v>
      </c>
      <c r="V7" s="146"/>
      <c r="W7" s="147">
        <v>157320</v>
      </c>
      <c r="X7" s="146"/>
      <c r="Y7" s="145" t="s">
        <v>302</v>
      </c>
      <c r="Z7" s="146"/>
      <c r="AA7" s="147">
        <v>113635</v>
      </c>
      <c r="AB7" s="145"/>
      <c r="AC7" s="145" t="s">
        <v>302</v>
      </c>
      <c r="AD7" s="146"/>
      <c r="AE7" s="147">
        <v>117545</v>
      </c>
      <c r="AF7" s="145" t="s">
        <v>302</v>
      </c>
      <c r="AG7" s="146"/>
      <c r="AH7" s="147">
        <v>119565</v>
      </c>
      <c r="AK7" s="127" t="s">
        <v>309</v>
      </c>
      <c r="AO7" s="88" t="s">
        <v>302</v>
      </c>
      <c r="AP7" s="235"/>
      <c r="AQ7" s="147">
        <v>136500</v>
      </c>
      <c r="AR7" s="223" t="s">
        <v>302</v>
      </c>
      <c r="AS7" s="235"/>
      <c r="AT7" s="285">
        <v>140935</v>
      </c>
      <c r="AU7" s="286"/>
      <c r="AV7" s="88" t="s">
        <v>302</v>
      </c>
      <c r="AW7" s="285">
        <v>184425</v>
      </c>
      <c r="AX7" s="286"/>
      <c r="AY7" s="88" t="s">
        <v>302</v>
      </c>
      <c r="AZ7" s="147">
        <v>151730</v>
      </c>
      <c r="BA7" s="207" t="s">
        <v>707</v>
      </c>
    </row>
    <row r="8" spans="1:61" ht="55.15" customHeight="1" x14ac:dyDescent="0.2">
      <c r="A8" s="289" t="s">
        <v>10</v>
      </c>
      <c r="C8" s="223" t="s">
        <v>298</v>
      </c>
      <c r="E8" s="225" t="s">
        <v>319</v>
      </c>
      <c r="F8" s="227"/>
      <c r="G8" s="225" t="s">
        <v>320</v>
      </c>
      <c r="H8" s="227"/>
      <c r="I8" s="231">
        <v>10</v>
      </c>
      <c r="J8" s="235"/>
      <c r="K8" s="223" t="s">
        <v>321</v>
      </c>
      <c r="L8" s="235"/>
      <c r="M8" s="223" t="s">
        <v>55</v>
      </c>
      <c r="N8" s="235"/>
      <c r="O8" s="145">
        <v>1989</v>
      </c>
      <c r="P8" s="144" t="s">
        <v>322</v>
      </c>
      <c r="Q8" s="146" t="s">
        <v>302</v>
      </c>
      <c r="R8" s="146"/>
      <c r="S8" s="147" t="s">
        <v>312</v>
      </c>
      <c r="T8" s="145"/>
      <c r="U8" s="145" t="s">
        <v>302</v>
      </c>
      <c r="V8" s="146"/>
      <c r="W8" s="147" t="s">
        <v>567</v>
      </c>
      <c r="X8" s="146"/>
      <c r="Y8" s="145" t="s">
        <v>302</v>
      </c>
      <c r="Z8" s="146"/>
      <c r="AA8" s="147" t="s">
        <v>312</v>
      </c>
      <c r="AB8" s="145"/>
      <c r="AC8" s="145" t="s">
        <v>302</v>
      </c>
      <c r="AD8" s="146"/>
      <c r="AE8" s="147" t="s">
        <v>312</v>
      </c>
      <c r="AF8" s="145" t="s">
        <v>302</v>
      </c>
      <c r="AG8" s="146"/>
      <c r="AH8" s="147" t="s">
        <v>312</v>
      </c>
      <c r="AK8" s="127" t="s">
        <v>309</v>
      </c>
      <c r="AO8" s="88" t="s">
        <v>302</v>
      </c>
      <c r="AP8" s="235"/>
      <c r="AQ8" s="147" t="s">
        <v>312</v>
      </c>
      <c r="AR8" s="223" t="s">
        <v>302</v>
      </c>
      <c r="AS8" s="235"/>
      <c r="AT8" s="285" t="s">
        <v>312</v>
      </c>
      <c r="AU8" s="286"/>
      <c r="AV8" s="88" t="s">
        <v>302</v>
      </c>
      <c r="AW8" s="285" t="s">
        <v>312</v>
      </c>
      <c r="AX8" s="286"/>
      <c r="AY8" s="88" t="s">
        <v>302</v>
      </c>
      <c r="AZ8" s="147" t="s">
        <v>312</v>
      </c>
      <c r="BA8" s="207" t="s">
        <v>707</v>
      </c>
    </row>
    <row r="9" spans="1:61" ht="55.15" customHeight="1" x14ac:dyDescent="0.2">
      <c r="A9" s="289" t="s">
        <v>10</v>
      </c>
      <c r="B9" s="126"/>
      <c r="C9" s="223" t="s">
        <v>298</v>
      </c>
      <c r="D9" s="126"/>
      <c r="E9" s="225" t="s">
        <v>323</v>
      </c>
      <c r="F9" s="227"/>
      <c r="G9" s="225" t="s">
        <v>317</v>
      </c>
      <c r="H9" s="227"/>
      <c r="I9" s="231">
        <v>100</v>
      </c>
      <c r="J9" s="235"/>
      <c r="K9" s="223" t="s">
        <v>324</v>
      </c>
      <c r="L9" s="235"/>
      <c r="M9" s="223" t="s">
        <v>55</v>
      </c>
      <c r="N9" s="235"/>
      <c r="O9" s="145" t="s">
        <v>325</v>
      </c>
      <c r="P9" s="144" t="s">
        <v>326</v>
      </c>
      <c r="Q9" s="146" t="s">
        <v>302</v>
      </c>
      <c r="R9" s="146"/>
      <c r="S9" s="147" t="s">
        <v>312</v>
      </c>
      <c r="T9" s="145"/>
      <c r="U9" s="145" t="s">
        <v>302</v>
      </c>
      <c r="V9" s="146"/>
      <c r="W9" s="147" t="s">
        <v>567</v>
      </c>
      <c r="X9" s="146"/>
      <c r="Y9" s="145" t="s">
        <v>302</v>
      </c>
      <c r="Z9" s="146"/>
      <c r="AA9" s="147" t="s">
        <v>312</v>
      </c>
      <c r="AB9" s="145"/>
      <c r="AC9" s="145" t="s">
        <v>302</v>
      </c>
      <c r="AD9" s="146"/>
      <c r="AE9" s="147" t="s">
        <v>312</v>
      </c>
      <c r="AF9" s="145" t="s">
        <v>302</v>
      </c>
      <c r="AG9" s="146"/>
      <c r="AH9" s="147" t="s">
        <v>312</v>
      </c>
      <c r="AK9" s="127" t="s">
        <v>309</v>
      </c>
      <c r="AO9" s="88" t="s">
        <v>302</v>
      </c>
      <c r="AP9" s="235"/>
      <c r="AQ9" s="147" t="s">
        <v>312</v>
      </c>
      <c r="AR9" s="223" t="s">
        <v>302</v>
      </c>
      <c r="AS9" s="235"/>
      <c r="AT9" s="285" t="s">
        <v>312</v>
      </c>
      <c r="AU9" s="286"/>
      <c r="AV9" s="88" t="s">
        <v>302</v>
      </c>
      <c r="AW9" s="285" t="s">
        <v>312</v>
      </c>
      <c r="AX9" s="286"/>
      <c r="AY9" s="88" t="s">
        <v>302</v>
      </c>
      <c r="AZ9" s="147" t="s">
        <v>312</v>
      </c>
      <c r="BA9" s="207" t="s">
        <v>707</v>
      </c>
    </row>
    <row r="10" spans="1:61" ht="55.15" customHeight="1" x14ac:dyDescent="0.2">
      <c r="A10" s="289" t="s">
        <v>10</v>
      </c>
      <c r="C10" s="223" t="s">
        <v>298</v>
      </c>
      <c r="E10" s="225" t="s">
        <v>327</v>
      </c>
      <c r="F10" s="227"/>
      <c r="G10" s="225" t="s">
        <v>328</v>
      </c>
      <c r="H10" s="227"/>
      <c r="I10" s="231">
        <v>30</v>
      </c>
      <c r="J10" s="235"/>
      <c r="K10" s="223" t="s">
        <v>329</v>
      </c>
      <c r="L10" s="235"/>
      <c r="M10" s="223" t="s">
        <v>55</v>
      </c>
      <c r="N10" s="235"/>
      <c r="O10" s="145" t="s">
        <v>330</v>
      </c>
      <c r="P10" s="144" t="s">
        <v>331</v>
      </c>
      <c r="Q10" s="146" t="s">
        <v>302</v>
      </c>
      <c r="R10" s="146"/>
      <c r="S10" s="147" t="s">
        <v>312</v>
      </c>
      <c r="T10" s="145"/>
      <c r="U10" s="145" t="s">
        <v>302</v>
      </c>
      <c r="V10" s="146"/>
      <c r="W10" s="147" t="s">
        <v>567</v>
      </c>
      <c r="X10" s="146"/>
      <c r="Y10" s="145" t="s">
        <v>302</v>
      </c>
      <c r="Z10" s="146"/>
      <c r="AA10" s="147" t="s">
        <v>312</v>
      </c>
      <c r="AB10" s="145"/>
      <c r="AC10" s="145" t="s">
        <v>302</v>
      </c>
      <c r="AD10" s="146"/>
      <c r="AE10" s="147" t="s">
        <v>312</v>
      </c>
      <c r="AF10" s="145" t="s">
        <v>302</v>
      </c>
      <c r="AG10" s="146"/>
      <c r="AH10" s="147" t="s">
        <v>312</v>
      </c>
      <c r="AK10" s="127" t="s">
        <v>332</v>
      </c>
      <c r="AO10" s="88" t="s">
        <v>302</v>
      </c>
      <c r="AP10" s="235"/>
      <c r="AQ10" s="147" t="s">
        <v>312</v>
      </c>
      <c r="AR10" s="223" t="s">
        <v>302</v>
      </c>
      <c r="AS10" s="235"/>
      <c r="AT10" s="285" t="s">
        <v>312</v>
      </c>
      <c r="AU10" s="286"/>
      <c r="AV10" s="88" t="s">
        <v>302</v>
      </c>
      <c r="AW10" s="285" t="s">
        <v>312</v>
      </c>
      <c r="AX10" s="286"/>
      <c r="AY10" s="88" t="s">
        <v>302</v>
      </c>
      <c r="AZ10" s="147" t="s">
        <v>312</v>
      </c>
      <c r="BA10" s="207" t="s">
        <v>707</v>
      </c>
    </row>
    <row r="11" spans="1:61" ht="55.15" customHeight="1" x14ac:dyDescent="0.2">
      <c r="A11" s="289" t="s">
        <v>10</v>
      </c>
      <c r="B11" s="126"/>
      <c r="C11" s="223" t="s">
        <v>333</v>
      </c>
      <c r="D11" s="126"/>
      <c r="E11" s="225" t="s">
        <v>334</v>
      </c>
      <c r="F11" s="227"/>
      <c r="G11" s="225" t="s">
        <v>335</v>
      </c>
      <c r="H11" s="227"/>
      <c r="I11" s="223" t="s">
        <v>918</v>
      </c>
      <c r="J11" s="235"/>
      <c r="K11" s="223" t="s">
        <v>336</v>
      </c>
      <c r="L11" s="235"/>
      <c r="M11" s="223" t="s">
        <v>55</v>
      </c>
      <c r="N11" s="235"/>
      <c r="O11" s="164">
        <v>40452</v>
      </c>
      <c r="P11" s="144" t="s">
        <v>337</v>
      </c>
      <c r="Q11" s="146" t="s">
        <v>302</v>
      </c>
      <c r="R11" s="146"/>
      <c r="S11" s="147">
        <v>3172778</v>
      </c>
      <c r="T11" s="146"/>
      <c r="U11" s="145" t="s">
        <v>302</v>
      </c>
      <c r="V11" s="146"/>
      <c r="W11" s="147">
        <v>4431958</v>
      </c>
      <c r="X11" s="146"/>
      <c r="Y11" s="145" t="s">
        <v>302</v>
      </c>
      <c r="Z11" s="146"/>
      <c r="AA11" s="147">
        <v>4698669</v>
      </c>
      <c r="AB11" s="146"/>
      <c r="AC11" s="145" t="s">
        <v>302</v>
      </c>
      <c r="AD11" s="146"/>
      <c r="AE11" s="147">
        <v>4558486</v>
      </c>
      <c r="AF11" s="145" t="s">
        <v>302</v>
      </c>
      <c r="AG11" s="146"/>
      <c r="AH11" s="147">
        <v>5153436</v>
      </c>
      <c r="AI11" s="165"/>
      <c r="AK11" s="127" t="s">
        <v>645</v>
      </c>
      <c r="AO11" s="88" t="s">
        <v>302</v>
      </c>
      <c r="AP11" s="235"/>
      <c r="AQ11" s="147">
        <v>4962039</v>
      </c>
      <c r="AR11" s="223" t="s">
        <v>302</v>
      </c>
      <c r="AS11" s="235"/>
      <c r="AT11" s="285">
        <v>5214606.95</v>
      </c>
      <c r="AU11" s="286"/>
      <c r="AV11" s="88" t="s">
        <v>302</v>
      </c>
      <c r="AW11" s="285">
        <v>5246593</v>
      </c>
      <c r="AX11" s="286"/>
      <c r="AY11" s="88" t="s">
        <v>302</v>
      </c>
      <c r="AZ11" s="147">
        <v>5195913</v>
      </c>
      <c r="BA11" s="207" t="s">
        <v>722</v>
      </c>
    </row>
    <row r="12" spans="1:61" ht="55.15" customHeight="1" x14ac:dyDescent="0.2">
      <c r="A12" s="289" t="s">
        <v>10</v>
      </c>
      <c r="C12" s="223" t="s">
        <v>333</v>
      </c>
      <c r="E12" s="225" t="s">
        <v>338</v>
      </c>
      <c r="F12" s="227"/>
      <c r="G12" s="225" t="s">
        <v>335</v>
      </c>
      <c r="H12" s="227"/>
      <c r="I12" s="223" t="s">
        <v>919</v>
      </c>
      <c r="J12" s="235"/>
      <c r="K12" s="223" t="s">
        <v>336</v>
      </c>
      <c r="L12" s="235"/>
      <c r="M12" s="223" t="s">
        <v>55</v>
      </c>
      <c r="N12" s="235"/>
      <c r="O12" s="145" t="s">
        <v>302</v>
      </c>
      <c r="P12" s="144" t="s">
        <v>339</v>
      </c>
      <c r="Q12" s="146" t="s">
        <v>302</v>
      </c>
      <c r="R12" s="146"/>
      <c r="S12" s="147">
        <v>5024</v>
      </c>
      <c r="T12" s="146"/>
      <c r="U12" s="145" t="s">
        <v>302</v>
      </c>
      <c r="V12" s="146"/>
      <c r="W12" s="147" t="s">
        <v>567</v>
      </c>
      <c r="X12" s="146"/>
      <c r="Y12" s="145" t="s">
        <v>302</v>
      </c>
      <c r="Z12" s="146"/>
      <c r="AA12" s="147" t="s">
        <v>567</v>
      </c>
      <c r="AB12" s="146"/>
      <c r="AC12" s="145" t="s">
        <v>302</v>
      </c>
      <c r="AD12" s="146"/>
      <c r="AE12" s="147" t="s">
        <v>567</v>
      </c>
      <c r="AF12" s="145" t="s">
        <v>302</v>
      </c>
      <c r="AG12" s="146"/>
      <c r="AH12" s="147" t="s">
        <v>567</v>
      </c>
      <c r="AI12" s="165"/>
      <c r="AK12" s="127" t="s">
        <v>332</v>
      </c>
      <c r="AO12" s="88" t="s">
        <v>302</v>
      </c>
      <c r="AP12" s="235"/>
      <c r="AQ12" s="147" t="s">
        <v>567</v>
      </c>
      <c r="AR12" s="223" t="s">
        <v>302</v>
      </c>
      <c r="AS12" s="235"/>
      <c r="AT12" s="285" t="s">
        <v>567</v>
      </c>
      <c r="AU12" s="286"/>
      <c r="AV12" s="88" t="s">
        <v>302</v>
      </c>
      <c r="AW12" s="285" t="s">
        <v>567</v>
      </c>
      <c r="AX12" s="286"/>
      <c r="AY12" s="88" t="s">
        <v>302</v>
      </c>
      <c r="AZ12" s="147" t="s">
        <v>567</v>
      </c>
      <c r="BA12" s="207" t="s">
        <v>713</v>
      </c>
    </row>
    <row r="13" spans="1:61" ht="55.15" customHeight="1" x14ac:dyDescent="0.2">
      <c r="A13" s="289" t="s">
        <v>10</v>
      </c>
      <c r="B13" s="126"/>
      <c r="C13" s="223" t="s">
        <v>333</v>
      </c>
      <c r="D13" s="126"/>
      <c r="E13" s="225" t="s">
        <v>340</v>
      </c>
      <c r="F13" s="227"/>
      <c r="G13" s="225"/>
      <c r="H13" s="227"/>
      <c r="I13" s="231" t="s">
        <v>920</v>
      </c>
      <c r="J13" s="235"/>
      <c r="K13" s="223" t="s">
        <v>336</v>
      </c>
      <c r="L13" s="235"/>
      <c r="M13" s="223" t="s">
        <v>55</v>
      </c>
      <c r="N13" s="235"/>
      <c r="O13" s="164">
        <v>40452</v>
      </c>
      <c r="P13" s="144"/>
      <c r="Q13" s="146" t="s">
        <v>302</v>
      </c>
      <c r="R13" s="146"/>
      <c r="S13" s="147" t="s">
        <v>312</v>
      </c>
      <c r="T13" s="146"/>
      <c r="U13" s="145" t="s">
        <v>302</v>
      </c>
      <c r="V13" s="146"/>
      <c r="W13" s="147" t="s">
        <v>567</v>
      </c>
      <c r="X13" s="146"/>
      <c r="Y13" s="145" t="s">
        <v>302</v>
      </c>
      <c r="Z13" s="146"/>
      <c r="AA13" s="147" t="s">
        <v>567</v>
      </c>
      <c r="AB13" s="146"/>
      <c r="AC13" s="145" t="s">
        <v>302</v>
      </c>
      <c r="AD13" s="146"/>
      <c r="AE13" s="147" t="s">
        <v>567</v>
      </c>
      <c r="AF13" s="145" t="s">
        <v>302</v>
      </c>
      <c r="AG13" s="146"/>
      <c r="AH13" s="147" t="s">
        <v>567</v>
      </c>
      <c r="AI13" s="165"/>
      <c r="AO13" s="88" t="s">
        <v>302</v>
      </c>
      <c r="AP13" s="235"/>
      <c r="AQ13" s="147" t="s">
        <v>567</v>
      </c>
      <c r="AR13" s="223" t="s">
        <v>302</v>
      </c>
      <c r="AS13" s="235"/>
      <c r="AT13" s="285" t="s">
        <v>567</v>
      </c>
      <c r="AU13" s="286"/>
      <c r="AV13" s="88" t="s">
        <v>302</v>
      </c>
      <c r="AW13" s="285" t="s">
        <v>567</v>
      </c>
      <c r="AX13" s="286"/>
      <c r="AY13" s="88" t="s">
        <v>302</v>
      </c>
      <c r="AZ13" s="147" t="s">
        <v>567</v>
      </c>
      <c r="BA13" s="207" t="s">
        <v>713</v>
      </c>
    </row>
    <row r="14" spans="1:61" ht="55.15" customHeight="1" x14ac:dyDescent="0.2">
      <c r="A14" s="289" t="s">
        <v>10</v>
      </c>
      <c r="C14" s="223" t="s">
        <v>341</v>
      </c>
      <c r="E14" s="225" t="s">
        <v>342</v>
      </c>
      <c r="F14" s="227"/>
      <c r="G14" s="225" t="s">
        <v>921</v>
      </c>
      <c r="H14" s="227"/>
      <c r="I14" s="223" t="s">
        <v>343</v>
      </c>
      <c r="J14" s="235"/>
      <c r="K14" s="223" t="s">
        <v>344</v>
      </c>
      <c r="L14" s="235"/>
      <c r="M14" s="223" t="s">
        <v>345</v>
      </c>
      <c r="N14" s="235"/>
      <c r="O14" s="145">
        <v>2008</v>
      </c>
      <c r="P14" s="144" t="s">
        <v>346</v>
      </c>
      <c r="Q14" s="146" t="s">
        <v>302</v>
      </c>
      <c r="R14" s="146"/>
      <c r="S14" s="147">
        <v>1058816</v>
      </c>
      <c r="T14" s="146"/>
      <c r="U14" s="145" t="s">
        <v>302</v>
      </c>
      <c r="V14" s="146"/>
      <c r="W14" s="147">
        <v>445952.66</v>
      </c>
      <c r="X14" s="146"/>
      <c r="Y14" s="145" t="s">
        <v>302</v>
      </c>
      <c r="Z14" s="146"/>
      <c r="AA14" s="147">
        <v>373418</v>
      </c>
      <c r="AB14" s="146"/>
      <c r="AC14" s="145" t="s">
        <v>302</v>
      </c>
      <c r="AD14" s="146"/>
      <c r="AE14" s="147">
        <v>406304</v>
      </c>
      <c r="AF14" s="145" t="s">
        <v>302</v>
      </c>
      <c r="AG14" s="146"/>
      <c r="AH14" s="147">
        <v>338228</v>
      </c>
      <c r="AI14" s="165"/>
      <c r="AK14" s="127" t="s">
        <v>347</v>
      </c>
      <c r="AO14" s="88" t="s">
        <v>302</v>
      </c>
      <c r="AP14" s="235"/>
      <c r="AQ14" s="147">
        <v>353449</v>
      </c>
      <c r="AR14" s="223" t="s">
        <v>302</v>
      </c>
      <c r="AS14" s="235"/>
      <c r="AT14" s="285">
        <v>281587</v>
      </c>
      <c r="AU14" s="286"/>
      <c r="AV14" s="88" t="s">
        <v>302</v>
      </c>
      <c r="AW14" s="285">
        <v>289155</v>
      </c>
      <c r="AX14" s="286"/>
      <c r="AY14" s="88" t="s">
        <v>302</v>
      </c>
      <c r="AZ14" s="147">
        <v>307765</v>
      </c>
      <c r="BA14" s="207" t="s">
        <v>713</v>
      </c>
    </row>
    <row r="15" spans="1:61" ht="55.15" customHeight="1" x14ac:dyDescent="0.2">
      <c r="A15" s="289" t="s">
        <v>10</v>
      </c>
      <c r="B15" s="126"/>
      <c r="C15" s="223" t="s">
        <v>341</v>
      </c>
      <c r="D15" s="126"/>
      <c r="E15" s="225" t="s">
        <v>348</v>
      </c>
      <c r="F15" s="227"/>
      <c r="G15" s="225" t="s">
        <v>349</v>
      </c>
      <c r="H15" s="227"/>
      <c r="I15" s="223" t="s">
        <v>350</v>
      </c>
      <c r="J15" s="235"/>
      <c r="K15" s="223" t="s">
        <v>351</v>
      </c>
      <c r="L15" s="235"/>
      <c r="M15" s="223" t="s">
        <v>352</v>
      </c>
      <c r="N15" s="235"/>
      <c r="O15" s="145" t="s">
        <v>353</v>
      </c>
      <c r="P15" s="144" t="s">
        <v>346</v>
      </c>
      <c r="Q15" s="146" t="s">
        <v>302</v>
      </c>
      <c r="R15" s="146"/>
      <c r="S15" s="147" t="s">
        <v>302</v>
      </c>
      <c r="T15" s="146"/>
      <c r="U15" s="145" t="s">
        <v>302</v>
      </c>
      <c r="V15" s="146"/>
      <c r="W15" s="147">
        <v>10649202</v>
      </c>
      <c r="X15" s="146"/>
      <c r="Y15" s="145" t="s">
        <v>302</v>
      </c>
      <c r="Z15" s="146"/>
      <c r="AA15" s="147">
        <v>11427254</v>
      </c>
      <c r="AB15" s="146"/>
      <c r="AC15" s="145" t="s">
        <v>302</v>
      </c>
      <c r="AD15" s="146"/>
      <c r="AE15" s="147">
        <v>12009126</v>
      </c>
      <c r="AF15" s="145" t="s">
        <v>302</v>
      </c>
      <c r="AG15" s="146"/>
      <c r="AH15" s="147">
        <v>9716724</v>
      </c>
      <c r="AI15" s="165"/>
      <c r="AK15" s="127" t="s">
        <v>646</v>
      </c>
      <c r="AO15" s="88" t="s">
        <v>302</v>
      </c>
      <c r="AP15" s="235"/>
      <c r="AQ15" s="147">
        <v>10812822.98</v>
      </c>
      <c r="AR15" s="223" t="s">
        <v>302</v>
      </c>
      <c r="AS15" s="235"/>
      <c r="AT15" s="285">
        <v>10291845</v>
      </c>
      <c r="AU15" s="286"/>
      <c r="AV15" s="88" t="s">
        <v>302</v>
      </c>
      <c r="AW15" s="285">
        <v>8942211</v>
      </c>
      <c r="AX15" s="286"/>
      <c r="AY15" s="88" t="s">
        <v>302</v>
      </c>
      <c r="AZ15" s="147">
        <v>11782888</v>
      </c>
      <c r="BA15" s="207" t="s">
        <v>713</v>
      </c>
    </row>
    <row r="16" spans="1:61" ht="72" x14ac:dyDescent="0.2">
      <c r="A16" s="290" t="s">
        <v>10</v>
      </c>
      <c r="C16" s="223" t="s">
        <v>333</v>
      </c>
      <c r="E16" s="225" t="s">
        <v>354</v>
      </c>
      <c r="F16" s="227"/>
      <c r="G16" s="225" t="s">
        <v>53</v>
      </c>
      <c r="H16" s="227"/>
      <c r="I16" s="223" t="s">
        <v>922</v>
      </c>
      <c r="J16" s="235"/>
      <c r="K16" s="223" t="s">
        <v>355</v>
      </c>
      <c r="L16" s="235"/>
      <c r="M16" s="223" t="s">
        <v>356</v>
      </c>
      <c r="N16" s="235"/>
      <c r="O16" s="145" t="s">
        <v>357</v>
      </c>
      <c r="P16" s="144" t="s">
        <v>358</v>
      </c>
      <c r="Q16" s="146" t="s">
        <v>302</v>
      </c>
      <c r="R16" s="146"/>
      <c r="S16" s="147">
        <v>39613</v>
      </c>
      <c r="T16" s="146"/>
      <c r="U16" s="145" t="s">
        <v>302</v>
      </c>
      <c r="V16" s="146"/>
      <c r="W16" s="147">
        <v>37902.28</v>
      </c>
      <c r="X16" s="146"/>
      <c r="Y16" s="145" t="s">
        <v>302</v>
      </c>
      <c r="Z16" s="146"/>
      <c r="AA16" s="147">
        <v>42788</v>
      </c>
      <c r="AB16" s="146"/>
      <c r="AC16" s="145" t="s">
        <v>302</v>
      </c>
      <c r="AD16" s="146"/>
      <c r="AE16" s="147">
        <v>54912</v>
      </c>
      <c r="AF16" s="145" t="s">
        <v>302</v>
      </c>
      <c r="AG16" s="146"/>
      <c r="AH16" s="147">
        <v>55449</v>
      </c>
      <c r="AI16" s="165"/>
      <c r="AK16" s="127" t="s">
        <v>359</v>
      </c>
      <c r="AO16" s="88" t="s">
        <v>302</v>
      </c>
      <c r="AP16" s="235"/>
      <c r="AQ16" s="147">
        <v>60703</v>
      </c>
      <c r="AR16" s="223" t="s">
        <v>302</v>
      </c>
      <c r="AS16" s="235"/>
      <c r="AT16" s="285">
        <v>57876</v>
      </c>
      <c r="AU16" s="286"/>
      <c r="AV16" s="88" t="s">
        <v>302</v>
      </c>
      <c r="AW16" s="285">
        <v>65923</v>
      </c>
      <c r="AX16" s="286"/>
      <c r="AY16" s="88" t="s">
        <v>302</v>
      </c>
      <c r="AZ16" s="147">
        <v>60478</v>
      </c>
      <c r="BA16" s="207" t="s">
        <v>707</v>
      </c>
    </row>
    <row r="17" spans="1:53" ht="55.15" customHeight="1" x14ac:dyDescent="0.2">
      <c r="A17" s="289" t="s">
        <v>10</v>
      </c>
      <c r="B17" s="196"/>
      <c r="C17" s="223" t="s">
        <v>360</v>
      </c>
      <c r="D17" s="196"/>
      <c r="E17" s="225" t="s">
        <v>361</v>
      </c>
      <c r="F17" s="227"/>
      <c r="G17" s="225" t="s">
        <v>362</v>
      </c>
      <c r="H17" s="227"/>
      <c r="I17" s="231">
        <v>20</v>
      </c>
      <c r="J17" s="235"/>
      <c r="K17" s="223" t="s">
        <v>351</v>
      </c>
      <c r="L17" s="235"/>
      <c r="M17" s="223" t="s">
        <v>363</v>
      </c>
      <c r="N17" s="235"/>
      <c r="O17" s="145">
        <v>2013</v>
      </c>
      <c r="P17" s="144" t="s">
        <v>650</v>
      </c>
      <c r="Q17" s="146" t="s">
        <v>302</v>
      </c>
      <c r="R17" s="146"/>
      <c r="S17" s="147">
        <v>65300</v>
      </c>
      <c r="T17" s="146"/>
      <c r="U17" s="145" t="s">
        <v>302</v>
      </c>
      <c r="V17" s="146"/>
      <c r="W17" s="147">
        <v>64265</v>
      </c>
      <c r="X17" s="146"/>
      <c r="Y17" s="145" t="s">
        <v>302</v>
      </c>
      <c r="Z17" s="146"/>
      <c r="AA17" s="147">
        <v>68380</v>
      </c>
      <c r="AB17" s="146"/>
      <c r="AC17" s="145" t="s">
        <v>302</v>
      </c>
      <c r="AD17" s="146"/>
      <c r="AE17" s="147">
        <v>68035</v>
      </c>
      <c r="AF17" s="145" t="s">
        <v>302</v>
      </c>
      <c r="AG17" s="146"/>
      <c r="AH17" s="147">
        <v>131985</v>
      </c>
      <c r="AI17" s="208"/>
      <c r="AJ17" s="150"/>
      <c r="AK17" s="157" t="s">
        <v>364</v>
      </c>
      <c r="AL17" s="150"/>
      <c r="AM17" s="240" t="s">
        <v>365</v>
      </c>
      <c r="AO17" s="88" t="s">
        <v>302</v>
      </c>
      <c r="AP17" s="235"/>
      <c r="AQ17" s="147">
        <v>128624</v>
      </c>
      <c r="AR17" s="223" t="s">
        <v>302</v>
      </c>
      <c r="AS17" s="235"/>
      <c r="AT17" s="285">
        <v>56495</v>
      </c>
      <c r="AU17" s="286"/>
      <c r="AV17" s="88">
        <v>1095</v>
      </c>
      <c r="AW17" s="285">
        <v>144835</v>
      </c>
      <c r="AX17" s="286"/>
      <c r="AY17" s="88">
        <v>1299</v>
      </c>
      <c r="AZ17" s="147">
        <v>150085</v>
      </c>
      <c r="BA17" s="207" t="s">
        <v>722</v>
      </c>
    </row>
    <row r="18" spans="1:53" ht="55.15" customHeight="1" x14ac:dyDescent="0.2">
      <c r="A18" s="289" t="s">
        <v>10</v>
      </c>
      <c r="B18" s="196"/>
      <c r="C18" s="223" t="s">
        <v>360</v>
      </c>
      <c r="D18" s="196"/>
      <c r="E18" s="225" t="s">
        <v>366</v>
      </c>
      <c r="F18" s="227"/>
      <c r="G18" s="225" t="s">
        <v>362</v>
      </c>
      <c r="H18" s="227"/>
      <c r="I18" s="231">
        <v>25</v>
      </c>
      <c r="J18" s="235"/>
      <c r="K18" s="223" t="s">
        <v>367</v>
      </c>
      <c r="L18" s="235"/>
      <c r="M18" s="223" t="s">
        <v>363</v>
      </c>
      <c r="N18" s="235"/>
      <c r="O18" s="145">
        <v>2013</v>
      </c>
      <c r="P18" s="144" t="s">
        <v>650</v>
      </c>
      <c r="Q18" s="146" t="s">
        <v>302</v>
      </c>
      <c r="R18" s="146"/>
      <c r="S18" s="147" t="s">
        <v>312</v>
      </c>
      <c r="T18" s="146"/>
      <c r="U18" s="145" t="s">
        <v>302</v>
      </c>
      <c r="V18" s="146"/>
      <c r="W18" s="147" t="s">
        <v>567</v>
      </c>
      <c r="X18" s="146"/>
      <c r="Y18" s="145" t="s">
        <v>302</v>
      </c>
      <c r="Z18" s="146"/>
      <c r="AA18" s="147" t="s">
        <v>567</v>
      </c>
      <c r="AB18" s="146"/>
      <c r="AC18" s="145" t="s">
        <v>302</v>
      </c>
      <c r="AD18" s="146"/>
      <c r="AE18" s="147" t="s">
        <v>567</v>
      </c>
      <c r="AF18" s="145" t="s">
        <v>302</v>
      </c>
      <c r="AG18" s="146"/>
      <c r="AH18" s="147" t="s">
        <v>567</v>
      </c>
      <c r="AI18" s="208"/>
      <c r="AJ18" s="150"/>
      <c r="AK18" s="157" t="s">
        <v>364</v>
      </c>
      <c r="AL18" s="150"/>
      <c r="AM18" s="240" t="s">
        <v>365</v>
      </c>
      <c r="AO18" s="88" t="s">
        <v>302</v>
      </c>
      <c r="AP18" s="235"/>
      <c r="AQ18" s="147" t="s">
        <v>567</v>
      </c>
      <c r="AR18" s="223" t="s">
        <v>302</v>
      </c>
      <c r="AS18" s="235"/>
      <c r="AT18" s="285" t="s">
        <v>567</v>
      </c>
      <c r="AU18" s="286"/>
      <c r="AV18" s="88" t="s">
        <v>302</v>
      </c>
      <c r="AW18" s="285" t="s">
        <v>567</v>
      </c>
      <c r="AX18" s="286"/>
      <c r="AY18" s="88" t="s">
        <v>302</v>
      </c>
      <c r="AZ18" s="147" t="s">
        <v>567</v>
      </c>
      <c r="BA18" s="207" t="s">
        <v>722</v>
      </c>
    </row>
    <row r="19" spans="1:53" ht="55.15" customHeight="1" x14ac:dyDescent="0.2">
      <c r="A19" s="289" t="s">
        <v>10</v>
      </c>
      <c r="B19" s="196"/>
      <c r="C19" s="223" t="s">
        <v>360</v>
      </c>
      <c r="D19" s="196"/>
      <c r="E19" s="226" t="s">
        <v>651</v>
      </c>
      <c r="F19" s="227"/>
      <c r="G19" s="225" t="s">
        <v>362</v>
      </c>
      <c r="H19" s="227"/>
      <c r="I19" s="231">
        <v>100</v>
      </c>
      <c r="J19" s="235"/>
      <c r="K19" s="223" t="s">
        <v>367</v>
      </c>
      <c r="L19" s="235"/>
      <c r="M19" s="223" t="s">
        <v>363</v>
      </c>
      <c r="N19" s="235"/>
      <c r="O19" s="145">
        <v>2011</v>
      </c>
      <c r="P19" s="144" t="s">
        <v>652</v>
      </c>
      <c r="Q19" s="146"/>
      <c r="R19" s="146"/>
      <c r="S19" s="147"/>
      <c r="T19" s="146"/>
      <c r="U19" s="145"/>
      <c r="V19" s="146"/>
      <c r="W19" s="147"/>
      <c r="X19" s="146"/>
      <c r="Y19" s="145">
        <v>132</v>
      </c>
      <c r="Z19" s="146"/>
      <c r="AA19" s="147">
        <v>12040</v>
      </c>
      <c r="AB19" s="146"/>
      <c r="AC19" s="145">
        <v>128</v>
      </c>
      <c r="AD19" s="146"/>
      <c r="AE19" s="147">
        <v>16000</v>
      </c>
      <c r="AF19" s="145">
        <v>139</v>
      </c>
      <c r="AG19" s="146"/>
      <c r="AH19" s="147">
        <v>10460</v>
      </c>
      <c r="AI19" s="208"/>
      <c r="AJ19" s="150"/>
      <c r="AK19" s="150"/>
      <c r="AL19" s="150"/>
      <c r="AM19" s="150"/>
      <c r="AO19" s="88">
        <v>129</v>
      </c>
      <c r="AP19" s="235"/>
      <c r="AQ19" s="147" t="s">
        <v>312</v>
      </c>
      <c r="AR19" s="223">
        <v>116</v>
      </c>
      <c r="AS19" s="235"/>
      <c r="AT19" s="285" t="s">
        <v>312</v>
      </c>
      <c r="AU19" s="286"/>
      <c r="AV19" s="88">
        <v>162</v>
      </c>
      <c r="AW19" s="285">
        <v>13330</v>
      </c>
      <c r="AX19" s="286"/>
      <c r="AY19" s="88">
        <v>122</v>
      </c>
      <c r="AZ19" s="147">
        <v>9400</v>
      </c>
      <c r="BA19" s="207" t="s">
        <v>722</v>
      </c>
    </row>
    <row r="20" spans="1:53" ht="55.15" customHeight="1" x14ac:dyDescent="0.2">
      <c r="A20" s="289" t="s">
        <v>10</v>
      </c>
      <c r="B20" s="196"/>
      <c r="C20" s="223" t="s">
        <v>360</v>
      </c>
      <c r="D20" s="196"/>
      <c r="E20" s="226" t="s">
        <v>653</v>
      </c>
      <c r="F20" s="227"/>
      <c r="G20" s="225" t="s">
        <v>362</v>
      </c>
      <c r="H20" s="227"/>
      <c r="I20" s="231">
        <v>25</v>
      </c>
      <c r="J20" s="235"/>
      <c r="K20" s="223" t="s">
        <v>367</v>
      </c>
      <c r="L20" s="235"/>
      <c r="M20" s="223" t="s">
        <v>363</v>
      </c>
      <c r="N20" s="235"/>
      <c r="O20" s="145">
        <v>2011</v>
      </c>
      <c r="P20" s="144" t="s">
        <v>652</v>
      </c>
      <c r="Q20" s="146"/>
      <c r="R20" s="146"/>
      <c r="S20" s="147"/>
      <c r="T20" s="146"/>
      <c r="U20" s="145"/>
      <c r="V20" s="146"/>
      <c r="W20" s="147"/>
      <c r="X20" s="146"/>
      <c r="Y20" s="145" t="s">
        <v>302</v>
      </c>
      <c r="Z20" s="146"/>
      <c r="AA20" s="147" t="s">
        <v>567</v>
      </c>
      <c r="AB20" s="146"/>
      <c r="AC20" s="145" t="s">
        <v>302</v>
      </c>
      <c r="AD20" s="146"/>
      <c r="AE20" s="147" t="s">
        <v>567</v>
      </c>
      <c r="AF20" s="145" t="s">
        <v>302</v>
      </c>
      <c r="AG20" s="146"/>
      <c r="AH20" s="147" t="s">
        <v>567</v>
      </c>
      <c r="AI20" s="209"/>
      <c r="AJ20" s="150"/>
      <c r="AK20" s="150"/>
      <c r="AL20" s="150"/>
      <c r="AM20" s="150"/>
      <c r="AO20" s="88" t="s">
        <v>302</v>
      </c>
      <c r="AP20" s="235"/>
      <c r="AQ20" s="147" t="s">
        <v>312</v>
      </c>
      <c r="AR20" s="223" t="s">
        <v>302</v>
      </c>
      <c r="AS20" s="235"/>
      <c r="AT20" s="285" t="s">
        <v>312</v>
      </c>
      <c r="AU20" s="286"/>
      <c r="AV20" s="88" t="s">
        <v>302</v>
      </c>
      <c r="AW20" s="285" t="s">
        <v>567</v>
      </c>
      <c r="AX20" s="286"/>
      <c r="AY20" s="88" t="s">
        <v>302</v>
      </c>
      <c r="AZ20" s="147" t="s">
        <v>567</v>
      </c>
      <c r="BA20" s="207" t="s">
        <v>722</v>
      </c>
    </row>
    <row r="21" spans="1:53" ht="55.15" customHeight="1" x14ac:dyDescent="0.2">
      <c r="A21" s="289" t="s">
        <v>10</v>
      </c>
      <c r="B21" s="196"/>
      <c r="C21" s="223" t="s">
        <v>360</v>
      </c>
      <c r="D21" s="196"/>
      <c r="E21" s="225" t="s">
        <v>368</v>
      </c>
      <c r="F21" s="227"/>
      <c r="G21" s="225" t="s">
        <v>369</v>
      </c>
      <c r="H21" s="227"/>
      <c r="I21" s="223" t="s">
        <v>370</v>
      </c>
      <c r="J21" s="235"/>
      <c r="K21" s="223" t="s">
        <v>654</v>
      </c>
      <c r="L21" s="235"/>
      <c r="M21" s="223" t="s">
        <v>371</v>
      </c>
      <c r="N21" s="235"/>
      <c r="O21" s="145">
        <v>2013</v>
      </c>
      <c r="P21" s="144" t="s">
        <v>655</v>
      </c>
      <c r="Q21" s="146" t="s">
        <v>302</v>
      </c>
      <c r="R21" s="146"/>
      <c r="S21" s="147">
        <v>24745</v>
      </c>
      <c r="T21" s="146"/>
      <c r="U21" s="145" t="s">
        <v>302</v>
      </c>
      <c r="V21" s="146"/>
      <c r="W21" s="147">
        <v>25440</v>
      </c>
      <c r="X21" s="146"/>
      <c r="Y21" s="145" t="s">
        <v>302</v>
      </c>
      <c r="Z21" s="146"/>
      <c r="AA21" s="147">
        <v>21950</v>
      </c>
      <c r="AB21" s="146"/>
      <c r="AC21" s="145" t="s">
        <v>302</v>
      </c>
      <c r="AD21" s="146"/>
      <c r="AE21" s="147">
        <v>17735</v>
      </c>
      <c r="AF21" s="145" t="s">
        <v>302</v>
      </c>
      <c r="AG21" s="146"/>
      <c r="AH21" s="147">
        <v>31420</v>
      </c>
      <c r="AI21" s="209"/>
      <c r="AJ21" s="150"/>
      <c r="AK21" s="157" t="s">
        <v>372</v>
      </c>
      <c r="AL21" s="150"/>
      <c r="AM21" s="150"/>
      <c r="AO21" s="88">
        <v>35</v>
      </c>
      <c r="AP21" s="235"/>
      <c r="AQ21" s="147">
        <v>2635</v>
      </c>
      <c r="AR21" s="223">
        <v>40</v>
      </c>
      <c r="AS21" s="235"/>
      <c r="AT21" s="285">
        <v>3045</v>
      </c>
      <c r="AU21" s="286"/>
      <c r="AV21" s="88">
        <v>61</v>
      </c>
      <c r="AW21" s="285">
        <v>4760</v>
      </c>
      <c r="AX21" s="286"/>
      <c r="AY21" s="88">
        <v>3</v>
      </c>
      <c r="AZ21" s="147">
        <v>160</v>
      </c>
      <c r="BA21" s="207" t="s">
        <v>722</v>
      </c>
    </row>
    <row r="22" spans="1:53" ht="55.15" customHeight="1" x14ac:dyDescent="0.2">
      <c r="A22" s="289" t="s">
        <v>10</v>
      </c>
      <c r="B22" s="196"/>
      <c r="C22" s="223" t="s">
        <v>360</v>
      </c>
      <c r="D22" s="196"/>
      <c r="E22" s="225" t="s">
        <v>656</v>
      </c>
      <c r="F22" s="227"/>
      <c r="G22" s="225" t="s">
        <v>369</v>
      </c>
      <c r="H22" s="227"/>
      <c r="I22" s="232">
        <v>60</v>
      </c>
      <c r="J22" s="235"/>
      <c r="K22" s="223" t="s">
        <v>654</v>
      </c>
      <c r="L22" s="235"/>
      <c r="M22" s="223" t="s">
        <v>371</v>
      </c>
      <c r="N22" s="235"/>
      <c r="O22" s="145">
        <v>2013</v>
      </c>
      <c r="P22" s="144" t="s">
        <v>655</v>
      </c>
      <c r="Q22" s="146"/>
      <c r="R22" s="146"/>
      <c r="S22" s="147"/>
      <c r="T22" s="146"/>
      <c r="U22" s="145"/>
      <c r="V22" s="146"/>
      <c r="W22" s="147"/>
      <c r="X22" s="146"/>
      <c r="Y22" s="145" t="s">
        <v>302</v>
      </c>
      <c r="Z22" s="146"/>
      <c r="AA22" s="147" t="s">
        <v>567</v>
      </c>
      <c r="AB22" s="146"/>
      <c r="AC22" s="145" t="s">
        <v>302</v>
      </c>
      <c r="AD22" s="146"/>
      <c r="AE22" s="147" t="s">
        <v>567</v>
      </c>
      <c r="AF22" s="145" t="s">
        <v>302</v>
      </c>
      <c r="AG22" s="146"/>
      <c r="AH22" s="147" t="s">
        <v>567</v>
      </c>
      <c r="AI22" s="209"/>
      <c r="AJ22" s="150"/>
      <c r="AK22" s="150"/>
      <c r="AL22" s="150"/>
      <c r="AM22" s="150"/>
      <c r="AO22" s="88" t="s">
        <v>302</v>
      </c>
      <c r="AP22" s="235"/>
      <c r="AQ22" s="147" t="s">
        <v>312</v>
      </c>
      <c r="AR22" s="223" t="s">
        <v>302</v>
      </c>
      <c r="AS22" s="235"/>
      <c r="AT22" s="285" t="s">
        <v>312</v>
      </c>
      <c r="AU22" s="286"/>
      <c r="AV22" s="88">
        <v>262</v>
      </c>
      <c r="AW22" s="285">
        <v>34425</v>
      </c>
      <c r="AX22" s="286"/>
      <c r="AY22" s="88">
        <v>32</v>
      </c>
      <c r="AZ22" s="147">
        <v>2860</v>
      </c>
      <c r="BA22" s="207" t="s">
        <v>722</v>
      </c>
    </row>
    <row r="23" spans="1:53" ht="55.15" customHeight="1" x14ac:dyDescent="0.2">
      <c r="A23" s="289" t="s">
        <v>10</v>
      </c>
      <c r="B23" s="196"/>
      <c r="C23" s="223" t="s">
        <v>360</v>
      </c>
      <c r="D23" s="196"/>
      <c r="E23" s="225" t="s">
        <v>723</v>
      </c>
      <c r="F23" s="227"/>
      <c r="G23" s="225" t="s">
        <v>373</v>
      </c>
      <c r="H23" s="227"/>
      <c r="I23" s="223" t="s">
        <v>374</v>
      </c>
      <c r="J23" s="235"/>
      <c r="K23" s="223" t="s">
        <v>351</v>
      </c>
      <c r="L23" s="235"/>
      <c r="M23" s="223" t="s">
        <v>363</v>
      </c>
      <c r="N23" s="235"/>
      <c r="O23" s="148" t="s">
        <v>461</v>
      </c>
      <c r="P23" s="144" t="s">
        <v>375</v>
      </c>
      <c r="Q23" s="146" t="s">
        <v>302</v>
      </c>
      <c r="R23" s="146"/>
      <c r="S23" s="147">
        <v>55256</v>
      </c>
      <c r="T23" s="146"/>
      <c r="U23" s="145">
        <v>109</v>
      </c>
      <c r="V23" s="146"/>
      <c r="W23" s="147">
        <v>54200</v>
      </c>
      <c r="X23" s="146"/>
      <c r="Y23" s="146">
        <v>110</v>
      </c>
      <c r="Z23" s="146"/>
      <c r="AA23" s="147">
        <v>59875</v>
      </c>
      <c r="AB23" s="146"/>
      <c r="AC23" s="145">
        <v>110</v>
      </c>
      <c r="AD23" s="146"/>
      <c r="AE23" s="147">
        <v>57325</v>
      </c>
      <c r="AF23" s="145">
        <v>189</v>
      </c>
      <c r="AG23" s="146"/>
      <c r="AH23" s="147">
        <v>86285</v>
      </c>
      <c r="AI23" s="209"/>
      <c r="AJ23" s="150"/>
      <c r="AK23" s="150"/>
      <c r="AL23" s="150"/>
      <c r="AM23" s="150"/>
      <c r="AO23" s="88">
        <v>140</v>
      </c>
      <c r="AP23" s="235"/>
      <c r="AQ23" s="147">
        <v>67937</v>
      </c>
      <c r="AR23" s="223">
        <v>140</v>
      </c>
      <c r="AS23" s="235"/>
      <c r="AT23" s="285">
        <v>118937</v>
      </c>
      <c r="AU23" s="286"/>
      <c r="AV23" s="88">
        <v>236</v>
      </c>
      <c r="AW23" s="285">
        <v>63310</v>
      </c>
      <c r="AX23" s="286"/>
      <c r="AY23" s="88">
        <v>231</v>
      </c>
      <c r="AZ23" s="147">
        <v>55250</v>
      </c>
      <c r="BA23" s="207" t="s">
        <v>722</v>
      </c>
    </row>
    <row r="24" spans="1:53" ht="55.15" customHeight="1" x14ac:dyDescent="0.2">
      <c r="A24" s="289" t="s">
        <v>10</v>
      </c>
      <c r="B24" s="196"/>
      <c r="C24" s="223" t="s">
        <v>360</v>
      </c>
      <c r="D24" s="196"/>
      <c r="E24" s="225" t="s">
        <v>376</v>
      </c>
      <c r="F24" s="227"/>
      <c r="G24" s="150"/>
      <c r="H24" s="227"/>
      <c r="I24" s="223" t="s">
        <v>377</v>
      </c>
      <c r="J24" s="235"/>
      <c r="K24" s="223" t="s">
        <v>351</v>
      </c>
      <c r="L24" s="235"/>
      <c r="M24" s="223" t="s">
        <v>363</v>
      </c>
      <c r="N24" s="235"/>
      <c r="O24" s="148" t="s">
        <v>461</v>
      </c>
      <c r="P24" s="144" t="s">
        <v>375</v>
      </c>
      <c r="Q24" s="146" t="s">
        <v>302</v>
      </c>
      <c r="R24" s="146"/>
      <c r="S24" s="147" t="s">
        <v>312</v>
      </c>
      <c r="T24" s="146"/>
      <c r="U24" s="145"/>
      <c r="V24" s="146"/>
      <c r="W24" s="147" t="s">
        <v>567</v>
      </c>
      <c r="X24" s="146"/>
      <c r="Y24" s="145" t="s">
        <v>302</v>
      </c>
      <c r="Z24" s="146"/>
      <c r="AA24" s="147" t="s">
        <v>567</v>
      </c>
      <c r="AB24" s="146"/>
      <c r="AC24" s="145" t="s">
        <v>302</v>
      </c>
      <c r="AD24" s="146"/>
      <c r="AE24" s="147" t="s">
        <v>567</v>
      </c>
      <c r="AF24" s="145" t="s">
        <v>302</v>
      </c>
      <c r="AG24" s="146"/>
      <c r="AH24" s="147" t="s">
        <v>567</v>
      </c>
      <c r="AI24" s="209"/>
      <c r="AJ24" s="150"/>
      <c r="AK24" s="150"/>
      <c r="AL24" s="150"/>
      <c r="AM24" s="150"/>
      <c r="AO24" s="88" t="s">
        <v>302</v>
      </c>
      <c r="AP24" s="235"/>
      <c r="AQ24" s="147" t="s">
        <v>312</v>
      </c>
      <c r="AR24" s="223"/>
      <c r="AS24" s="235"/>
      <c r="AT24" s="285" t="s">
        <v>312</v>
      </c>
      <c r="AU24" s="286"/>
      <c r="AV24" s="88" t="s">
        <v>302</v>
      </c>
      <c r="AW24" s="285" t="s">
        <v>567</v>
      </c>
      <c r="AX24" s="286"/>
      <c r="AY24" s="88" t="s">
        <v>302</v>
      </c>
      <c r="AZ24" s="147" t="s">
        <v>567</v>
      </c>
      <c r="BA24" s="207" t="s">
        <v>722</v>
      </c>
    </row>
    <row r="25" spans="1:53" ht="55.15" customHeight="1" x14ac:dyDescent="0.2">
      <c r="A25" s="289" t="s">
        <v>10</v>
      </c>
      <c r="B25" s="196"/>
      <c r="C25" s="223" t="s">
        <v>360</v>
      </c>
      <c r="D25" s="196"/>
      <c r="E25" s="225" t="s">
        <v>378</v>
      </c>
      <c r="F25" s="227"/>
      <c r="G25" s="225" t="s">
        <v>373</v>
      </c>
      <c r="H25" s="227"/>
      <c r="I25" s="231">
        <v>100</v>
      </c>
      <c r="J25" s="235"/>
      <c r="K25" s="223" t="s">
        <v>351</v>
      </c>
      <c r="L25" s="235"/>
      <c r="M25" s="223" t="s">
        <v>363</v>
      </c>
      <c r="N25" s="235"/>
      <c r="O25" s="148" t="s">
        <v>461</v>
      </c>
      <c r="P25" s="144" t="s">
        <v>379</v>
      </c>
      <c r="Q25" s="146" t="s">
        <v>302</v>
      </c>
      <c r="R25" s="146"/>
      <c r="S25" s="147" t="s">
        <v>312</v>
      </c>
      <c r="T25" s="146"/>
      <c r="U25" s="145"/>
      <c r="V25" s="146"/>
      <c r="W25" s="147" t="s">
        <v>567</v>
      </c>
      <c r="X25" s="146"/>
      <c r="Y25" s="145" t="s">
        <v>302</v>
      </c>
      <c r="Z25" s="146"/>
      <c r="AA25" s="147" t="s">
        <v>567</v>
      </c>
      <c r="AB25" s="146"/>
      <c r="AC25" s="145" t="s">
        <v>302</v>
      </c>
      <c r="AD25" s="146"/>
      <c r="AE25" s="147" t="s">
        <v>567</v>
      </c>
      <c r="AF25" s="145" t="s">
        <v>302</v>
      </c>
      <c r="AG25" s="146"/>
      <c r="AH25" s="147" t="s">
        <v>567</v>
      </c>
      <c r="AI25" s="209"/>
      <c r="AJ25" s="150"/>
      <c r="AK25" s="150"/>
      <c r="AL25" s="150"/>
      <c r="AM25" s="150"/>
      <c r="AO25" s="88" t="s">
        <v>302</v>
      </c>
      <c r="AP25" s="235"/>
      <c r="AQ25" s="147" t="s">
        <v>312</v>
      </c>
      <c r="AR25" s="223"/>
      <c r="AS25" s="235"/>
      <c r="AT25" s="285" t="s">
        <v>312</v>
      </c>
      <c r="AU25" s="286"/>
      <c r="AV25" s="88" t="s">
        <v>302</v>
      </c>
      <c r="AW25" s="285" t="s">
        <v>567</v>
      </c>
      <c r="AX25" s="286"/>
      <c r="AY25" s="88" t="s">
        <v>302</v>
      </c>
      <c r="AZ25" s="147" t="s">
        <v>567</v>
      </c>
      <c r="BA25" s="207" t="s">
        <v>722</v>
      </c>
    </row>
    <row r="26" spans="1:53" ht="55.15" customHeight="1" x14ac:dyDescent="0.2">
      <c r="A26" s="289" t="s">
        <v>10</v>
      </c>
      <c r="B26" s="196"/>
      <c r="C26" s="223" t="s">
        <v>360</v>
      </c>
      <c r="D26" s="196"/>
      <c r="E26" s="225" t="s">
        <v>657</v>
      </c>
      <c r="F26" s="227"/>
      <c r="G26" s="225" t="s">
        <v>373</v>
      </c>
      <c r="H26" s="227"/>
      <c r="I26" s="231">
        <v>50</v>
      </c>
      <c r="J26" s="235"/>
      <c r="K26" s="223" t="s">
        <v>351</v>
      </c>
      <c r="L26" s="235"/>
      <c r="M26" s="223" t="s">
        <v>363</v>
      </c>
      <c r="N26" s="235"/>
      <c r="O26" s="148" t="s">
        <v>461</v>
      </c>
      <c r="P26" s="144" t="s">
        <v>375</v>
      </c>
      <c r="Q26" s="146"/>
      <c r="R26" s="146"/>
      <c r="S26" s="147"/>
      <c r="T26" s="146"/>
      <c r="U26" s="145"/>
      <c r="V26" s="146"/>
      <c r="W26" s="147"/>
      <c r="X26" s="146"/>
      <c r="Y26" s="145" t="s">
        <v>302</v>
      </c>
      <c r="Z26" s="146"/>
      <c r="AA26" s="147" t="s">
        <v>567</v>
      </c>
      <c r="AB26" s="146"/>
      <c r="AC26" s="145" t="s">
        <v>302</v>
      </c>
      <c r="AD26" s="146"/>
      <c r="AE26" s="147" t="s">
        <v>567</v>
      </c>
      <c r="AF26" s="145" t="s">
        <v>302</v>
      </c>
      <c r="AG26" s="146"/>
      <c r="AH26" s="147" t="s">
        <v>567</v>
      </c>
      <c r="AI26" s="209"/>
      <c r="AJ26" s="150"/>
      <c r="AK26" s="150"/>
      <c r="AL26" s="150"/>
      <c r="AM26" s="150"/>
      <c r="AO26" s="88" t="s">
        <v>302</v>
      </c>
      <c r="AP26" s="235"/>
      <c r="AQ26" s="147" t="s">
        <v>312</v>
      </c>
      <c r="AR26" s="223"/>
      <c r="AS26" s="235"/>
      <c r="AT26" s="285" t="s">
        <v>312</v>
      </c>
      <c r="AU26" s="286"/>
      <c r="AV26" s="88" t="s">
        <v>302</v>
      </c>
      <c r="AW26" s="285" t="s">
        <v>567</v>
      </c>
      <c r="AX26" s="286"/>
      <c r="AY26" s="88" t="s">
        <v>302</v>
      </c>
      <c r="AZ26" s="147" t="s">
        <v>567</v>
      </c>
      <c r="BA26" s="207" t="s">
        <v>722</v>
      </c>
    </row>
    <row r="27" spans="1:53" ht="55.15" customHeight="1" x14ac:dyDescent="0.2">
      <c r="A27" s="291" t="s">
        <v>10</v>
      </c>
      <c r="B27" s="219"/>
      <c r="C27" s="224" t="s">
        <v>360</v>
      </c>
      <c r="D27" s="219"/>
      <c r="E27" s="226" t="s">
        <v>724</v>
      </c>
      <c r="F27" s="228"/>
      <c r="G27" s="226" t="s">
        <v>658</v>
      </c>
      <c r="H27" s="228"/>
      <c r="I27" s="233">
        <v>200</v>
      </c>
      <c r="J27" s="228"/>
      <c r="K27" s="224" t="s">
        <v>659</v>
      </c>
      <c r="L27" s="228"/>
      <c r="M27" s="224" t="s">
        <v>363</v>
      </c>
      <c r="N27" s="228"/>
      <c r="O27" s="153" t="s">
        <v>461</v>
      </c>
      <c r="P27" s="151" t="s">
        <v>660</v>
      </c>
      <c r="Q27" s="152"/>
      <c r="R27" s="152"/>
      <c r="S27" s="154"/>
      <c r="T27" s="152"/>
      <c r="U27" s="152"/>
      <c r="V27" s="152"/>
      <c r="W27" s="154"/>
      <c r="X27" s="152"/>
      <c r="Y27" s="152" t="s">
        <v>302</v>
      </c>
      <c r="Z27" s="152"/>
      <c r="AA27" s="154">
        <v>14212.1</v>
      </c>
      <c r="AB27" s="152"/>
      <c r="AC27" s="145" t="s">
        <v>302</v>
      </c>
      <c r="AD27" s="152"/>
      <c r="AE27" s="154">
        <v>52625</v>
      </c>
      <c r="AF27" s="152" t="s">
        <v>302</v>
      </c>
      <c r="AG27" s="152"/>
      <c r="AH27" s="154" t="s">
        <v>312</v>
      </c>
      <c r="AJ27" s="150"/>
      <c r="AK27" s="150"/>
      <c r="AL27" s="150"/>
      <c r="AM27" s="150"/>
      <c r="AO27" s="88" t="s">
        <v>302</v>
      </c>
      <c r="AP27" s="228"/>
      <c r="AQ27" s="154" t="s">
        <v>312</v>
      </c>
      <c r="AR27" s="224" t="s">
        <v>302</v>
      </c>
      <c r="AS27" s="228"/>
      <c r="AT27" s="285" t="s">
        <v>312</v>
      </c>
      <c r="AU27" s="286"/>
      <c r="AV27" s="88">
        <v>332</v>
      </c>
      <c r="AW27" s="285">
        <v>65410</v>
      </c>
      <c r="AX27" s="286"/>
      <c r="AY27" s="88">
        <v>148</v>
      </c>
      <c r="AZ27" s="147">
        <v>31400</v>
      </c>
      <c r="BA27" s="207" t="s">
        <v>722</v>
      </c>
    </row>
    <row r="28" spans="1:53" ht="55.15" customHeight="1" x14ac:dyDescent="0.2">
      <c r="A28" s="291" t="s">
        <v>10</v>
      </c>
      <c r="B28" s="219"/>
      <c r="C28" s="224" t="s">
        <v>360</v>
      </c>
      <c r="D28" s="219"/>
      <c r="E28" s="226" t="s">
        <v>661</v>
      </c>
      <c r="F28" s="228"/>
      <c r="G28" s="226" t="s">
        <v>658</v>
      </c>
      <c r="H28" s="228"/>
      <c r="I28" s="233">
        <v>25</v>
      </c>
      <c r="J28" s="228"/>
      <c r="K28" s="224" t="s">
        <v>367</v>
      </c>
      <c r="L28" s="228"/>
      <c r="M28" s="224" t="s">
        <v>363</v>
      </c>
      <c r="N28" s="228"/>
      <c r="O28" s="153" t="s">
        <v>461</v>
      </c>
      <c r="P28" s="151" t="s">
        <v>660</v>
      </c>
      <c r="Q28" s="152"/>
      <c r="R28" s="152"/>
      <c r="S28" s="154"/>
      <c r="T28" s="152"/>
      <c r="U28" s="152"/>
      <c r="V28" s="152"/>
      <c r="W28" s="154"/>
      <c r="X28" s="152"/>
      <c r="Y28" s="152" t="s">
        <v>302</v>
      </c>
      <c r="Z28" s="152"/>
      <c r="AA28" s="154" t="s">
        <v>312</v>
      </c>
      <c r="AB28" s="152"/>
      <c r="AC28" s="152" t="s">
        <v>302</v>
      </c>
      <c r="AD28" s="152"/>
      <c r="AE28" s="154" t="s">
        <v>312</v>
      </c>
      <c r="AF28" s="152" t="s">
        <v>302</v>
      </c>
      <c r="AG28" s="152"/>
      <c r="AH28" s="154" t="s">
        <v>312</v>
      </c>
      <c r="AJ28" s="150"/>
      <c r="AK28" s="150"/>
      <c r="AL28" s="150"/>
      <c r="AM28" s="150"/>
      <c r="AO28" s="243" t="s">
        <v>302</v>
      </c>
      <c r="AP28" s="228"/>
      <c r="AQ28" s="154" t="s">
        <v>312</v>
      </c>
      <c r="AR28" s="224" t="s">
        <v>302</v>
      </c>
      <c r="AS28" s="228"/>
      <c r="AT28" s="285" t="s">
        <v>312</v>
      </c>
      <c r="AU28" s="286"/>
      <c r="AV28" s="88" t="s">
        <v>302</v>
      </c>
      <c r="AW28" s="285" t="s">
        <v>567</v>
      </c>
      <c r="AX28" s="286"/>
      <c r="AY28" s="88" t="s">
        <v>302</v>
      </c>
      <c r="AZ28" s="147" t="s">
        <v>567</v>
      </c>
      <c r="BA28" s="207" t="s">
        <v>722</v>
      </c>
    </row>
    <row r="29" spans="1:53" ht="55.15" customHeight="1" x14ac:dyDescent="0.2">
      <c r="A29" s="291" t="s">
        <v>10</v>
      </c>
      <c r="B29" s="219"/>
      <c r="C29" s="224" t="s">
        <v>360</v>
      </c>
      <c r="D29" s="219"/>
      <c r="E29" s="226" t="s">
        <v>662</v>
      </c>
      <c r="F29" s="228"/>
      <c r="G29" s="226" t="s">
        <v>658</v>
      </c>
      <c r="H29" s="228"/>
      <c r="I29" s="233">
        <v>25</v>
      </c>
      <c r="J29" s="228"/>
      <c r="K29" s="224" t="s">
        <v>659</v>
      </c>
      <c r="L29" s="228"/>
      <c r="M29" s="224" t="s">
        <v>363</v>
      </c>
      <c r="N29" s="228"/>
      <c r="O29" s="153" t="s">
        <v>461</v>
      </c>
      <c r="P29" s="151" t="s">
        <v>660</v>
      </c>
      <c r="Q29" s="152"/>
      <c r="R29" s="152"/>
      <c r="S29" s="154"/>
      <c r="T29" s="152"/>
      <c r="U29" s="152"/>
      <c r="V29" s="152"/>
      <c r="W29" s="154"/>
      <c r="X29" s="152"/>
      <c r="Y29" s="152" t="s">
        <v>302</v>
      </c>
      <c r="Z29" s="152"/>
      <c r="AA29" s="154" t="s">
        <v>312</v>
      </c>
      <c r="AB29" s="152"/>
      <c r="AC29" s="152" t="s">
        <v>302</v>
      </c>
      <c r="AD29" s="152"/>
      <c r="AE29" s="154" t="s">
        <v>312</v>
      </c>
      <c r="AF29" s="152" t="s">
        <v>302</v>
      </c>
      <c r="AG29" s="152"/>
      <c r="AH29" s="154" t="s">
        <v>312</v>
      </c>
      <c r="AJ29" s="150"/>
      <c r="AK29" s="150"/>
      <c r="AL29" s="150"/>
      <c r="AM29" s="150"/>
      <c r="AO29" s="243" t="s">
        <v>302</v>
      </c>
      <c r="AP29" s="228"/>
      <c r="AQ29" s="154" t="s">
        <v>312</v>
      </c>
      <c r="AR29" s="224" t="s">
        <v>302</v>
      </c>
      <c r="AS29" s="228"/>
      <c r="AT29" s="285" t="s">
        <v>312</v>
      </c>
      <c r="AU29" s="286"/>
      <c r="AV29" s="88" t="s">
        <v>302</v>
      </c>
      <c r="AW29" s="285" t="s">
        <v>567</v>
      </c>
      <c r="AX29" s="286"/>
      <c r="AY29" s="88" t="s">
        <v>302</v>
      </c>
      <c r="AZ29" s="147" t="s">
        <v>567</v>
      </c>
      <c r="BA29" s="207" t="s">
        <v>722</v>
      </c>
    </row>
    <row r="30" spans="1:53" ht="55.15" customHeight="1" x14ac:dyDescent="0.2">
      <c r="A30" s="291" t="s">
        <v>10</v>
      </c>
      <c r="B30" s="219"/>
      <c r="C30" s="224" t="s">
        <v>360</v>
      </c>
      <c r="D30" s="219"/>
      <c r="E30" s="226" t="s">
        <v>663</v>
      </c>
      <c r="F30" s="228"/>
      <c r="G30" s="226" t="s">
        <v>658</v>
      </c>
      <c r="H30" s="228"/>
      <c r="I30" s="233">
        <v>100</v>
      </c>
      <c r="J30" s="228"/>
      <c r="K30" s="224" t="s">
        <v>659</v>
      </c>
      <c r="L30" s="228"/>
      <c r="M30" s="224" t="s">
        <v>363</v>
      </c>
      <c r="N30" s="228"/>
      <c r="O30" s="153" t="s">
        <v>461</v>
      </c>
      <c r="P30" s="151" t="s">
        <v>660</v>
      </c>
      <c r="Q30" s="152"/>
      <c r="R30" s="152"/>
      <c r="S30" s="154"/>
      <c r="T30" s="152"/>
      <c r="U30" s="152"/>
      <c r="V30" s="152"/>
      <c r="W30" s="154"/>
      <c r="X30" s="152"/>
      <c r="Y30" s="152" t="s">
        <v>302</v>
      </c>
      <c r="Z30" s="152"/>
      <c r="AA30" s="154" t="s">
        <v>312</v>
      </c>
      <c r="AB30" s="152"/>
      <c r="AC30" s="152" t="s">
        <v>302</v>
      </c>
      <c r="AD30" s="152"/>
      <c r="AE30" s="154" t="s">
        <v>312</v>
      </c>
      <c r="AF30" s="152" t="s">
        <v>302</v>
      </c>
      <c r="AG30" s="152"/>
      <c r="AH30" s="154" t="s">
        <v>312</v>
      </c>
      <c r="AJ30" s="150"/>
      <c r="AK30" s="150"/>
      <c r="AL30" s="150"/>
      <c r="AM30" s="150"/>
      <c r="AO30" s="243" t="s">
        <v>302</v>
      </c>
      <c r="AP30" s="228"/>
      <c r="AQ30" s="154" t="s">
        <v>312</v>
      </c>
      <c r="AR30" s="224" t="s">
        <v>302</v>
      </c>
      <c r="AS30" s="228"/>
      <c r="AT30" s="285" t="s">
        <v>312</v>
      </c>
      <c r="AU30" s="286"/>
      <c r="AV30" s="88">
        <v>28</v>
      </c>
      <c r="AW30" s="285">
        <v>3750</v>
      </c>
      <c r="AX30" s="286"/>
      <c r="AY30" s="88">
        <v>18</v>
      </c>
      <c r="AZ30" s="147">
        <v>1900</v>
      </c>
      <c r="BA30" s="207" t="s">
        <v>722</v>
      </c>
    </row>
    <row r="31" spans="1:53" ht="55.15" customHeight="1" x14ac:dyDescent="0.2">
      <c r="A31" s="291" t="s">
        <v>10</v>
      </c>
      <c r="B31" s="219"/>
      <c r="C31" s="224" t="s">
        <v>360</v>
      </c>
      <c r="D31" s="219"/>
      <c r="E31" s="226" t="s">
        <v>664</v>
      </c>
      <c r="F31" s="228"/>
      <c r="G31" s="226" t="s">
        <v>658</v>
      </c>
      <c r="H31" s="228"/>
      <c r="I31" s="233">
        <v>50</v>
      </c>
      <c r="J31" s="228"/>
      <c r="K31" s="224" t="s">
        <v>367</v>
      </c>
      <c r="L31" s="228"/>
      <c r="M31" s="224" t="s">
        <v>363</v>
      </c>
      <c r="N31" s="228"/>
      <c r="O31" s="153" t="s">
        <v>461</v>
      </c>
      <c r="P31" s="151" t="s">
        <v>665</v>
      </c>
      <c r="Q31" s="152"/>
      <c r="R31" s="152"/>
      <c r="S31" s="154"/>
      <c r="T31" s="152"/>
      <c r="U31" s="152"/>
      <c r="V31" s="152"/>
      <c r="W31" s="154"/>
      <c r="X31" s="152"/>
      <c r="Y31" s="152" t="s">
        <v>302</v>
      </c>
      <c r="Z31" s="152"/>
      <c r="AA31" s="154" t="s">
        <v>312</v>
      </c>
      <c r="AB31" s="152"/>
      <c r="AC31" s="152" t="s">
        <v>302</v>
      </c>
      <c r="AD31" s="152"/>
      <c r="AE31" s="154" t="s">
        <v>312</v>
      </c>
      <c r="AF31" s="152" t="s">
        <v>302</v>
      </c>
      <c r="AG31" s="152"/>
      <c r="AH31" s="154" t="s">
        <v>312</v>
      </c>
      <c r="AJ31" s="150"/>
      <c r="AK31" s="150"/>
      <c r="AL31" s="150"/>
      <c r="AM31" s="150"/>
      <c r="AO31" s="243" t="s">
        <v>302</v>
      </c>
      <c r="AP31" s="228"/>
      <c r="AQ31" s="154" t="s">
        <v>312</v>
      </c>
      <c r="AR31" s="224" t="s">
        <v>302</v>
      </c>
      <c r="AS31" s="228"/>
      <c r="AT31" s="285" t="s">
        <v>312</v>
      </c>
      <c r="AU31" s="286"/>
      <c r="AV31" s="88" t="s">
        <v>302</v>
      </c>
      <c r="AW31" s="285" t="s">
        <v>567</v>
      </c>
      <c r="AX31" s="286"/>
      <c r="AY31" s="88" t="s">
        <v>302</v>
      </c>
      <c r="AZ31" s="147" t="s">
        <v>567</v>
      </c>
      <c r="BA31" s="207" t="s">
        <v>722</v>
      </c>
    </row>
    <row r="32" spans="1:53" ht="55.15" customHeight="1" x14ac:dyDescent="0.2">
      <c r="A32" s="291" t="s">
        <v>10</v>
      </c>
      <c r="B32" s="219"/>
      <c r="C32" s="224" t="s">
        <v>360</v>
      </c>
      <c r="D32" s="219"/>
      <c r="E32" s="226" t="s">
        <v>725</v>
      </c>
      <c r="F32" s="228"/>
      <c r="G32" s="226" t="s">
        <v>373</v>
      </c>
      <c r="H32" s="228"/>
      <c r="I32" s="233">
        <v>300</v>
      </c>
      <c r="J32" s="228"/>
      <c r="K32" s="224" t="s">
        <v>654</v>
      </c>
      <c r="L32" s="228"/>
      <c r="M32" s="224" t="s">
        <v>363</v>
      </c>
      <c r="N32" s="228"/>
      <c r="O32" s="153" t="s">
        <v>666</v>
      </c>
      <c r="P32" s="151" t="s">
        <v>667</v>
      </c>
      <c r="Q32" s="152"/>
      <c r="R32" s="152"/>
      <c r="S32" s="154"/>
      <c r="T32" s="152"/>
      <c r="U32" s="152"/>
      <c r="V32" s="152"/>
      <c r="W32" s="154"/>
      <c r="X32" s="152"/>
      <c r="Y32" s="152">
        <v>170</v>
      </c>
      <c r="Z32" s="152"/>
      <c r="AA32" s="154">
        <v>87705</v>
      </c>
      <c r="AB32" s="152"/>
      <c r="AC32" s="152">
        <v>70</v>
      </c>
      <c r="AD32" s="152"/>
      <c r="AE32" s="154">
        <v>33900</v>
      </c>
      <c r="AF32" s="152">
        <v>46</v>
      </c>
      <c r="AG32" s="152"/>
      <c r="AH32" s="155">
        <v>15410</v>
      </c>
      <c r="AJ32" s="150"/>
      <c r="AK32" s="150"/>
      <c r="AL32" s="150"/>
      <c r="AM32" s="150"/>
      <c r="AO32" s="243">
        <v>31</v>
      </c>
      <c r="AP32" s="228"/>
      <c r="AQ32" s="154">
        <v>56567</v>
      </c>
      <c r="AR32" s="224">
        <v>40</v>
      </c>
      <c r="AS32" s="228"/>
      <c r="AT32" s="285">
        <v>87401</v>
      </c>
      <c r="AU32" s="286"/>
      <c r="AV32" s="88">
        <v>91</v>
      </c>
      <c r="AW32" s="285">
        <v>17395</v>
      </c>
      <c r="AX32" s="286"/>
      <c r="AY32" s="88">
        <v>128</v>
      </c>
      <c r="AZ32" s="147">
        <v>26310</v>
      </c>
      <c r="BA32" s="207" t="s">
        <v>722</v>
      </c>
    </row>
    <row r="33" spans="1:53" ht="55.15" customHeight="1" x14ac:dyDescent="0.2">
      <c r="A33" s="291" t="s">
        <v>10</v>
      </c>
      <c r="B33" s="219"/>
      <c r="C33" s="224" t="s">
        <v>360</v>
      </c>
      <c r="D33" s="219"/>
      <c r="E33" s="226" t="s">
        <v>668</v>
      </c>
      <c r="F33" s="228"/>
      <c r="G33" s="226" t="s">
        <v>373</v>
      </c>
      <c r="H33" s="228"/>
      <c r="I33" s="233">
        <v>50</v>
      </c>
      <c r="J33" s="228"/>
      <c r="K33" s="224" t="s">
        <v>654</v>
      </c>
      <c r="L33" s="228"/>
      <c r="M33" s="224" t="s">
        <v>363</v>
      </c>
      <c r="N33" s="228"/>
      <c r="O33" s="156">
        <v>2013</v>
      </c>
      <c r="P33" s="151" t="s">
        <v>667</v>
      </c>
      <c r="Q33" s="152"/>
      <c r="R33" s="152"/>
      <c r="S33" s="154"/>
      <c r="T33" s="152"/>
      <c r="U33" s="152"/>
      <c r="V33" s="152"/>
      <c r="W33" s="154"/>
      <c r="X33" s="152"/>
      <c r="Y33" s="152" t="s">
        <v>302</v>
      </c>
      <c r="Z33" s="152"/>
      <c r="AA33" s="154" t="s">
        <v>312</v>
      </c>
      <c r="AB33" s="152"/>
      <c r="AC33" s="152" t="s">
        <v>302</v>
      </c>
      <c r="AD33" s="152"/>
      <c r="AE33" s="154" t="s">
        <v>312</v>
      </c>
      <c r="AF33" s="152" t="s">
        <v>302</v>
      </c>
      <c r="AG33" s="152"/>
      <c r="AH33" s="154" t="s">
        <v>312</v>
      </c>
      <c r="AJ33" s="150"/>
      <c r="AK33" s="150"/>
      <c r="AO33" s="243" t="s">
        <v>302</v>
      </c>
      <c r="AP33" s="228"/>
      <c r="AQ33" s="154" t="s">
        <v>312</v>
      </c>
      <c r="AR33" s="224" t="s">
        <v>302</v>
      </c>
      <c r="AS33" s="228"/>
      <c r="AT33" s="285" t="s">
        <v>312</v>
      </c>
      <c r="AU33" s="286"/>
      <c r="AV33" s="88" t="s">
        <v>302</v>
      </c>
      <c r="AW33" s="285" t="s">
        <v>567</v>
      </c>
      <c r="AX33" s="286"/>
      <c r="AY33" s="88" t="s">
        <v>302</v>
      </c>
      <c r="AZ33" s="147" t="s">
        <v>567</v>
      </c>
      <c r="BA33" s="207" t="s">
        <v>722</v>
      </c>
    </row>
    <row r="34" spans="1:53" ht="55.15" customHeight="1" x14ac:dyDescent="0.2">
      <c r="A34" s="291" t="s">
        <v>10</v>
      </c>
      <c r="B34" s="219"/>
      <c r="C34" s="224" t="s">
        <v>360</v>
      </c>
      <c r="D34" s="219"/>
      <c r="E34" s="226" t="s">
        <v>669</v>
      </c>
      <c r="F34" s="228"/>
      <c r="G34" s="226" t="s">
        <v>373</v>
      </c>
      <c r="H34" s="228"/>
      <c r="I34" s="233">
        <v>100</v>
      </c>
      <c r="J34" s="228"/>
      <c r="K34" s="224" t="s">
        <v>367</v>
      </c>
      <c r="L34" s="228"/>
      <c r="M34" s="224" t="s">
        <v>363</v>
      </c>
      <c r="N34" s="228"/>
      <c r="O34" s="156">
        <v>2013</v>
      </c>
      <c r="P34" s="151" t="s">
        <v>667</v>
      </c>
      <c r="Q34" s="152"/>
      <c r="R34" s="152"/>
      <c r="S34" s="154"/>
      <c r="T34" s="152"/>
      <c r="U34" s="152"/>
      <c r="V34" s="152"/>
      <c r="W34" s="154"/>
      <c r="X34" s="152"/>
      <c r="Y34" s="152" t="s">
        <v>302</v>
      </c>
      <c r="Z34" s="152"/>
      <c r="AA34" s="154" t="s">
        <v>312</v>
      </c>
      <c r="AB34" s="152"/>
      <c r="AC34" s="152" t="s">
        <v>302</v>
      </c>
      <c r="AD34" s="152"/>
      <c r="AE34" s="154" t="s">
        <v>312</v>
      </c>
      <c r="AF34" s="152" t="s">
        <v>302</v>
      </c>
      <c r="AG34" s="152"/>
      <c r="AH34" s="154" t="s">
        <v>312</v>
      </c>
      <c r="AJ34" s="150"/>
      <c r="AK34" s="150"/>
      <c r="AO34" s="243" t="s">
        <v>302</v>
      </c>
      <c r="AP34" s="228"/>
      <c r="AQ34" s="154" t="s">
        <v>312</v>
      </c>
      <c r="AR34" s="224" t="s">
        <v>302</v>
      </c>
      <c r="AS34" s="228"/>
      <c r="AT34" s="285" t="s">
        <v>312</v>
      </c>
      <c r="AU34" s="286"/>
      <c r="AV34" s="88" t="s">
        <v>302</v>
      </c>
      <c r="AW34" s="285" t="s">
        <v>567</v>
      </c>
      <c r="AX34" s="286"/>
      <c r="AY34" s="88" t="s">
        <v>302</v>
      </c>
      <c r="AZ34" s="147" t="s">
        <v>567</v>
      </c>
      <c r="BA34" s="207" t="s">
        <v>722</v>
      </c>
    </row>
    <row r="35" spans="1:53" ht="55.15" customHeight="1" x14ac:dyDescent="0.2">
      <c r="A35" s="291" t="s">
        <v>10</v>
      </c>
      <c r="B35" s="219"/>
      <c r="C35" s="224" t="s">
        <v>360</v>
      </c>
      <c r="D35" s="219"/>
      <c r="E35" s="226" t="s">
        <v>670</v>
      </c>
      <c r="F35" s="228"/>
      <c r="G35" s="226" t="s">
        <v>373</v>
      </c>
      <c r="H35" s="228"/>
      <c r="I35" s="233">
        <v>50</v>
      </c>
      <c r="J35" s="228"/>
      <c r="K35" s="224" t="s">
        <v>654</v>
      </c>
      <c r="L35" s="228"/>
      <c r="M35" s="224" t="s">
        <v>363</v>
      </c>
      <c r="N35" s="228"/>
      <c r="O35" s="156">
        <v>2013</v>
      </c>
      <c r="P35" s="151" t="s">
        <v>667</v>
      </c>
      <c r="Q35" s="152"/>
      <c r="R35" s="152"/>
      <c r="S35" s="154"/>
      <c r="T35" s="152"/>
      <c r="U35" s="152"/>
      <c r="V35" s="152"/>
      <c r="W35" s="154"/>
      <c r="X35" s="152"/>
      <c r="Y35" s="152" t="s">
        <v>302</v>
      </c>
      <c r="Z35" s="152"/>
      <c r="AA35" s="154" t="s">
        <v>312</v>
      </c>
      <c r="AB35" s="152"/>
      <c r="AC35" s="152" t="s">
        <v>302</v>
      </c>
      <c r="AD35" s="152"/>
      <c r="AE35" s="154" t="s">
        <v>312</v>
      </c>
      <c r="AF35" s="152" t="s">
        <v>302</v>
      </c>
      <c r="AG35" s="152"/>
      <c r="AH35" s="154" t="s">
        <v>312</v>
      </c>
      <c r="AJ35" s="150"/>
      <c r="AK35" s="150"/>
      <c r="AO35" s="243" t="s">
        <v>302</v>
      </c>
      <c r="AP35" s="228"/>
      <c r="AQ35" s="154" t="s">
        <v>312</v>
      </c>
      <c r="AR35" s="224" t="s">
        <v>302</v>
      </c>
      <c r="AS35" s="228"/>
      <c r="AT35" s="285" t="s">
        <v>312</v>
      </c>
      <c r="AU35" s="286"/>
      <c r="AV35" s="88" t="s">
        <v>302</v>
      </c>
      <c r="AW35" s="285" t="s">
        <v>567</v>
      </c>
      <c r="AX35" s="286"/>
      <c r="AY35" s="88" t="s">
        <v>302</v>
      </c>
      <c r="AZ35" s="147" t="s">
        <v>567</v>
      </c>
      <c r="BA35" s="207" t="s">
        <v>722</v>
      </c>
    </row>
    <row r="36" spans="1:53" ht="55.15" customHeight="1" x14ac:dyDescent="0.2">
      <c r="A36" s="291" t="s">
        <v>10</v>
      </c>
      <c r="B36" s="219"/>
      <c r="C36" s="224" t="s">
        <v>360</v>
      </c>
      <c r="D36" s="219"/>
      <c r="E36" s="226" t="s">
        <v>726</v>
      </c>
      <c r="F36" s="228"/>
      <c r="G36" s="226" t="s">
        <v>658</v>
      </c>
      <c r="H36" s="228"/>
      <c r="I36" s="233">
        <v>150</v>
      </c>
      <c r="J36" s="228"/>
      <c r="K36" s="224" t="s">
        <v>654</v>
      </c>
      <c r="L36" s="228"/>
      <c r="M36" s="224" t="s">
        <v>363</v>
      </c>
      <c r="N36" s="228"/>
      <c r="O36" s="153" t="s">
        <v>666</v>
      </c>
      <c r="P36" s="151" t="s">
        <v>667</v>
      </c>
      <c r="Q36" s="152"/>
      <c r="R36" s="152"/>
      <c r="S36" s="154"/>
      <c r="T36" s="152"/>
      <c r="U36" s="152"/>
      <c r="V36" s="152"/>
      <c r="W36" s="154"/>
      <c r="X36" s="152"/>
      <c r="Y36" s="152" t="s">
        <v>302</v>
      </c>
      <c r="Z36" s="152"/>
      <c r="AA36" s="154" t="s">
        <v>312</v>
      </c>
      <c r="AB36" s="152"/>
      <c r="AC36" s="152" t="s">
        <v>302</v>
      </c>
      <c r="AD36" s="152"/>
      <c r="AE36" s="154" t="s">
        <v>312</v>
      </c>
      <c r="AF36" s="152" t="s">
        <v>302</v>
      </c>
      <c r="AG36" s="152"/>
      <c r="AH36" s="154" t="s">
        <v>312</v>
      </c>
      <c r="AJ36" s="150"/>
      <c r="AK36" s="150"/>
      <c r="AO36" s="243">
        <v>174</v>
      </c>
      <c r="AP36" s="228"/>
      <c r="AQ36" s="154" t="s">
        <v>312</v>
      </c>
      <c r="AR36" s="224">
        <v>247</v>
      </c>
      <c r="AS36" s="228"/>
      <c r="AT36" s="285" t="s">
        <v>312</v>
      </c>
      <c r="AU36" s="286"/>
      <c r="AV36" s="88">
        <v>223</v>
      </c>
      <c r="AW36" s="285">
        <v>43670</v>
      </c>
      <c r="AX36" s="286"/>
      <c r="AY36" s="88">
        <v>217</v>
      </c>
      <c r="AZ36" s="147">
        <v>46335</v>
      </c>
      <c r="BA36" s="207" t="s">
        <v>722</v>
      </c>
    </row>
    <row r="37" spans="1:53" ht="55.15" customHeight="1" x14ac:dyDescent="0.2">
      <c r="A37" s="291" t="s">
        <v>10</v>
      </c>
      <c r="B37" s="219"/>
      <c r="C37" s="224" t="s">
        <v>360</v>
      </c>
      <c r="D37" s="219"/>
      <c r="E37" s="226" t="s">
        <v>671</v>
      </c>
      <c r="F37" s="228"/>
      <c r="G37" s="226" t="s">
        <v>658</v>
      </c>
      <c r="H37" s="228"/>
      <c r="I37" s="233">
        <v>50</v>
      </c>
      <c r="J37" s="228"/>
      <c r="K37" s="224" t="s">
        <v>367</v>
      </c>
      <c r="L37" s="228"/>
      <c r="M37" s="224" t="s">
        <v>363</v>
      </c>
      <c r="N37" s="228"/>
      <c r="O37" s="156">
        <v>2013</v>
      </c>
      <c r="P37" s="151" t="s">
        <v>667</v>
      </c>
      <c r="Q37" s="152"/>
      <c r="R37" s="152"/>
      <c r="S37" s="154"/>
      <c r="T37" s="152"/>
      <c r="U37" s="152"/>
      <c r="V37" s="152"/>
      <c r="W37" s="154"/>
      <c r="X37" s="152"/>
      <c r="Y37" s="152" t="s">
        <v>302</v>
      </c>
      <c r="Z37" s="152"/>
      <c r="AA37" s="154" t="s">
        <v>312</v>
      </c>
      <c r="AB37" s="152"/>
      <c r="AC37" s="152" t="s">
        <v>302</v>
      </c>
      <c r="AD37" s="152"/>
      <c r="AE37" s="154" t="s">
        <v>312</v>
      </c>
      <c r="AF37" s="152" t="s">
        <v>302</v>
      </c>
      <c r="AG37" s="152"/>
      <c r="AH37" s="154" t="s">
        <v>312</v>
      </c>
      <c r="AJ37" s="150"/>
      <c r="AK37" s="150"/>
      <c r="AO37" s="243" t="s">
        <v>302</v>
      </c>
      <c r="AP37" s="228"/>
      <c r="AQ37" s="154" t="s">
        <v>312</v>
      </c>
      <c r="AR37" s="224" t="s">
        <v>302</v>
      </c>
      <c r="AS37" s="228"/>
      <c r="AT37" s="285" t="s">
        <v>312</v>
      </c>
      <c r="AU37" s="286"/>
      <c r="AV37" s="88" t="s">
        <v>302</v>
      </c>
      <c r="AW37" s="285" t="s">
        <v>567</v>
      </c>
      <c r="AX37" s="286"/>
      <c r="AY37" s="88" t="s">
        <v>302</v>
      </c>
      <c r="AZ37" s="147" t="s">
        <v>567</v>
      </c>
      <c r="BA37" s="207" t="s">
        <v>722</v>
      </c>
    </row>
    <row r="38" spans="1:53" ht="55.15" customHeight="1" x14ac:dyDescent="0.2">
      <c r="A38" s="291" t="s">
        <v>10</v>
      </c>
      <c r="B38" s="219"/>
      <c r="C38" s="224" t="s">
        <v>360</v>
      </c>
      <c r="D38" s="219"/>
      <c r="E38" s="226" t="s">
        <v>672</v>
      </c>
      <c r="F38" s="228"/>
      <c r="G38" s="226" t="s">
        <v>658</v>
      </c>
      <c r="H38" s="228"/>
      <c r="I38" s="233">
        <v>25</v>
      </c>
      <c r="J38" s="228"/>
      <c r="K38" s="224" t="s">
        <v>654</v>
      </c>
      <c r="L38" s="228"/>
      <c r="M38" s="224" t="s">
        <v>363</v>
      </c>
      <c r="N38" s="228"/>
      <c r="O38" s="156">
        <v>2013</v>
      </c>
      <c r="P38" s="151" t="s">
        <v>667</v>
      </c>
      <c r="Q38" s="152"/>
      <c r="R38" s="152"/>
      <c r="S38" s="154"/>
      <c r="T38" s="152"/>
      <c r="U38" s="152"/>
      <c r="V38" s="152"/>
      <c r="W38" s="154"/>
      <c r="X38" s="152"/>
      <c r="Y38" s="152" t="s">
        <v>302</v>
      </c>
      <c r="Z38" s="152"/>
      <c r="AA38" s="154" t="s">
        <v>312</v>
      </c>
      <c r="AB38" s="152"/>
      <c r="AC38" s="152" t="s">
        <v>302</v>
      </c>
      <c r="AD38" s="152"/>
      <c r="AE38" s="154" t="s">
        <v>312</v>
      </c>
      <c r="AF38" s="152" t="s">
        <v>302</v>
      </c>
      <c r="AG38" s="152"/>
      <c r="AH38" s="154" t="s">
        <v>312</v>
      </c>
      <c r="AJ38" s="150"/>
      <c r="AK38" s="150"/>
      <c r="AO38" s="243" t="s">
        <v>302</v>
      </c>
      <c r="AP38" s="228"/>
      <c r="AQ38" s="154" t="s">
        <v>312</v>
      </c>
      <c r="AR38" s="224" t="s">
        <v>302</v>
      </c>
      <c r="AS38" s="228"/>
      <c r="AT38" s="285" t="s">
        <v>312</v>
      </c>
      <c r="AU38" s="286"/>
      <c r="AV38" s="88" t="s">
        <v>302</v>
      </c>
      <c r="AW38" s="285" t="s">
        <v>567</v>
      </c>
      <c r="AX38" s="286"/>
      <c r="AY38" s="88" t="s">
        <v>302</v>
      </c>
      <c r="AZ38" s="147" t="s">
        <v>567</v>
      </c>
      <c r="BA38" s="207" t="s">
        <v>722</v>
      </c>
    </row>
    <row r="39" spans="1:53" ht="55.15" customHeight="1" x14ac:dyDescent="0.2">
      <c r="A39" s="291" t="s">
        <v>10</v>
      </c>
      <c r="B39" s="219"/>
      <c r="C39" s="224" t="s">
        <v>360</v>
      </c>
      <c r="D39" s="219"/>
      <c r="E39" s="226" t="s">
        <v>673</v>
      </c>
      <c r="F39" s="228"/>
      <c r="G39" s="226" t="s">
        <v>658</v>
      </c>
      <c r="H39" s="228"/>
      <c r="I39" s="233">
        <v>50</v>
      </c>
      <c r="J39" s="228"/>
      <c r="K39" s="224" t="s">
        <v>351</v>
      </c>
      <c r="L39" s="228"/>
      <c r="M39" s="224" t="s">
        <v>363</v>
      </c>
      <c r="N39" s="228"/>
      <c r="O39" s="156">
        <v>2013</v>
      </c>
      <c r="P39" s="151" t="s">
        <v>667</v>
      </c>
      <c r="Q39" s="152"/>
      <c r="R39" s="152"/>
      <c r="S39" s="154"/>
      <c r="T39" s="152"/>
      <c r="U39" s="152"/>
      <c r="V39" s="152"/>
      <c r="W39" s="154"/>
      <c r="X39" s="152"/>
      <c r="Y39" s="152" t="s">
        <v>302</v>
      </c>
      <c r="Z39" s="152"/>
      <c r="AA39" s="154" t="s">
        <v>312</v>
      </c>
      <c r="AB39" s="152"/>
      <c r="AC39" s="152" t="s">
        <v>302</v>
      </c>
      <c r="AD39" s="152"/>
      <c r="AE39" s="154" t="s">
        <v>312</v>
      </c>
      <c r="AF39" s="152" t="s">
        <v>302</v>
      </c>
      <c r="AG39" s="152"/>
      <c r="AH39" s="154" t="s">
        <v>312</v>
      </c>
      <c r="AJ39" s="150"/>
      <c r="AK39" s="150"/>
      <c r="AO39" s="243" t="s">
        <v>302</v>
      </c>
      <c r="AP39" s="228"/>
      <c r="AQ39" s="154" t="s">
        <v>312</v>
      </c>
      <c r="AR39" s="224" t="s">
        <v>302</v>
      </c>
      <c r="AS39" s="228"/>
      <c r="AT39" s="285" t="s">
        <v>312</v>
      </c>
      <c r="AU39" s="286"/>
      <c r="AV39" s="88">
        <v>71</v>
      </c>
      <c r="AW39" s="285">
        <v>4565</v>
      </c>
      <c r="AX39" s="286"/>
      <c r="AY39" s="88">
        <v>69</v>
      </c>
      <c r="AZ39" s="147">
        <v>7510</v>
      </c>
      <c r="BA39" s="207" t="s">
        <v>722</v>
      </c>
    </row>
    <row r="40" spans="1:53" ht="55.15" customHeight="1" x14ac:dyDescent="0.2">
      <c r="A40" s="289" t="s">
        <v>10</v>
      </c>
      <c r="B40" s="196"/>
      <c r="C40" s="223" t="s">
        <v>360</v>
      </c>
      <c r="D40" s="196"/>
      <c r="E40" s="225" t="s">
        <v>756</v>
      </c>
      <c r="F40" s="227"/>
      <c r="G40" s="225" t="s">
        <v>380</v>
      </c>
      <c r="H40" s="227"/>
      <c r="I40" s="231" t="s">
        <v>754</v>
      </c>
      <c r="J40" s="235"/>
      <c r="K40" s="223" t="s">
        <v>381</v>
      </c>
      <c r="L40" s="235"/>
      <c r="M40" s="223" t="s">
        <v>371</v>
      </c>
      <c r="N40" s="235"/>
      <c r="O40" s="148" t="s">
        <v>462</v>
      </c>
      <c r="P40" s="144" t="s">
        <v>382</v>
      </c>
      <c r="Q40" s="146" t="s">
        <v>302</v>
      </c>
      <c r="R40" s="146"/>
      <c r="S40" s="147">
        <v>295000</v>
      </c>
      <c r="T40" s="146"/>
      <c r="U40" s="145">
        <v>262</v>
      </c>
      <c r="V40" s="146"/>
      <c r="W40" s="147">
        <v>67760</v>
      </c>
      <c r="X40" s="146"/>
      <c r="Y40" s="146">
        <v>339</v>
      </c>
      <c r="Z40" s="146"/>
      <c r="AA40" s="147">
        <v>386352</v>
      </c>
      <c r="AB40" s="146"/>
      <c r="AC40" s="145">
        <v>326</v>
      </c>
      <c r="AD40" s="146"/>
      <c r="AE40" s="147">
        <v>528410</v>
      </c>
      <c r="AF40" s="145">
        <v>294</v>
      </c>
      <c r="AG40" s="146"/>
      <c r="AH40" s="147">
        <v>485831</v>
      </c>
      <c r="AI40" s="209"/>
      <c r="AJ40" s="150"/>
      <c r="AK40" s="157" t="s">
        <v>372</v>
      </c>
      <c r="AO40" s="88">
        <v>280</v>
      </c>
      <c r="AP40" s="235"/>
      <c r="AQ40" s="147">
        <v>524486</v>
      </c>
      <c r="AR40" s="223">
        <v>233</v>
      </c>
      <c r="AS40" s="235"/>
      <c r="AT40" s="285">
        <v>452017</v>
      </c>
      <c r="AU40" s="286"/>
      <c r="AV40" s="88">
        <v>294</v>
      </c>
      <c r="AW40" s="285">
        <v>355609</v>
      </c>
      <c r="AX40" s="286"/>
      <c r="AY40" s="88">
        <v>233</v>
      </c>
      <c r="AZ40" s="147">
        <v>321803</v>
      </c>
      <c r="BA40" s="207" t="s">
        <v>722</v>
      </c>
    </row>
    <row r="41" spans="1:53" ht="62.25" customHeight="1" x14ac:dyDescent="0.2">
      <c r="A41" s="289" t="s">
        <v>10</v>
      </c>
      <c r="B41" s="196"/>
      <c r="C41" s="223" t="s">
        <v>360</v>
      </c>
      <c r="D41" s="196"/>
      <c r="E41" s="225" t="s">
        <v>383</v>
      </c>
      <c r="F41" s="227"/>
      <c r="G41" s="225" t="s">
        <v>380</v>
      </c>
      <c r="H41" s="227"/>
      <c r="I41" s="223" t="s">
        <v>755</v>
      </c>
      <c r="J41" s="235"/>
      <c r="K41" s="223" t="s">
        <v>381</v>
      </c>
      <c r="L41" s="235"/>
      <c r="M41" s="223" t="s">
        <v>371</v>
      </c>
      <c r="N41" s="235"/>
      <c r="O41" s="148" t="s">
        <v>462</v>
      </c>
      <c r="P41" s="144" t="s">
        <v>382</v>
      </c>
      <c r="Q41" s="146" t="s">
        <v>302</v>
      </c>
      <c r="R41" s="146"/>
      <c r="S41" s="147" t="s">
        <v>312</v>
      </c>
      <c r="T41" s="146"/>
      <c r="U41" s="145">
        <v>123</v>
      </c>
      <c r="V41" s="146"/>
      <c r="W41" s="147">
        <v>246000</v>
      </c>
      <c r="X41" s="146"/>
      <c r="Y41" s="145" t="s">
        <v>302</v>
      </c>
      <c r="Z41" s="146"/>
      <c r="AA41" s="147" t="s">
        <v>567</v>
      </c>
      <c r="AB41" s="146"/>
      <c r="AC41" s="145" t="s">
        <v>302</v>
      </c>
      <c r="AD41" s="146"/>
      <c r="AE41" s="147" t="s">
        <v>567</v>
      </c>
      <c r="AF41" s="145" t="s">
        <v>302</v>
      </c>
      <c r="AG41" s="146"/>
      <c r="AH41" s="147" t="s">
        <v>567</v>
      </c>
      <c r="AI41" s="209"/>
      <c r="AJ41" s="150"/>
      <c r="AK41" s="157" t="s">
        <v>372</v>
      </c>
      <c r="AO41" s="88" t="s">
        <v>302</v>
      </c>
      <c r="AP41" s="235"/>
      <c r="AQ41" s="147" t="s">
        <v>312</v>
      </c>
      <c r="AR41" s="223" t="s">
        <v>302</v>
      </c>
      <c r="AS41" s="235"/>
      <c r="AT41" s="285" t="s">
        <v>312</v>
      </c>
      <c r="AU41" s="286"/>
      <c r="AV41" s="88" t="s">
        <v>302</v>
      </c>
      <c r="AW41" s="285" t="s">
        <v>567</v>
      </c>
      <c r="AX41" s="286"/>
      <c r="AY41" s="88" t="s">
        <v>302</v>
      </c>
      <c r="AZ41" s="147" t="s">
        <v>567</v>
      </c>
      <c r="BA41" s="207" t="s">
        <v>722</v>
      </c>
    </row>
    <row r="42" spans="1:53" ht="55.15" customHeight="1" x14ac:dyDescent="0.2">
      <c r="A42" s="289" t="s">
        <v>10</v>
      </c>
      <c r="B42" s="196"/>
      <c r="C42" s="223" t="s">
        <v>360</v>
      </c>
      <c r="D42" s="196"/>
      <c r="E42" s="225" t="s">
        <v>727</v>
      </c>
      <c r="F42" s="227"/>
      <c r="G42" s="225" t="s">
        <v>380</v>
      </c>
      <c r="H42" s="227"/>
      <c r="I42" s="231">
        <v>100</v>
      </c>
      <c r="J42" s="235"/>
      <c r="K42" s="223" t="s">
        <v>381</v>
      </c>
      <c r="L42" s="235"/>
      <c r="M42" s="223" t="s">
        <v>371</v>
      </c>
      <c r="N42" s="235"/>
      <c r="O42" s="148" t="s">
        <v>462</v>
      </c>
      <c r="P42" s="144" t="s">
        <v>382</v>
      </c>
      <c r="Q42" s="146" t="s">
        <v>302</v>
      </c>
      <c r="R42" s="146"/>
      <c r="S42" s="147">
        <v>65900</v>
      </c>
      <c r="T42" s="146"/>
      <c r="U42" s="145"/>
      <c r="V42" s="146"/>
      <c r="W42" s="147">
        <v>74200</v>
      </c>
      <c r="X42" s="146"/>
      <c r="Y42" s="146">
        <v>167</v>
      </c>
      <c r="Z42" s="146"/>
      <c r="AA42" s="147">
        <v>62503</v>
      </c>
      <c r="AB42" s="146"/>
      <c r="AC42" s="145">
        <v>166</v>
      </c>
      <c r="AD42" s="146"/>
      <c r="AE42" s="147">
        <v>47900</v>
      </c>
      <c r="AF42" s="145">
        <v>146</v>
      </c>
      <c r="AG42" s="146"/>
      <c r="AH42" s="147">
        <v>44700</v>
      </c>
      <c r="AI42" s="209"/>
      <c r="AJ42" s="150"/>
      <c r="AK42" s="157" t="s">
        <v>372</v>
      </c>
      <c r="AO42" s="88">
        <v>125</v>
      </c>
      <c r="AP42" s="235"/>
      <c r="AQ42" s="147">
        <v>37050</v>
      </c>
      <c r="AR42" s="223">
        <v>137</v>
      </c>
      <c r="AS42" s="235"/>
      <c r="AT42" s="285">
        <v>31580</v>
      </c>
      <c r="AU42" s="286"/>
      <c r="AV42" s="88">
        <v>175</v>
      </c>
      <c r="AW42" s="285">
        <v>54200</v>
      </c>
      <c r="AX42" s="286"/>
      <c r="AY42" s="88">
        <v>145</v>
      </c>
      <c r="AZ42" s="147">
        <v>47800</v>
      </c>
      <c r="BA42" s="207" t="s">
        <v>722</v>
      </c>
    </row>
    <row r="43" spans="1:53" ht="55.15" customHeight="1" x14ac:dyDescent="0.2">
      <c r="A43" s="289" t="s">
        <v>10</v>
      </c>
      <c r="B43" s="196"/>
      <c r="C43" s="223" t="s">
        <v>360</v>
      </c>
      <c r="D43" s="196"/>
      <c r="E43" s="225" t="s">
        <v>674</v>
      </c>
      <c r="F43" s="227"/>
      <c r="G43" s="225" t="s">
        <v>380</v>
      </c>
      <c r="H43" s="227"/>
      <c r="I43" s="231">
        <v>200</v>
      </c>
      <c r="J43" s="235"/>
      <c r="K43" s="223" t="s">
        <v>381</v>
      </c>
      <c r="L43" s="235"/>
      <c r="M43" s="223" t="s">
        <v>371</v>
      </c>
      <c r="N43" s="235"/>
      <c r="O43" s="148" t="s">
        <v>462</v>
      </c>
      <c r="P43" s="144" t="s">
        <v>382</v>
      </c>
      <c r="Q43" s="146"/>
      <c r="R43" s="146"/>
      <c r="S43" s="147" t="s">
        <v>312</v>
      </c>
      <c r="T43" s="146"/>
      <c r="U43" s="145"/>
      <c r="V43" s="146"/>
      <c r="W43" s="147" t="s">
        <v>567</v>
      </c>
      <c r="X43" s="146"/>
      <c r="Y43" s="145" t="s">
        <v>302</v>
      </c>
      <c r="Z43" s="146"/>
      <c r="AA43" s="147" t="s">
        <v>567</v>
      </c>
      <c r="AB43" s="146"/>
      <c r="AC43" s="145" t="s">
        <v>302</v>
      </c>
      <c r="AD43" s="146"/>
      <c r="AE43" s="147" t="s">
        <v>567</v>
      </c>
      <c r="AF43" s="145" t="s">
        <v>302</v>
      </c>
      <c r="AG43" s="146"/>
      <c r="AH43" s="147" t="s">
        <v>567</v>
      </c>
      <c r="AI43" s="209"/>
      <c r="AJ43" s="150"/>
      <c r="AK43" s="150"/>
      <c r="AO43" s="88" t="s">
        <v>302</v>
      </c>
      <c r="AP43" s="235"/>
      <c r="AQ43" s="147" t="s">
        <v>312</v>
      </c>
      <c r="AR43" s="223" t="s">
        <v>302</v>
      </c>
      <c r="AS43" s="235"/>
      <c r="AT43" s="285" t="s">
        <v>312</v>
      </c>
      <c r="AU43" s="286"/>
      <c r="AV43" s="88" t="s">
        <v>302</v>
      </c>
      <c r="AW43" s="285" t="s">
        <v>567</v>
      </c>
      <c r="AX43" s="286"/>
      <c r="AY43" s="88" t="s">
        <v>302</v>
      </c>
      <c r="AZ43" s="147" t="s">
        <v>567</v>
      </c>
      <c r="BA43" s="207" t="s">
        <v>722</v>
      </c>
    </row>
    <row r="44" spans="1:53" ht="55.15" customHeight="1" x14ac:dyDescent="0.2">
      <c r="A44" s="289" t="s">
        <v>10</v>
      </c>
      <c r="B44" s="196"/>
      <c r="C44" s="223" t="s">
        <v>360</v>
      </c>
      <c r="D44" s="196"/>
      <c r="E44" s="225" t="s">
        <v>384</v>
      </c>
      <c r="F44" s="227"/>
      <c r="G44" s="225" t="s">
        <v>380</v>
      </c>
      <c r="H44" s="227"/>
      <c r="I44" s="231">
        <v>400</v>
      </c>
      <c r="J44" s="235"/>
      <c r="K44" s="223" t="s">
        <v>381</v>
      </c>
      <c r="L44" s="235"/>
      <c r="M44" s="223" t="s">
        <v>371</v>
      </c>
      <c r="N44" s="235"/>
      <c r="O44" s="148" t="s">
        <v>462</v>
      </c>
      <c r="P44" s="144" t="s">
        <v>382</v>
      </c>
      <c r="Q44" s="146"/>
      <c r="R44" s="146"/>
      <c r="S44" s="147" t="s">
        <v>312</v>
      </c>
      <c r="T44" s="146"/>
      <c r="U44" s="145"/>
      <c r="V44" s="146"/>
      <c r="W44" s="147" t="s">
        <v>567</v>
      </c>
      <c r="X44" s="146"/>
      <c r="Y44" s="145" t="s">
        <v>302</v>
      </c>
      <c r="Z44" s="146"/>
      <c r="AA44" s="147" t="s">
        <v>567</v>
      </c>
      <c r="AB44" s="146"/>
      <c r="AC44" s="145" t="s">
        <v>302</v>
      </c>
      <c r="AD44" s="146"/>
      <c r="AE44" s="147" t="s">
        <v>567</v>
      </c>
      <c r="AF44" s="145" t="s">
        <v>302</v>
      </c>
      <c r="AG44" s="146"/>
      <c r="AH44" s="147" t="s">
        <v>567</v>
      </c>
      <c r="AI44" s="209"/>
      <c r="AJ44" s="150"/>
      <c r="AK44" s="150"/>
      <c r="AO44" s="88" t="s">
        <v>302</v>
      </c>
      <c r="AP44" s="235"/>
      <c r="AQ44" s="147" t="s">
        <v>312</v>
      </c>
      <c r="AR44" s="223" t="s">
        <v>302</v>
      </c>
      <c r="AS44" s="235"/>
      <c r="AT44" s="285" t="s">
        <v>312</v>
      </c>
      <c r="AU44" s="286"/>
      <c r="AV44" s="88" t="s">
        <v>302</v>
      </c>
      <c r="AW44" s="285" t="s">
        <v>567</v>
      </c>
      <c r="AX44" s="286"/>
      <c r="AY44" s="88" t="s">
        <v>302</v>
      </c>
      <c r="AZ44" s="147" t="s">
        <v>567</v>
      </c>
      <c r="BA44" s="207" t="s">
        <v>722</v>
      </c>
    </row>
    <row r="45" spans="1:53" ht="55.15" customHeight="1" x14ac:dyDescent="0.2">
      <c r="A45" s="289" t="s">
        <v>10</v>
      </c>
      <c r="B45" s="196"/>
      <c r="C45" s="223" t="s">
        <v>360</v>
      </c>
      <c r="D45" s="196"/>
      <c r="E45" s="225" t="s">
        <v>728</v>
      </c>
      <c r="F45" s="227"/>
      <c r="G45" s="225" t="s">
        <v>380</v>
      </c>
      <c r="H45" s="227"/>
      <c r="I45" s="231">
        <v>100</v>
      </c>
      <c r="J45" s="235"/>
      <c r="K45" s="223" t="s">
        <v>381</v>
      </c>
      <c r="L45" s="235"/>
      <c r="M45" s="223" t="s">
        <v>371</v>
      </c>
      <c r="N45" s="235"/>
      <c r="O45" s="148" t="s">
        <v>462</v>
      </c>
      <c r="P45" s="144" t="s">
        <v>382</v>
      </c>
      <c r="Q45" s="146"/>
      <c r="R45" s="146"/>
      <c r="S45" s="147">
        <v>52100</v>
      </c>
      <c r="T45" s="146"/>
      <c r="U45" s="145"/>
      <c r="V45" s="146"/>
      <c r="W45" s="147">
        <v>59225</v>
      </c>
      <c r="X45" s="146"/>
      <c r="Y45" s="146">
        <v>223</v>
      </c>
      <c r="Z45" s="146"/>
      <c r="AA45" s="147">
        <v>53300</v>
      </c>
      <c r="AB45" s="146"/>
      <c r="AC45" s="145">
        <v>163</v>
      </c>
      <c r="AD45" s="146"/>
      <c r="AE45" s="147">
        <v>43300</v>
      </c>
      <c r="AF45" s="145">
        <v>186</v>
      </c>
      <c r="AG45" s="146"/>
      <c r="AH45" s="147">
        <v>42620</v>
      </c>
      <c r="AI45" s="209"/>
      <c r="AJ45" s="150"/>
      <c r="AK45" s="150"/>
      <c r="AO45" s="88">
        <v>184</v>
      </c>
      <c r="AP45" s="235"/>
      <c r="AQ45" s="147">
        <v>42162</v>
      </c>
      <c r="AR45" s="223">
        <v>191</v>
      </c>
      <c r="AS45" s="235"/>
      <c r="AT45" s="285">
        <v>43765</v>
      </c>
      <c r="AU45" s="286"/>
      <c r="AV45" s="88">
        <v>253</v>
      </c>
      <c r="AW45" s="285">
        <v>60700</v>
      </c>
      <c r="AX45" s="286"/>
      <c r="AY45" s="88">
        <v>185</v>
      </c>
      <c r="AZ45" s="147">
        <v>46600</v>
      </c>
      <c r="BA45" s="207" t="s">
        <v>722</v>
      </c>
    </row>
    <row r="46" spans="1:53" ht="55.15" customHeight="1" x14ac:dyDescent="0.2">
      <c r="A46" s="289" t="s">
        <v>10</v>
      </c>
      <c r="B46" s="196"/>
      <c r="C46" s="223" t="s">
        <v>360</v>
      </c>
      <c r="D46" s="196"/>
      <c r="E46" s="225" t="s">
        <v>675</v>
      </c>
      <c r="F46" s="227"/>
      <c r="G46" s="225" t="s">
        <v>380</v>
      </c>
      <c r="H46" s="227"/>
      <c r="I46" s="231">
        <v>200</v>
      </c>
      <c r="J46" s="235"/>
      <c r="K46" s="223" t="s">
        <v>381</v>
      </c>
      <c r="L46" s="235"/>
      <c r="M46" s="223" t="s">
        <v>371</v>
      </c>
      <c r="N46" s="235"/>
      <c r="O46" s="148" t="s">
        <v>462</v>
      </c>
      <c r="P46" s="144" t="s">
        <v>382</v>
      </c>
      <c r="Q46" s="146"/>
      <c r="R46" s="146"/>
      <c r="S46" s="147" t="s">
        <v>312</v>
      </c>
      <c r="T46" s="146"/>
      <c r="U46" s="145"/>
      <c r="V46" s="146"/>
      <c r="W46" s="147" t="s">
        <v>567</v>
      </c>
      <c r="X46" s="146"/>
      <c r="Y46" s="145" t="s">
        <v>302</v>
      </c>
      <c r="Z46" s="146"/>
      <c r="AA46" s="147" t="s">
        <v>567</v>
      </c>
      <c r="AB46" s="146"/>
      <c r="AC46" s="145" t="s">
        <v>302</v>
      </c>
      <c r="AD46" s="146"/>
      <c r="AE46" s="147" t="s">
        <v>567</v>
      </c>
      <c r="AF46" s="145" t="s">
        <v>302</v>
      </c>
      <c r="AG46" s="146"/>
      <c r="AH46" s="147" t="s">
        <v>567</v>
      </c>
      <c r="AI46" s="209"/>
      <c r="AJ46" s="150"/>
      <c r="AK46" s="150"/>
      <c r="AO46" s="88" t="s">
        <v>302</v>
      </c>
      <c r="AP46" s="235"/>
      <c r="AQ46" s="147" t="s">
        <v>312</v>
      </c>
      <c r="AR46" s="223" t="s">
        <v>302</v>
      </c>
      <c r="AS46" s="235"/>
      <c r="AT46" s="285" t="s">
        <v>312</v>
      </c>
      <c r="AU46" s="286"/>
      <c r="AV46" s="88" t="s">
        <v>302</v>
      </c>
      <c r="AW46" s="285" t="s">
        <v>567</v>
      </c>
      <c r="AX46" s="286"/>
      <c r="AY46" s="88" t="s">
        <v>302</v>
      </c>
      <c r="AZ46" s="147" t="s">
        <v>567</v>
      </c>
      <c r="BA46" s="207" t="s">
        <v>722</v>
      </c>
    </row>
    <row r="47" spans="1:53" ht="55.15" customHeight="1" x14ac:dyDescent="0.2">
      <c r="A47" s="289" t="s">
        <v>10</v>
      </c>
      <c r="B47" s="196"/>
      <c r="C47" s="223" t="s">
        <v>360</v>
      </c>
      <c r="D47" s="196"/>
      <c r="E47" s="225" t="s">
        <v>385</v>
      </c>
      <c r="F47" s="227"/>
      <c r="G47" s="225" t="s">
        <v>380</v>
      </c>
      <c r="H47" s="227"/>
      <c r="I47" s="231">
        <v>400</v>
      </c>
      <c r="J47" s="235"/>
      <c r="K47" s="223" t="s">
        <v>381</v>
      </c>
      <c r="L47" s="235"/>
      <c r="M47" s="223" t="s">
        <v>371</v>
      </c>
      <c r="N47" s="235"/>
      <c r="O47" s="148" t="s">
        <v>462</v>
      </c>
      <c r="P47" s="144" t="s">
        <v>382</v>
      </c>
      <c r="Q47" s="146"/>
      <c r="R47" s="146"/>
      <c r="S47" s="147" t="s">
        <v>312</v>
      </c>
      <c r="T47" s="146"/>
      <c r="U47" s="145"/>
      <c r="V47" s="146"/>
      <c r="W47" s="147" t="s">
        <v>567</v>
      </c>
      <c r="X47" s="146"/>
      <c r="Y47" s="145" t="s">
        <v>302</v>
      </c>
      <c r="Z47" s="146"/>
      <c r="AA47" s="147" t="s">
        <v>567</v>
      </c>
      <c r="AB47" s="146"/>
      <c r="AC47" s="145" t="s">
        <v>302</v>
      </c>
      <c r="AD47" s="146"/>
      <c r="AE47" s="147" t="s">
        <v>567</v>
      </c>
      <c r="AF47" s="145" t="s">
        <v>302</v>
      </c>
      <c r="AG47" s="146"/>
      <c r="AH47" s="147" t="s">
        <v>567</v>
      </c>
      <c r="AI47" s="209"/>
      <c r="AJ47" s="150"/>
      <c r="AK47" s="150"/>
      <c r="AO47" s="88" t="s">
        <v>302</v>
      </c>
      <c r="AP47" s="235"/>
      <c r="AQ47" s="147" t="s">
        <v>312</v>
      </c>
      <c r="AR47" s="223" t="s">
        <v>302</v>
      </c>
      <c r="AS47" s="235"/>
      <c r="AT47" s="285" t="s">
        <v>312</v>
      </c>
      <c r="AU47" s="286"/>
      <c r="AV47" s="88" t="s">
        <v>302</v>
      </c>
      <c r="AW47" s="285" t="s">
        <v>567</v>
      </c>
      <c r="AX47" s="286"/>
      <c r="AY47" s="88" t="s">
        <v>302</v>
      </c>
      <c r="AZ47" s="147" t="s">
        <v>567</v>
      </c>
      <c r="BA47" s="207" t="s">
        <v>722</v>
      </c>
    </row>
    <row r="48" spans="1:53" ht="55.15" customHeight="1" x14ac:dyDescent="0.2">
      <c r="A48" s="289" t="s">
        <v>10</v>
      </c>
      <c r="B48" s="196"/>
      <c r="C48" s="223" t="s">
        <v>360</v>
      </c>
      <c r="D48" s="196"/>
      <c r="E48" s="225" t="s">
        <v>386</v>
      </c>
      <c r="F48" s="227"/>
      <c r="G48" s="225"/>
      <c r="H48" s="227"/>
      <c r="I48" s="223" t="s">
        <v>387</v>
      </c>
      <c r="J48" s="235"/>
      <c r="K48" s="223" t="s">
        <v>388</v>
      </c>
      <c r="L48" s="235"/>
      <c r="M48" s="223" t="s">
        <v>371</v>
      </c>
      <c r="N48" s="235"/>
      <c r="O48" s="148" t="s">
        <v>461</v>
      </c>
      <c r="P48" s="144" t="s">
        <v>389</v>
      </c>
      <c r="Q48" s="146"/>
      <c r="R48" s="146"/>
      <c r="S48" s="147">
        <v>18887</v>
      </c>
      <c r="T48" s="146"/>
      <c r="U48" s="145">
        <v>18</v>
      </c>
      <c r="V48" s="146"/>
      <c r="W48" s="147">
        <v>13725</v>
      </c>
      <c r="X48" s="146"/>
      <c r="Y48" s="145" t="s">
        <v>302</v>
      </c>
      <c r="Z48" s="146"/>
      <c r="AA48" s="147" t="s">
        <v>567</v>
      </c>
      <c r="AB48" s="146"/>
      <c r="AC48" s="145" t="s">
        <v>302</v>
      </c>
      <c r="AD48" s="146"/>
      <c r="AE48" s="147" t="s">
        <v>567</v>
      </c>
      <c r="AF48" s="145" t="s">
        <v>302</v>
      </c>
      <c r="AG48" s="146"/>
      <c r="AH48" s="147" t="s">
        <v>567</v>
      </c>
      <c r="AI48" s="209"/>
      <c r="AJ48" s="150"/>
      <c r="AK48" s="157" t="s">
        <v>372</v>
      </c>
      <c r="AO48" s="88" t="s">
        <v>302</v>
      </c>
      <c r="AP48" s="235"/>
      <c r="AQ48" s="147" t="s">
        <v>312</v>
      </c>
      <c r="AR48" s="223" t="s">
        <v>302</v>
      </c>
      <c r="AS48" s="235"/>
      <c r="AT48" s="285" t="s">
        <v>312</v>
      </c>
      <c r="AU48" s="286"/>
      <c r="AV48" s="88" t="s">
        <v>302</v>
      </c>
      <c r="AW48" s="285" t="s">
        <v>567</v>
      </c>
      <c r="AX48" s="286"/>
      <c r="AY48" s="88" t="s">
        <v>302</v>
      </c>
      <c r="AZ48" s="147" t="s">
        <v>567</v>
      </c>
      <c r="BA48" s="207" t="s">
        <v>722</v>
      </c>
    </row>
    <row r="49" spans="1:53" ht="55.15" customHeight="1" x14ac:dyDescent="0.2">
      <c r="A49" s="289" t="s">
        <v>10</v>
      </c>
      <c r="B49" s="196"/>
      <c r="C49" s="223" t="s">
        <v>360</v>
      </c>
      <c r="D49" s="196"/>
      <c r="E49" s="225" t="s">
        <v>390</v>
      </c>
      <c r="F49" s="227"/>
      <c r="G49" s="225"/>
      <c r="H49" s="227"/>
      <c r="I49" s="223">
        <v>900</v>
      </c>
      <c r="J49" s="235"/>
      <c r="K49" s="223" t="s">
        <v>388</v>
      </c>
      <c r="L49" s="235"/>
      <c r="M49" s="223" t="s">
        <v>371</v>
      </c>
      <c r="N49" s="235"/>
      <c r="O49" s="148" t="s">
        <v>461</v>
      </c>
      <c r="P49" s="144" t="s">
        <v>389</v>
      </c>
      <c r="Q49" s="146"/>
      <c r="R49" s="146"/>
      <c r="S49" s="147">
        <v>7200</v>
      </c>
      <c r="T49" s="146"/>
      <c r="U49" s="145">
        <v>11</v>
      </c>
      <c r="V49" s="146"/>
      <c r="W49" s="147">
        <v>9900</v>
      </c>
      <c r="X49" s="146"/>
      <c r="Y49" s="145" t="s">
        <v>302</v>
      </c>
      <c r="Z49" s="146"/>
      <c r="AA49" s="147" t="s">
        <v>567</v>
      </c>
      <c r="AB49" s="146"/>
      <c r="AC49" s="145" t="s">
        <v>302</v>
      </c>
      <c r="AD49" s="146"/>
      <c r="AE49" s="147" t="s">
        <v>567</v>
      </c>
      <c r="AF49" s="145" t="s">
        <v>302</v>
      </c>
      <c r="AG49" s="146"/>
      <c r="AH49" s="147" t="s">
        <v>567</v>
      </c>
      <c r="AI49" s="209"/>
      <c r="AJ49" s="150"/>
      <c r="AK49" s="150"/>
      <c r="AL49" s="150"/>
      <c r="AM49" s="150"/>
      <c r="AN49" s="196"/>
      <c r="AO49" s="88" t="s">
        <v>302</v>
      </c>
      <c r="AP49" s="235"/>
      <c r="AQ49" s="147" t="s">
        <v>312</v>
      </c>
      <c r="AR49" s="223" t="s">
        <v>302</v>
      </c>
      <c r="AS49" s="235"/>
      <c r="AT49" s="285" t="s">
        <v>312</v>
      </c>
      <c r="AU49" s="286"/>
      <c r="AV49" s="88" t="s">
        <v>302</v>
      </c>
      <c r="AW49" s="285" t="s">
        <v>567</v>
      </c>
      <c r="AX49" s="286"/>
      <c r="AY49" s="88" t="s">
        <v>302</v>
      </c>
      <c r="AZ49" s="147" t="s">
        <v>567</v>
      </c>
      <c r="BA49" s="207" t="s">
        <v>722</v>
      </c>
    </row>
    <row r="50" spans="1:53" ht="55.15" customHeight="1" x14ac:dyDescent="0.2">
      <c r="A50" s="289" t="s">
        <v>10</v>
      </c>
      <c r="B50" s="196"/>
      <c r="C50" s="223" t="s">
        <v>360</v>
      </c>
      <c r="D50" s="196"/>
      <c r="E50" s="225" t="s">
        <v>391</v>
      </c>
      <c r="F50" s="227"/>
      <c r="G50" s="225"/>
      <c r="H50" s="227"/>
      <c r="I50" s="223" t="s">
        <v>387</v>
      </c>
      <c r="J50" s="235"/>
      <c r="K50" s="223" t="s">
        <v>388</v>
      </c>
      <c r="L50" s="235"/>
      <c r="M50" s="223" t="s">
        <v>371</v>
      </c>
      <c r="N50" s="235"/>
      <c r="O50" s="148" t="s">
        <v>461</v>
      </c>
      <c r="P50" s="144" t="s">
        <v>392</v>
      </c>
      <c r="Q50" s="146"/>
      <c r="R50" s="146"/>
      <c r="S50" s="147">
        <v>41928</v>
      </c>
      <c r="T50" s="146"/>
      <c r="U50" s="145">
        <v>110</v>
      </c>
      <c r="V50" s="146"/>
      <c r="W50" s="147">
        <v>72765</v>
      </c>
      <c r="X50" s="146"/>
      <c r="Y50" s="145" t="s">
        <v>302</v>
      </c>
      <c r="Z50" s="146"/>
      <c r="AA50" s="147" t="s">
        <v>567</v>
      </c>
      <c r="AB50" s="146"/>
      <c r="AC50" s="145" t="s">
        <v>302</v>
      </c>
      <c r="AD50" s="146"/>
      <c r="AE50" s="147" t="s">
        <v>567</v>
      </c>
      <c r="AF50" s="145" t="s">
        <v>302</v>
      </c>
      <c r="AG50" s="146"/>
      <c r="AH50" s="147" t="s">
        <v>567</v>
      </c>
      <c r="AI50" s="209"/>
      <c r="AJ50" s="150"/>
      <c r="AK50" s="150"/>
      <c r="AL50" s="150"/>
      <c r="AM50" s="150"/>
      <c r="AN50" s="196"/>
      <c r="AO50" s="88" t="s">
        <v>302</v>
      </c>
      <c r="AP50" s="235"/>
      <c r="AQ50" s="147" t="s">
        <v>312</v>
      </c>
      <c r="AR50" s="223" t="s">
        <v>302</v>
      </c>
      <c r="AS50" s="235"/>
      <c r="AT50" s="285" t="s">
        <v>312</v>
      </c>
      <c r="AU50" s="286"/>
      <c r="AV50" s="88" t="s">
        <v>302</v>
      </c>
      <c r="AW50" s="285" t="s">
        <v>567</v>
      </c>
      <c r="AX50" s="286"/>
      <c r="AY50" s="88" t="s">
        <v>302</v>
      </c>
      <c r="AZ50" s="147" t="s">
        <v>567</v>
      </c>
      <c r="BA50" s="207" t="s">
        <v>722</v>
      </c>
    </row>
    <row r="51" spans="1:53" ht="55.15" customHeight="1" x14ac:dyDescent="0.2">
      <c r="A51" s="289" t="s">
        <v>10</v>
      </c>
      <c r="B51" s="196"/>
      <c r="C51" s="223" t="s">
        <v>360</v>
      </c>
      <c r="D51" s="196"/>
      <c r="E51" s="225" t="s">
        <v>393</v>
      </c>
      <c r="F51" s="227"/>
      <c r="G51" s="225"/>
      <c r="H51" s="227"/>
      <c r="I51" s="231">
        <v>25</v>
      </c>
      <c r="J51" s="235"/>
      <c r="K51" s="223" t="s">
        <v>388</v>
      </c>
      <c r="L51" s="235"/>
      <c r="M51" s="223" t="s">
        <v>371</v>
      </c>
      <c r="N51" s="235"/>
      <c r="O51" s="145" t="s">
        <v>394</v>
      </c>
      <c r="P51" s="144" t="s">
        <v>395</v>
      </c>
      <c r="Q51" s="146"/>
      <c r="R51" s="146"/>
      <c r="S51" s="147">
        <v>1615</v>
      </c>
      <c r="T51" s="146"/>
      <c r="U51" s="145"/>
      <c r="V51" s="146"/>
      <c r="W51" s="147">
        <v>350</v>
      </c>
      <c r="X51" s="146"/>
      <c r="Y51" s="145" t="s">
        <v>302</v>
      </c>
      <c r="Z51" s="146"/>
      <c r="AA51" s="147" t="s">
        <v>567</v>
      </c>
      <c r="AB51" s="146"/>
      <c r="AC51" s="145" t="s">
        <v>302</v>
      </c>
      <c r="AD51" s="146"/>
      <c r="AE51" s="147" t="s">
        <v>567</v>
      </c>
      <c r="AF51" s="145" t="s">
        <v>302</v>
      </c>
      <c r="AG51" s="146"/>
      <c r="AH51" s="147" t="s">
        <v>567</v>
      </c>
      <c r="AI51" s="209"/>
      <c r="AJ51" s="150"/>
      <c r="AK51" s="157" t="s">
        <v>372</v>
      </c>
      <c r="AL51" s="150"/>
      <c r="AM51" s="150"/>
      <c r="AN51" s="196"/>
      <c r="AO51" s="88" t="s">
        <v>302</v>
      </c>
      <c r="AP51" s="235"/>
      <c r="AQ51" s="147" t="s">
        <v>312</v>
      </c>
      <c r="AR51" s="223" t="s">
        <v>302</v>
      </c>
      <c r="AS51" s="235"/>
      <c r="AT51" s="285" t="s">
        <v>312</v>
      </c>
      <c r="AU51" s="286"/>
      <c r="AV51" s="88" t="s">
        <v>302</v>
      </c>
      <c r="AW51" s="285" t="s">
        <v>567</v>
      </c>
      <c r="AX51" s="286"/>
      <c r="AY51" s="88" t="s">
        <v>302</v>
      </c>
      <c r="AZ51" s="147" t="s">
        <v>567</v>
      </c>
      <c r="BA51" s="207" t="s">
        <v>722</v>
      </c>
    </row>
    <row r="52" spans="1:53" ht="55.15" customHeight="1" x14ac:dyDescent="0.2">
      <c r="A52" s="289" t="s">
        <v>10</v>
      </c>
      <c r="B52" s="220"/>
      <c r="C52" s="223" t="s">
        <v>360</v>
      </c>
      <c r="D52" s="220"/>
      <c r="E52" s="225" t="s">
        <v>396</v>
      </c>
      <c r="F52" s="227"/>
      <c r="G52" s="225"/>
      <c r="H52" s="227"/>
      <c r="I52" s="231">
        <v>25</v>
      </c>
      <c r="J52" s="235"/>
      <c r="K52" s="223" t="s">
        <v>351</v>
      </c>
      <c r="L52" s="235"/>
      <c r="M52" s="223" t="s">
        <v>363</v>
      </c>
      <c r="N52" s="235"/>
      <c r="O52" s="145" t="s">
        <v>394</v>
      </c>
      <c r="P52" s="144" t="s">
        <v>397</v>
      </c>
      <c r="Q52" s="146"/>
      <c r="R52" s="146"/>
      <c r="S52" s="147">
        <v>31390</v>
      </c>
      <c r="T52" s="146"/>
      <c r="U52" s="145"/>
      <c r="V52" s="146"/>
      <c r="W52" s="147">
        <v>49025</v>
      </c>
      <c r="X52" s="146"/>
      <c r="Y52" s="145" t="s">
        <v>302</v>
      </c>
      <c r="Z52" s="146"/>
      <c r="AA52" s="147">
        <v>18200</v>
      </c>
      <c r="AB52" s="146"/>
      <c r="AC52" s="145" t="s">
        <v>302</v>
      </c>
      <c r="AD52" s="146"/>
      <c r="AE52" s="147">
        <v>33625</v>
      </c>
      <c r="AF52" s="145" t="s">
        <v>302</v>
      </c>
      <c r="AG52" s="146"/>
      <c r="AH52" s="147">
        <v>41125</v>
      </c>
      <c r="AI52" s="210"/>
      <c r="AJ52" s="157"/>
      <c r="AK52" s="157"/>
      <c r="AL52" s="157"/>
      <c r="AM52" s="240"/>
      <c r="AO52" s="88">
        <v>268</v>
      </c>
      <c r="AP52" s="235"/>
      <c r="AQ52" s="147">
        <v>37050</v>
      </c>
      <c r="AR52" s="223">
        <v>190</v>
      </c>
      <c r="AS52" s="235"/>
      <c r="AT52" s="285">
        <v>31580</v>
      </c>
      <c r="AU52" s="286"/>
      <c r="AV52" s="88" t="s">
        <v>302</v>
      </c>
      <c r="AW52" s="285">
        <v>43375</v>
      </c>
      <c r="AX52" s="286"/>
      <c r="AY52" s="88" t="s">
        <v>302</v>
      </c>
      <c r="AZ52" s="147">
        <v>38245</v>
      </c>
      <c r="BA52" s="207" t="s">
        <v>722</v>
      </c>
    </row>
    <row r="53" spans="1:53" ht="55.15" customHeight="1" x14ac:dyDescent="0.2">
      <c r="A53" s="289" t="s">
        <v>10</v>
      </c>
      <c r="B53" s="220"/>
      <c r="C53" s="223" t="s">
        <v>360</v>
      </c>
      <c r="D53" s="220"/>
      <c r="E53" s="225" t="s">
        <v>398</v>
      </c>
      <c r="F53" s="227"/>
      <c r="G53" s="225"/>
      <c r="H53" s="227"/>
      <c r="I53" s="231">
        <v>10</v>
      </c>
      <c r="J53" s="235"/>
      <c r="K53" s="223" t="s">
        <v>351</v>
      </c>
      <c r="L53" s="235"/>
      <c r="M53" s="223" t="s">
        <v>363</v>
      </c>
      <c r="N53" s="235"/>
      <c r="O53" s="145" t="s">
        <v>394</v>
      </c>
      <c r="P53" s="144" t="s">
        <v>397</v>
      </c>
      <c r="Q53" s="146"/>
      <c r="R53" s="146"/>
      <c r="S53" s="147" t="s">
        <v>312</v>
      </c>
      <c r="T53" s="146"/>
      <c r="U53" s="145"/>
      <c r="V53" s="146"/>
      <c r="W53" s="147" t="s">
        <v>567</v>
      </c>
      <c r="X53" s="146"/>
      <c r="Y53" s="145" t="s">
        <v>302</v>
      </c>
      <c r="Z53" s="146"/>
      <c r="AA53" s="147" t="s">
        <v>567</v>
      </c>
      <c r="AB53" s="146"/>
      <c r="AC53" s="145" t="s">
        <v>302</v>
      </c>
      <c r="AD53" s="146"/>
      <c r="AE53" s="147" t="s">
        <v>567</v>
      </c>
      <c r="AF53" s="145" t="s">
        <v>302</v>
      </c>
      <c r="AG53" s="146"/>
      <c r="AH53" s="147" t="s">
        <v>567</v>
      </c>
      <c r="AI53" s="210"/>
      <c r="AJ53" s="157"/>
      <c r="AK53" s="157"/>
      <c r="AL53" s="157"/>
      <c r="AM53" s="240"/>
      <c r="AO53" s="88"/>
      <c r="AP53" s="235"/>
      <c r="AQ53" s="147" t="s">
        <v>567</v>
      </c>
      <c r="AR53" s="223"/>
      <c r="AS53" s="235"/>
      <c r="AT53" s="285" t="s">
        <v>567</v>
      </c>
      <c r="AU53" s="286"/>
      <c r="AV53" s="88" t="s">
        <v>302</v>
      </c>
      <c r="AW53" s="285" t="s">
        <v>567</v>
      </c>
      <c r="AX53" s="286"/>
      <c r="AY53" s="88" t="s">
        <v>302</v>
      </c>
      <c r="AZ53" s="147" t="s">
        <v>567</v>
      </c>
      <c r="BA53" s="207" t="s">
        <v>722</v>
      </c>
    </row>
    <row r="54" spans="1:53" ht="55.15" customHeight="1" x14ac:dyDescent="0.2">
      <c r="A54" s="289" t="s">
        <v>10</v>
      </c>
      <c r="B54" s="220"/>
      <c r="C54" s="223" t="s">
        <v>360</v>
      </c>
      <c r="D54" s="220"/>
      <c r="E54" s="225" t="s">
        <v>399</v>
      </c>
      <c r="F54" s="227"/>
      <c r="G54" s="225"/>
      <c r="H54" s="227"/>
      <c r="I54" s="231">
        <v>100</v>
      </c>
      <c r="J54" s="235"/>
      <c r="K54" s="223" t="s">
        <v>351</v>
      </c>
      <c r="L54" s="235"/>
      <c r="M54" s="223" t="s">
        <v>363</v>
      </c>
      <c r="N54" s="235"/>
      <c r="O54" s="145" t="s">
        <v>394</v>
      </c>
      <c r="P54" s="144" t="s">
        <v>397</v>
      </c>
      <c r="Q54" s="146"/>
      <c r="R54" s="146"/>
      <c r="S54" s="147" t="s">
        <v>312</v>
      </c>
      <c r="T54" s="146"/>
      <c r="U54" s="145"/>
      <c r="V54" s="146"/>
      <c r="W54" s="147" t="s">
        <v>567</v>
      </c>
      <c r="X54" s="146"/>
      <c r="Y54" s="145" t="s">
        <v>302</v>
      </c>
      <c r="Z54" s="146"/>
      <c r="AA54" s="147" t="s">
        <v>567</v>
      </c>
      <c r="AB54" s="146"/>
      <c r="AC54" s="145" t="s">
        <v>302</v>
      </c>
      <c r="AD54" s="146"/>
      <c r="AE54" s="147" t="s">
        <v>567</v>
      </c>
      <c r="AF54" s="145" t="s">
        <v>302</v>
      </c>
      <c r="AG54" s="146"/>
      <c r="AH54" s="147" t="s">
        <v>567</v>
      </c>
      <c r="AI54" s="210"/>
      <c r="AJ54" s="157"/>
      <c r="AK54" s="157"/>
      <c r="AL54" s="157"/>
      <c r="AM54" s="240"/>
      <c r="AO54" s="88"/>
      <c r="AP54" s="235"/>
      <c r="AQ54" s="147" t="s">
        <v>567</v>
      </c>
      <c r="AR54" s="223"/>
      <c r="AS54" s="235"/>
      <c r="AT54" s="285" t="s">
        <v>567</v>
      </c>
      <c r="AU54" s="286"/>
      <c r="AV54" s="88" t="s">
        <v>302</v>
      </c>
      <c r="AW54" s="285" t="s">
        <v>567</v>
      </c>
      <c r="AX54" s="286"/>
      <c r="AY54" s="88" t="s">
        <v>302</v>
      </c>
      <c r="AZ54" s="147" t="s">
        <v>567</v>
      </c>
      <c r="BA54" s="207" t="s">
        <v>722</v>
      </c>
    </row>
    <row r="55" spans="1:53" ht="55.15" customHeight="1" x14ac:dyDescent="0.2">
      <c r="A55" s="289" t="s">
        <v>10</v>
      </c>
      <c r="B55" s="220"/>
      <c r="C55" s="223" t="s">
        <v>360</v>
      </c>
      <c r="D55" s="220"/>
      <c r="E55" s="225" t="s">
        <v>400</v>
      </c>
      <c r="F55" s="227"/>
      <c r="G55" s="225"/>
      <c r="H55" s="227"/>
      <c r="I55" s="231">
        <v>100</v>
      </c>
      <c r="J55" s="235"/>
      <c r="K55" s="223" t="s">
        <v>351</v>
      </c>
      <c r="L55" s="235"/>
      <c r="M55" s="223" t="s">
        <v>363</v>
      </c>
      <c r="N55" s="235"/>
      <c r="O55" s="145" t="s">
        <v>401</v>
      </c>
      <c r="P55" s="144" t="s">
        <v>402</v>
      </c>
      <c r="Q55" s="146"/>
      <c r="R55" s="146"/>
      <c r="S55" s="147" t="s">
        <v>312</v>
      </c>
      <c r="T55" s="146"/>
      <c r="U55" s="145"/>
      <c r="V55" s="146"/>
      <c r="W55" s="147" t="s">
        <v>567</v>
      </c>
      <c r="X55" s="146"/>
      <c r="Y55" s="145" t="s">
        <v>302</v>
      </c>
      <c r="Z55" s="146"/>
      <c r="AA55" s="147" t="s">
        <v>567</v>
      </c>
      <c r="AB55" s="146"/>
      <c r="AC55" s="145" t="s">
        <v>302</v>
      </c>
      <c r="AD55" s="146"/>
      <c r="AE55" s="147" t="s">
        <v>567</v>
      </c>
      <c r="AF55" s="145" t="s">
        <v>302</v>
      </c>
      <c r="AG55" s="146"/>
      <c r="AH55" s="147" t="s">
        <v>567</v>
      </c>
      <c r="AI55" s="210"/>
      <c r="AJ55" s="157"/>
      <c r="AK55" s="157"/>
      <c r="AL55" s="157"/>
      <c r="AM55" s="240"/>
      <c r="AO55" s="88"/>
      <c r="AP55" s="235"/>
      <c r="AQ55" s="147" t="s">
        <v>567</v>
      </c>
      <c r="AR55" s="223"/>
      <c r="AS55" s="235"/>
      <c r="AT55" s="285" t="s">
        <v>567</v>
      </c>
      <c r="AU55" s="286"/>
      <c r="AV55" s="88">
        <v>166</v>
      </c>
      <c r="AW55" s="285">
        <v>16600</v>
      </c>
      <c r="AX55" s="286"/>
      <c r="AY55" s="88">
        <v>34</v>
      </c>
      <c r="AZ55" s="147">
        <v>10200</v>
      </c>
      <c r="BA55" s="207" t="s">
        <v>722</v>
      </c>
    </row>
    <row r="56" spans="1:53" ht="55.15" customHeight="1" x14ac:dyDescent="0.2">
      <c r="A56" s="292" t="s">
        <v>10</v>
      </c>
      <c r="B56" s="220"/>
      <c r="C56" s="223" t="s">
        <v>360</v>
      </c>
      <c r="D56" s="220"/>
      <c r="E56" s="225" t="s">
        <v>403</v>
      </c>
      <c r="F56" s="218"/>
      <c r="G56" s="225"/>
      <c r="H56" s="218"/>
      <c r="I56" s="231">
        <v>300</v>
      </c>
      <c r="J56" s="235"/>
      <c r="K56" s="223" t="s">
        <v>676</v>
      </c>
      <c r="L56" s="235"/>
      <c r="M56" s="223" t="s">
        <v>363</v>
      </c>
      <c r="N56" s="235"/>
      <c r="O56" s="145" t="s">
        <v>394</v>
      </c>
      <c r="P56" s="144" t="s">
        <v>404</v>
      </c>
      <c r="Q56" s="146"/>
      <c r="R56" s="146"/>
      <c r="S56" s="149" t="s">
        <v>312</v>
      </c>
      <c r="T56" s="146"/>
      <c r="U56" s="145"/>
      <c r="V56" s="146"/>
      <c r="W56" s="147" t="s">
        <v>567</v>
      </c>
      <c r="X56" s="146"/>
      <c r="Y56" s="145" t="s">
        <v>302</v>
      </c>
      <c r="Z56" s="146"/>
      <c r="AA56" s="147" t="s">
        <v>567</v>
      </c>
      <c r="AB56" s="146"/>
      <c r="AC56" s="145" t="s">
        <v>302</v>
      </c>
      <c r="AD56" s="146"/>
      <c r="AE56" s="147" t="s">
        <v>567</v>
      </c>
      <c r="AF56" s="145" t="s">
        <v>302</v>
      </c>
      <c r="AG56" s="146"/>
      <c r="AH56" s="147" t="s">
        <v>567</v>
      </c>
      <c r="AI56" s="210"/>
      <c r="AJ56" s="157"/>
      <c r="AK56" s="157"/>
      <c r="AL56" s="157"/>
      <c r="AM56" s="240"/>
      <c r="AO56" s="88"/>
      <c r="AP56" s="235"/>
      <c r="AQ56" s="147" t="s">
        <v>567</v>
      </c>
      <c r="AR56" s="223"/>
      <c r="AS56" s="235"/>
      <c r="AT56" s="285" t="s">
        <v>567</v>
      </c>
      <c r="AU56" s="286"/>
      <c r="AV56" s="88">
        <v>185</v>
      </c>
      <c r="AW56" s="285">
        <v>18500</v>
      </c>
      <c r="AX56" s="286"/>
      <c r="AY56" s="88">
        <v>30</v>
      </c>
      <c r="AZ56" s="147">
        <v>9100</v>
      </c>
      <c r="BA56" s="207" t="s">
        <v>722</v>
      </c>
    </row>
    <row r="57" spans="1:53" ht="55.15" customHeight="1" x14ac:dyDescent="0.2">
      <c r="A57" s="292" t="s">
        <v>10</v>
      </c>
      <c r="B57" s="220"/>
      <c r="C57" s="223" t="s">
        <v>360</v>
      </c>
      <c r="D57" s="220"/>
      <c r="E57" s="225" t="s">
        <v>405</v>
      </c>
      <c r="F57" s="218"/>
      <c r="G57" s="225"/>
      <c r="H57" s="218"/>
      <c r="I57" s="231">
        <v>50</v>
      </c>
      <c r="J57" s="235"/>
      <c r="K57" s="223" t="s">
        <v>351</v>
      </c>
      <c r="L57" s="235"/>
      <c r="M57" s="223" t="s">
        <v>363</v>
      </c>
      <c r="N57" s="235"/>
      <c r="O57" s="145" t="s">
        <v>394</v>
      </c>
      <c r="P57" s="144" t="s">
        <v>404</v>
      </c>
      <c r="Q57" s="146"/>
      <c r="R57" s="146"/>
      <c r="S57" s="149" t="s">
        <v>312</v>
      </c>
      <c r="T57" s="146"/>
      <c r="U57" s="145"/>
      <c r="V57" s="146"/>
      <c r="W57" s="147" t="s">
        <v>567</v>
      </c>
      <c r="X57" s="146"/>
      <c r="Y57" s="145" t="s">
        <v>302</v>
      </c>
      <c r="Z57" s="146"/>
      <c r="AA57" s="147" t="s">
        <v>567</v>
      </c>
      <c r="AB57" s="146"/>
      <c r="AC57" s="145" t="s">
        <v>302</v>
      </c>
      <c r="AD57" s="146"/>
      <c r="AE57" s="147" t="s">
        <v>567</v>
      </c>
      <c r="AF57" s="145" t="s">
        <v>302</v>
      </c>
      <c r="AG57" s="146"/>
      <c r="AH57" s="147" t="s">
        <v>567</v>
      </c>
      <c r="AI57" s="210"/>
      <c r="AJ57" s="157"/>
      <c r="AK57" s="157"/>
      <c r="AL57" s="157"/>
      <c r="AM57" s="240"/>
      <c r="AO57" s="88"/>
      <c r="AP57" s="235"/>
      <c r="AQ57" s="147" t="s">
        <v>567</v>
      </c>
      <c r="AR57" s="223"/>
      <c r="AS57" s="235"/>
      <c r="AT57" s="285" t="s">
        <v>567</v>
      </c>
      <c r="AU57" s="286"/>
      <c r="AV57" s="88" t="s">
        <v>302</v>
      </c>
      <c r="AW57" s="285" t="s">
        <v>567</v>
      </c>
      <c r="AX57" s="286"/>
      <c r="AY57" s="88" t="s">
        <v>302</v>
      </c>
      <c r="AZ57" s="147" t="s">
        <v>567</v>
      </c>
      <c r="BA57" s="207" t="s">
        <v>722</v>
      </c>
    </row>
    <row r="58" spans="1:53" ht="55.15" customHeight="1" x14ac:dyDescent="0.2">
      <c r="A58" s="292" t="s">
        <v>10</v>
      </c>
      <c r="B58" s="220"/>
      <c r="C58" s="223" t="s">
        <v>360</v>
      </c>
      <c r="D58" s="220"/>
      <c r="E58" s="225" t="s">
        <v>406</v>
      </c>
      <c r="F58" s="218"/>
      <c r="G58" s="225"/>
      <c r="H58" s="218"/>
      <c r="I58" s="231">
        <v>100</v>
      </c>
      <c r="J58" s="235"/>
      <c r="K58" s="223" t="s">
        <v>351</v>
      </c>
      <c r="L58" s="235"/>
      <c r="M58" s="223" t="s">
        <v>363</v>
      </c>
      <c r="N58" s="235"/>
      <c r="O58" s="145" t="s">
        <v>394</v>
      </c>
      <c r="P58" s="144" t="s">
        <v>404</v>
      </c>
      <c r="Q58" s="146"/>
      <c r="R58" s="146"/>
      <c r="S58" s="149" t="s">
        <v>312</v>
      </c>
      <c r="T58" s="146"/>
      <c r="U58" s="145"/>
      <c r="V58" s="146"/>
      <c r="W58" s="147" t="s">
        <v>567</v>
      </c>
      <c r="X58" s="146"/>
      <c r="Y58" s="145" t="s">
        <v>302</v>
      </c>
      <c r="Z58" s="146"/>
      <c r="AA58" s="147" t="s">
        <v>567</v>
      </c>
      <c r="AB58" s="146"/>
      <c r="AC58" s="145" t="s">
        <v>302</v>
      </c>
      <c r="AD58" s="146"/>
      <c r="AE58" s="147" t="s">
        <v>567</v>
      </c>
      <c r="AF58" s="145" t="s">
        <v>302</v>
      </c>
      <c r="AG58" s="146"/>
      <c r="AH58" s="147" t="s">
        <v>567</v>
      </c>
      <c r="AI58" s="210"/>
      <c r="AJ58" s="157"/>
      <c r="AK58" s="157"/>
      <c r="AL58" s="157"/>
      <c r="AM58" s="240"/>
      <c r="AO58" s="88"/>
      <c r="AP58" s="235"/>
      <c r="AQ58" s="147" t="s">
        <v>567</v>
      </c>
      <c r="AR58" s="223"/>
      <c r="AS58" s="235"/>
      <c r="AT58" s="285" t="s">
        <v>567</v>
      </c>
      <c r="AU58" s="286"/>
      <c r="AV58" s="88" t="s">
        <v>302</v>
      </c>
      <c r="AW58" s="285" t="s">
        <v>567</v>
      </c>
      <c r="AX58" s="286"/>
      <c r="AY58" s="88" t="s">
        <v>302</v>
      </c>
      <c r="AZ58" s="147" t="s">
        <v>567</v>
      </c>
      <c r="BA58" s="207" t="s">
        <v>722</v>
      </c>
    </row>
    <row r="59" spans="1:53" ht="55.15" customHeight="1" x14ac:dyDescent="0.2">
      <c r="A59" s="292" t="s">
        <v>10</v>
      </c>
      <c r="B59" s="220"/>
      <c r="C59" s="223" t="s">
        <v>360</v>
      </c>
      <c r="D59" s="220"/>
      <c r="E59" s="225" t="s">
        <v>407</v>
      </c>
      <c r="F59" s="218"/>
      <c r="G59" s="225"/>
      <c r="H59" s="218"/>
      <c r="I59" s="231">
        <v>100</v>
      </c>
      <c r="J59" s="235"/>
      <c r="K59" s="223" t="s">
        <v>351</v>
      </c>
      <c r="L59" s="235"/>
      <c r="M59" s="223" t="s">
        <v>363</v>
      </c>
      <c r="N59" s="235"/>
      <c r="O59" s="145" t="s">
        <v>394</v>
      </c>
      <c r="P59" s="144" t="s">
        <v>408</v>
      </c>
      <c r="Q59" s="146"/>
      <c r="R59" s="146"/>
      <c r="S59" s="149" t="s">
        <v>312</v>
      </c>
      <c r="T59" s="146"/>
      <c r="U59" s="145"/>
      <c r="V59" s="146"/>
      <c r="W59" s="147" t="s">
        <v>567</v>
      </c>
      <c r="X59" s="146"/>
      <c r="Y59" s="145" t="s">
        <v>302</v>
      </c>
      <c r="Z59" s="146"/>
      <c r="AA59" s="147" t="s">
        <v>567</v>
      </c>
      <c r="AB59" s="146"/>
      <c r="AC59" s="145" t="s">
        <v>302</v>
      </c>
      <c r="AD59" s="146"/>
      <c r="AE59" s="147" t="s">
        <v>567</v>
      </c>
      <c r="AF59" s="145" t="s">
        <v>302</v>
      </c>
      <c r="AG59" s="146"/>
      <c r="AH59" s="147" t="s">
        <v>567</v>
      </c>
      <c r="AI59" s="210"/>
      <c r="AJ59" s="157"/>
      <c r="AK59" s="157"/>
      <c r="AL59" s="157"/>
      <c r="AM59" s="240"/>
      <c r="AO59" s="88"/>
      <c r="AP59" s="235"/>
      <c r="AQ59" s="147" t="s">
        <v>567</v>
      </c>
      <c r="AR59" s="223"/>
      <c r="AS59" s="235"/>
      <c r="AT59" s="285" t="s">
        <v>567</v>
      </c>
      <c r="AU59" s="286"/>
      <c r="AV59" s="88" t="s">
        <v>302</v>
      </c>
      <c r="AW59" s="285" t="s">
        <v>567</v>
      </c>
      <c r="AX59" s="286"/>
      <c r="AY59" s="88" t="s">
        <v>302</v>
      </c>
      <c r="AZ59" s="147" t="s">
        <v>567</v>
      </c>
      <c r="BA59" s="207" t="s">
        <v>722</v>
      </c>
    </row>
    <row r="60" spans="1:53" ht="55.15" customHeight="1" x14ac:dyDescent="0.2">
      <c r="A60" s="292" t="s">
        <v>10</v>
      </c>
      <c r="B60" s="220"/>
      <c r="C60" s="223" t="s">
        <v>360</v>
      </c>
      <c r="D60" s="220"/>
      <c r="E60" s="225" t="s">
        <v>409</v>
      </c>
      <c r="F60" s="218"/>
      <c r="G60" s="225"/>
      <c r="H60" s="218"/>
      <c r="I60" s="231">
        <v>30</v>
      </c>
      <c r="J60" s="235"/>
      <c r="K60" s="223" t="s">
        <v>351</v>
      </c>
      <c r="L60" s="235"/>
      <c r="M60" s="223" t="s">
        <v>371</v>
      </c>
      <c r="N60" s="235"/>
      <c r="O60" s="145" t="s">
        <v>394</v>
      </c>
      <c r="P60" s="144" t="s">
        <v>410</v>
      </c>
      <c r="Q60" s="146"/>
      <c r="R60" s="146"/>
      <c r="S60" s="149">
        <v>31405</v>
      </c>
      <c r="T60" s="146"/>
      <c r="U60" s="145"/>
      <c r="V60" s="146"/>
      <c r="W60" s="147"/>
      <c r="X60" s="146"/>
      <c r="Y60" s="145" t="s">
        <v>302</v>
      </c>
      <c r="Z60" s="146"/>
      <c r="AA60" s="149">
        <v>45590</v>
      </c>
      <c r="AB60" s="146"/>
      <c r="AC60" s="145" t="s">
        <v>302</v>
      </c>
      <c r="AD60" s="146"/>
      <c r="AE60" s="147">
        <v>39555</v>
      </c>
      <c r="AF60" s="145" t="s">
        <v>302</v>
      </c>
      <c r="AG60" s="146"/>
      <c r="AH60" s="147">
        <v>53925</v>
      </c>
      <c r="AI60" s="210"/>
      <c r="AJ60" s="157"/>
      <c r="AK60" s="157" t="s">
        <v>372</v>
      </c>
      <c r="AL60" s="157"/>
      <c r="AM60" s="240"/>
      <c r="AO60" s="88">
        <v>1945</v>
      </c>
      <c r="AP60" s="235"/>
      <c r="AQ60" s="147">
        <v>47550</v>
      </c>
      <c r="AR60" s="223">
        <v>1814</v>
      </c>
      <c r="AS60" s="235"/>
      <c r="AT60" s="285">
        <v>46485</v>
      </c>
      <c r="AU60" s="286"/>
      <c r="AV60" s="88" t="s">
        <v>302</v>
      </c>
      <c r="AW60" s="285">
        <v>37635</v>
      </c>
      <c r="AX60" s="286"/>
      <c r="AY60" s="88" t="s">
        <v>302</v>
      </c>
      <c r="AZ60" s="147">
        <v>37960</v>
      </c>
      <c r="BA60" s="207" t="s">
        <v>722</v>
      </c>
    </row>
    <row r="61" spans="1:53" ht="55.15" customHeight="1" x14ac:dyDescent="0.2">
      <c r="A61" s="292" t="s">
        <v>10</v>
      </c>
      <c r="B61" s="220"/>
      <c r="C61" s="223" t="s">
        <v>360</v>
      </c>
      <c r="D61" s="220"/>
      <c r="E61" s="225" t="s">
        <v>411</v>
      </c>
      <c r="F61" s="218"/>
      <c r="G61" s="225"/>
      <c r="H61" s="218"/>
      <c r="I61" s="231">
        <v>10</v>
      </c>
      <c r="J61" s="235"/>
      <c r="K61" s="223" t="s">
        <v>351</v>
      </c>
      <c r="L61" s="235"/>
      <c r="M61" s="223" t="s">
        <v>371</v>
      </c>
      <c r="N61" s="235"/>
      <c r="O61" s="145" t="s">
        <v>394</v>
      </c>
      <c r="P61" s="144" t="s">
        <v>410</v>
      </c>
      <c r="Q61" s="146"/>
      <c r="R61" s="146"/>
      <c r="S61" s="149" t="s">
        <v>312</v>
      </c>
      <c r="T61" s="146"/>
      <c r="U61" s="145"/>
      <c r="V61" s="146"/>
      <c r="W61" s="147" t="s">
        <v>567</v>
      </c>
      <c r="X61" s="146"/>
      <c r="Y61" s="145" t="s">
        <v>302</v>
      </c>
      <c r="Z61" s="146"/>
      <c r="AA61" s="147" t="s">
        <v>567</v>
      </c>
      <c r="AB61" s="146"/>
      <c r="AC61" s="145" t="s">
        <v>302</v>
      </c>
      <c r="AD61" s="146"/>
      <c r="AE61" s="147" t="s">
        <v>567</v>
      </c>
      <c r="AF61" s="145" t="s">
        <v>302</v>
      </c>
      <c r="AG61" s="146"/>
      <c r="AH61" s="147" t="s">
        <v>567</v>
      </c>
      <c r="AI61" s="210"/>
      <c r="AJ61" s="157"/>
      <c r="AK61" s="157"/>
      <c r="AL61" s="157"/>
      <c r="AM61" s="240"/>
      <c r="AO61" s="88"/>
      <c r="AP61" s="235"/>
      <c r="AQ61" s="147" t="s">
        <v>567</v>
      </c>
      <c r="AR61" s="223"/>
      <c r="AS61" s="235"/>
      <c r="AT61" s="285" t="s">
        <v>567</v>
      </c>
      <c r="AU61" s="286"/>
      <c r="AV61" s="88" t="s">
        <v>302</v>
      </c>
      <c r="AW61" s="285" t="s">
        <v>567</v>
      </c>
      <c r="AX61" s="286"/>
      <c r="AY61" s="88" t="s">
        <v>302</v>
      </c>
      <c r="AZ61" s="147" t="s">
        <v>567</v>
      </c>
      <c r="BA61" s="207" t="s">
        <v>722</v>
      </c>
    </row>
    <row r="62" spans="1:53" ht="55.15" customHeight="1" x14ac:dyDescent="0.2">
      <c r="A62" s="292" t="s">
        <v>10</v>
      </c>
      <c r="B62" s="220"/>
      <c r="C62" s="223" t="s">
        <v>360</v>
      </c>
      <c r="D62" s="220"/>
      <c r="E62" s="225" t="s">
        <v>412</v>
      </c>
      <c r="F62" s="218"/>
      <c r="G62" s="225"/>
      <c r="H62" s="218"/>
      <c r="I62" s="231">
        <v>10</v>
      </c>
      <c r="J62" s="235"/>
      <c r="K62" s="223" t="s">
        <v>351</v>
      </c>
      <c r="L62" s="235"/>
      <c r="M62" s="223" t="s">
        <v>371</v>
      </c>
      <c r="N62" s="235"/>
      <c r="O62" s="145" t="s">
        <v>394</v>
      </c>
      <c r="P62" s="144" t="s">
        <v>410</v>
      </c>
      <c r="Q62" s="146"/>
      <c r="R62" s="146"/>
      <c r="S62" s="149" t="s">
        <v>312</v>
      </c>
      <c r="T62" s="146"/>
      <c r="U62" s="145"/>
      <c r="V62" s="146"/>
      <c r="W62" s="147" t="s">
        <v>567</v>
      </c>
      <c r="X62" s="146"/>
      <c r="Y62" s="145" t="s">
        <v>302</v>
      </c>
      <c r="Z62" s="146"/>
      <c r="AA62" s="147" t="s">
        <v>567</v>
      </c>
      <c r="AB62" s="146"/>
      <c r="AC62" s="145" t="s">
        <v>302</v>
      </c>
      <c r="AD62" s="146"/>
      <c r="AE62" s="147" t="s">
        <v>567</v>
      </c>
      <c r="AF62" s="145" t="s">
        <v>302</v>
      </c>
      <c r="AG62" s="146"/>
      <c r="AH62" s="147" t="s">
        <v>567</v>
      </c>
      <c r="AI62" s="210"/>
      <c r="AJ62" s="157"/>
      <c r="AK62" s="157"/>
      <c r="AL62" s="157"/>
      <c r="AM62" s="240"/>
      <c r="AO62" s="88"/>
      <c r="AP62" s="235"/>
      <c r="AQ62" s="147" t="s">
        <v>567</v>
      </c>
      <c r="AR62" s="223"/>
      <c r="AS62" s="235"/>
      <c r="AT62" s="285" t="s">
        <v>567</v>
      </c>
      <c r="AU62" s="286"/>
      <c r="AV62" s="88" t="s">
        <v>302</v>
      </c>
      <c r="AW62" s="285" t="s">
        <v>567</v>
      </c>
      <c r="AX62" s="286"/>
      <c r="AY62" s="88" t="s">
        <v>302</v>
      </c>
      <c r="AZ62" s="147" t="s">
        <v>567</v>
      </c>
      <c r="BA62" s="207" t="s">
        <v>722</v>
      </c>
    </row>
    <row r="63" spans="1:53" ht="55.15" customHeight="1" x14ac:dyDescent="0.2">
      <c r="A63" s="292" t="s">
        <v>10</v>
      </c>
      <c r="B63" s="220"/>
      <c r="C63" s="223" t="s">
        <v>360</v>
      </c>
      <c r="D63" s="220"/>
      <c r="E63" s="225" t="s">
        <v>413</v>
      </c>
      <c r="F63" s="218"/>
      <c r="G63" s="225"/>
      <c r="H63" s="218"/>
      <c r="I63" s="231">
        <v>15</v>
      </c>
      <c r="J63" s="235"/>
      <c r="K63" s="223" t="s">
        <v>351</v>
      </c>
      <c r="L63" s="235"/>
      <c r="M63" s="223" t="s">
        <v>371</v>
      </c>
      <c r="N63" s="235"/>
      <c r="O63" s="145" t="s">
        <v>394</v>
      </c>
      <c r="P63" s="144" t="s">
        <v>410</v>
      </c>
      <c r="Q63" s="146"/>
      <c r="R63" s="146"/>
      <c r="S63" s="149" t="s">
        <v>312</v>
      </c>
      <c r="T63" s="146"/>
      <c r="U63" s="145"/>
      <c r="V63" s="146"/>
      <c r="W63" s="147" t="s">
        <v>567</v>
      </c>
      <c r="X63" s="146"/>
      <c r="Y63" s="145" t="s">
        <v>302</v>
      </c>
      <c r="Z63" s="146"/>
      <c r="AA63" s="147" t="s">
        <v>567</v>
      </c>
      <c r="AB63" s="146"/>
      <c r="AC63" s="145" t="s">
        <v>302</v>
      </c>
      <c r="AD63" s="146"/>
      <c r="AE63" s="147" t="s">
        <v>567</v>
      </c>
      <c r="AF63" s="145" t="s">
        <v>302</v>
      </c>
      <c r="AG63" s="146"/>
      <c r="AH63" s="147" t="s">
        <v>567</v>
      </c>
      <c r="AI63" s="210"/>
      <c r="AJ63" s="157"/>
      <c r="AK63" s="157"/>
      <c r="AL63" s="157"/>
      <c r="AM63" s="240"/>
      <c r="AO63" s="88"/>
      <c r="AP63" s="235"/>
      <c r="AQ63" s="147" t="s">
        <v>567</v>
      </c>
      <c r="AR63" s="223"/>
      <c r="AS63" s="235"/>
      <c r="AT63" s="285" t="s">
        <v>567</v>
      </c>
      <c r="AU63" s="286"/>
      <c r="AV63" s="88" t="s">
        <v>302</v>
      </c>
      <c r="AW63" s="285" t="s">
        <v>567</v>
      </c>
      <c r="AX63" s="286"/>
      <c r="AY63" s="88" t="s">
        <v>302</v>
      </c>
      <c r="AZ63" s="147" t="s">
        <v>567</v>
      </c>
      <c r="BA63" s="207" t="s">
        <v>722</v>
      </c>
    </row>
    <row r="64" spans="1:53" ht="55.15" customHeight="1" x14ac:dyDescent="0.2">
      <c r="A64" s="292" t="s">
        <v>10</v>
      </c>
      <c r="B64" s="220"/>
      <c r="C64" s="223" t="s">
        <v>360</v>
      </c>
      <c r="D64" s="220"/>
      <c r="E64" s="225" t="s">
        <v>414</v>
      </c>
      <c r="F64" s="218"/>
      <c r="G64" s="225"/>
      <c r="H64" s="218"/>
      <c r="I64" s="234">
        <v>7.5</v>
      </c>
      <c r="J64" s="235"/>
      <c r="K64" s="223" t="s">
        <v>351</v>
      </c>
      <c r="L64" s="235"/>
      <c r="M64" s="223" t="s">
        <v>371</v>
      </c>
      <c r="N64" s="235"/>
      <c r="O64" s="145" t="s">
        <v>394</v>
      </c>
      <c r="P64" s="144" t="s">
        <v>410</v>
      </c>
      <c r="Q64" s="146"/>
      <c r="R64" s="146"/>
      <c r="S64" s="149" t="s">
        <v>312</v>
      </c>
      <c r="T64" s="146"/>
      <c r="U64" s="145"/>
      <c r="V64" s="146"/>
      <c r="W64" s="147" t="s">
        <v>567</v>
      </c>
      <c r="X64" s="146"/>
      <c r="Y64" s="145" t="s">
        <v>302</v>
      </c>
      <c r="Z64" s="146"/>
      <c r="AA64" s="147" t="s">
        <v>567</v>
      </c>
      <c r="AB64" s="146"/>
      <c r="AC64" s="145" t="s">
        <v>302</v>
      </c>
      <c r="AD64" s="146"/>
      <c r="AE64" s="147" t="s">
        <v>567</v>
      </c>
      <c r="AF64" s="145" t="s">
        <v>302</v>
      </c>
      <c r="AG64" s="146"/>
      <c r="AH64" s="147" t="s">
        <v>567</v>
      </c>
      <c r="AI64" s="210"/>
      <c r="AJ64" s="157"/>
      <c r="AK64" s="157"/>
      <c r="AL64" s="157"/>
      <c r="AM64" s="240"/>
      <c r="AO64" s="88"/>
      <c r="AP64" s="235"/>
      <c r="AQ64" s="147" t="s">
        <v>567</v>
      </c>
      <c r="AR64" s="223"/>
      <c r="AS64" s="235"/>
      <c r="AT64" s="285" t="s">
        <v>567</v>
      </c>
      <c r="AU64" s="286"/>
      <c r="AV64" s="88" t="s">
        <v>302</v>
      </c>
      <c r="AW64" s="285" t="s">
        <v>567</v>
      </c>
      <c r="AX64" s="286"/>
      <c r="AY64" s="88" t="s">
        <v>302</v>
      </c>
      <c r="AZ64" s="147" t="s">
        <v>567</v>
      </c>
      <c r="BA64" s="207" t="s">
        <v>722</v>
      </c>
    </row>
    <row r="65" spans="1:56" ht="55.15" customHeight="1" x14ac:dyDescent="0.2">
      <c r="A65" s="292" t="s">
        <v>10</v>
      </c>
      <c r="B65" s="196"/>
      <c r="C65" s="223" t="s">
        <v>360</v>
      </c>
      <c r="D65" s="196"/>
      <c r="E65" s="225" t="s">
        <v>415</v>
      </c>
      <c r="F65" s="218"/>
      <c r="G65" s="211"/>
      <c r="H65" s="218"/>
      <c r="I65" s="223" t="s">
        <v>923</v>
      </c>
      <c r="J65" s="235"/>
      <c r="K65" s="223" t="s">
        <v>351</v>
      </c>
      <c r="L65" s="235"/>
      <c r="M65" s="223" t="s">
        <v>371</v>
      </c>
      <c r="N65" s="235"/>
      <c r="O65" s="145">
        <v>2001</v>
      </c>
      <c r="P65" s="144" t="s">
        <v>924</v>
      </c>
      <c r="Q65" s="146"/>
      <c r="R65" s="146"/>
      <c r="S65" s="149">
        <v>71478</v>
      </c>
      <c r="T65" s="146"/>
      <c r="U65" s="145"/>
      <c r="V65" s="146"/>
      <c r="W65" s="147">
        <v>77657</v>
      </c>
      <c r="X65" s="146"/>
      <c r="Y65" s="145" t="s">
        <v>302</v>
      </c>
      <c r="Z65" s="146"/>
      <c r="AA65" s="149">
        <v>66695</v>
      </c>
      <c r="AB65" s="146"/>
      <c r="AC65" s="145" t="s">
        <v>302</v>
      </c>
      <c r="AD65" s="146"/>
      <c r="AE65" s="147">
        <v>76547</v>
      </c>
      <c r="AF65" s="145" t="s">
        <v>302</v>
      </c>
      <c r="AG65" s="146"/>
      <c r="AH65" s="147">
        <v>56955</v>
      </c>
      <c r="AJ65" s="150"/>
      <c r="AK65" s="157" t="s">
        <v>372</v>
      </c>
      <c r="AL65" s="150"/>
      <c r="AM65" s="150"/>
      <c r="AN65" s="196"/>
      <c r="AO65" s="88" t="s">
        <v>302</v>
      </c>
      <c r="AP65" s="235"/>
      <c r="AQ65" s="147">
        <v>53795</v>
      </c>
      <c r="AR65" s="223" t="s">
        <v>302</v>
      </c>
      <c r="AS65" s="235"/>
      <c r="AT65" s="285">
        <v>71419</v>
      </c>
      <c r="AU65" s="286"/>
      <c r="AV65" s="88" t="s">
        <v>302</v>
      </c>
      <c r="AW65" s="285">
        <v>56059</v>
      </c>
      <c r="AX65" s="286"/>
      <c r="AY65" s="88" t="s">
        <v>302</v>
      </c>
      <c r="AZ65" s="147">
        <v>43812.5</v>
      </c>
      <c r="BA65" s="207" t="s">
        <v>722</v>
      </c>
      <c r="BB65" s="196"/>
      <c r="BC65" s="196"/>
      <c r="BD65" s="196"/>
    </row>
    <row r="66" spans="1:56" ht="55.15" customHeight="1" x14ac:dyDescent="0.2">
      <c r="A66" s="292" t="s">
        <v>10</v>
      </c>
      <c r="B66" s="196"/>
      <c r="C66" s="223" t="s">
        <v>360</v>
      </c>
      <c r="D66" s="196"/>
      <c r="E66" s="225" t="s">
        <v>416</v>
      </c>
      <c r="F66" s="218"/>
      <c r="G66" s="225"/>
      <c r="H66" s="218"/>
      <c r="I66" s="223" t="s">
        <v>923</v>
      </c>
      <c r="J66" s="235"/>
      <c r="K66" s="223" t="s">
        <v>351</v>
      </c>
      <c r="L66" s="235"/>
      <c r="M66" s="223" t="s">
        <v>371</v>
      </c>
      <c r="N66" s="235"/>
      <c r="O66" s="145">
        <v>2001</v>
      </c>
      <c r="P66" s="144" t="s">
        <v>924</v>
      </c>
      <c r="Q66" s="146"/>
      <c r="R66" s="146"/>
      <c r="S66" s="149" t="s">
        <v>312</v>
      </c>
      <c r="T66" s="146"/>
      <c r="U66" s="145"/>
      <c r="V66" s="146"/>
      <c r="W66" s="147" t="s">
        <v>567</v>
      </c>
      <c r="X66" s="146"/>
      <c r="Y66" s="145" t="s">
        <v>302</v>
      </c>
      <c r="Z66" s="146"/>
      <c r="AA66" s="147" t="s">
        <v>567</v>
      </c>
      <c r="AB66" s="146"/>
      <c r="AC66" s="145" t="s">
        <v>302</v>
      </c>
      <c r="AD66" s="146"/>
      <c r="AE66" s="147" t="s">
        <v>567</v>
      </c>
      <c r="AF66" s="145" t="s">
        <v>302</v>
      </c>
      <c r="AG66" s="146"/>
      <c r="AH66" s="147" t="s">
        <v>567</v>
      </c>
      <c r="AJ66" s="150"/>
      <c r="AK66" s="157" t="s">
        <v>372</v>
      </c>
      <c r="AL66" s="150"/>
      <c r="AM66" s="150"/>
      <c r="AN66" s="196"/>
      <c r="AO66" s="88" t="s">
        <v>302</v>
      </c>
      <c r="AP66" s="235"/>
      <c r="AQ66" s="147" t="s">
        <v>567</v>
      </c>
      <c r="AR66" s="223" t="s">
        <v>302</v>
      </c>
      <c r="AS66" s="235"/>
      <c r="AT66" s="285" t="s">
        <v>312</v>
      </c>
      <c r="AU66" s="286"/>
      <c r="AV66" s="88" t="s">
        <v>302</v>
      </c>
      <c r="AW66" s="285" t="s">
        <v>567</v>
      </c>
      <c r="AX66" s="286"/>
      <c r="AY66" s="88" t="s">
        <v>302</v>
      </c>
      <c r="AZ66" s="147" t="s">
        <v>567</v>
      </c>
      <c r="BA66" s="207" t="s">
        <v>722</v>
      </c>
      <c r="BB66" s="196"/>
      <c r="BC66" s="196"/>
      <c r="BD66" s="196"/>
    </row>
    <row r="67" spans="1:56" ht="55.15" customHeight="1" x14ac:dyDescent="0.2">
      <c r="A67" s="292" t="s">
        <v>10</v>
      </c>
      <c r="B67" s="196"/>
      <c r="C67" s="223" t="s">
        <v>360</v>
      </c>
      <c r="D67" s="196"/>
      <c r="E67" s="225" t="s">
        <v>417</v>
      </c>
      <c r="F67" s="218"/>
      <c r="G67" s="211"/>
      <c r="H67" s="218"/>
      <c r="I67" s="223" t="s">
        <v>925</v>
      </c>
      <c r="J67" s="235"/>
      <c r="K67" s="223" t="s">
        <v>351</v>
      </c>
      <c r="L67" s="235"/>
      <c r="M67" s="223" t="s">
        <v>371</v>
      </c>
      <c r="N67" s="235"/>
      <c r="O67" s="145">
        <v>2001</v>
      </c>
      <c r="P67" s="144" t="s">
        <v>926</v>
      </c>
      <c r="Q67" s="146"/>
      <c r="R67" s="146"/>
      <c r="S67" s="149" t="s">
        <v>312</v>
      </c>
      <c r="T67" s="146"/>
      <c r="U67" s="145"/>
      <c r="V67" s="146"/>
      <c r="W67" s="147" t="s">
        <v>567</v>
      </c>
      <c r="X67" s="146"/>
      <c r="Y67" s="145" t="s">
        <v>302</v>
      </c>
      <c r="Z67" s="146"/>
      <c r="AA67" s="147" t="s">
        <v>567</v>
      </c>
      <c r="AB67" s="146"/>
      <c r="AC67" s="145" t="s">
        <v>302</v>
      </c>
      <c r="AD67" s="146"/>
      <c r="AE67" s="147" t="s">
        <v>567</v>
      </c>
      <c r="AF67" s="145" t="s">
        <v>302</v>
      </c>
      <c r="AG67" s="146"/>
      <c r="AH67" s="147" t="s">
        <v>567</v>
      </c>
      <c r="AJ67" s="150"/>
      <c r="AK67" s="157" t="s">
        <v>372</v>
      </c>
      <c r="AL67" s="150"/>
      <c r="AM67" s="150"/>
      <c r="AN67" s="196"/>
      <c r="AO67" s="88" t="s">
        <v>302</v>
      </c>
      <c r="AP67" s="235"/>
      <c r="AQ67" s="147" t="s">
        <v>567</v>
      </c>
      <c r="AR67" s="223" t="s">
        <v>302</v>
      </c>
      <c r="AS67" s="235"/>
      <c r="AT67" s="285" t="s">
        <v>312</v>
      </c>
      <c r="AU67" s="286"/>
      <c r="AV67" s="88" t="s">
        <v>302</v>
      </c>
      <c r="AW67" s="285" t="s">
        <v>567</v>
      </c>
      <c r="AX67" s="286"/>
      <c r="AY67" s="88" t="s">
        <v>302</v>
      </c>
      <c r="AZ67" s="147" t="s">
        <v>567</v>
      </c>
      <c r="BA67" s="207" t="s">
        <v>722</v>
      </c>
      <c r="BB67" s="196"/>
      <c r="BC67" s="196"/>
      <c r="BD67" s="196"/>
    </row>
    <row r="68" spans="1:56" ht="55.15" customHeight="1" x14ac:dyDescent="0.2">
      <c r="A68" s="292" t="s">
        <v>10</v>
      </c>
      <c r="B68" s="196"/>
      <c r="C68" s="223" t="s">
        <v>360</v>
      </c>
      <c r="D68" s="196"/>
      <c r="E68" s="225" t="s">
        <v>418</v>
      </c>
      <c r="F68" s="218"/>
      <c r="G68" s="225"/>
      <c r="H68" s="218"/>
      <c r="I68" s="223" t="s">
        <v>925</v>
      </c>
      <c r="J68" s="235"/>
      <c r="K68" s="223" t="s">
        <v>351</v>
      </c>
      <c r="L68" s="235"/>
      <c r="M68" s="223" t="s">
        <v>371</v>
      </c>
      <c r="N68" s="235"/>
      <c r="O68" s="145">
        <v>2001</v>
      </c>
      <c r="P68" s="144" t="s">
        <v>926</v>
      </c>
      <c r="Q68" s="146"/>
      <c r="R68" s="146"/>
      <c r="S68" s="149">
        <v>54423</v>
      </c>
      <c r="T68" s="146"/>
      <c r="U68" s="145"/>
      <c r="V68" s="146"/>
      <c r="W68" s="147">
        <v>60818</v>
      </c>
      <c r="X68" s="146"/>
      <c r="Y68" s="145" t="s">
        <v>302</v>
      </c>
      <c r="Z68" s="146"/>
      <c r="AA68" s="149">
        <v>64655</v>
      </c>
      <c r="AB68" s="146"/>
      <c r="AC68" s="145" t="s">
        <v>302</v>
      </c>
      <c r="AD68" s="146"/>
      <c r="AE68" s="147">
        <v>73020</v>
      </c>
      <c r="AF68" s="145" t="s">
        <v>302</v>
      </c>
      <c r="AG68" s="146"/>
      <c r="AH68" s="147">
        <v>66540</v>
      </c>
      <c r="AJ68" s="150"/>
      <c r="AK68" s="157" t="s">
        <v>372</v>
      </c>
      <c r="AL68" s="150"/>
      <c r="AM68" s="150"/>
      <c r="AN68" s="196"/>
      <c r="AO68" s="88" t="s">
        <v>302</v>
      </c>
      <c r="AP68" s="235"/>
      <c r="AQ68" s="147">
        <v>65290</v>
      </c>
      <c r="AR68" s="223" t="s">
        <v>302</v>
      </c>
      <c r="AS68" s="235"/>
      <c r="AT68" s="285">
        <v>64985</v>
      </c>
      <c r="AU68" s="286"/>
      <c r="AV68" s="88" t="s">
        <v>302</v>
      </c>
      <c r="AW68" s="285">
        <v>52900</v>
      </c>
      <c r="AX68" s="286"/>
      <c r="AY68" s="88" t="s">
        <v>302</v>
      </c>
      <c r="AZ68" s="147">
        <v>33130</v>
      </c>
      <c r="BA68" s="207" t="s">
        <v>722</v>
      </c>
      <c r="BB68" s="196"/>
      <c r="BC68" s="196"/>
      <c r="BD68" s="196"/>
    </row>
    <row r="69" spans="1:56" ht="55.15" customHeight="1" x14ac:dyDescent="0.2">
      <c r="A69" s="292" t="s">
        <v>10</v>
      </c>
      <c r="B69" s="196"/>
      <c r="C69" s="223" t="s">
        <v>360</v>
      </c>
      <c r="D69" s="196"/>
      <c r="E69" s="225" t="s">
        <v>419</v>
      </c>
      <c r="F69" s="218"/>
      <c r="G69" s="211"/>
      <c r="H69" s="218"/>
      <c r="I69" s="223" t="s">
        <v>927</v>
      </c>
      <c r="J69" s="235"/>
      <c r="K69" s="223" t="s">
        <v>351</v>
      </c>
      <c r="L69" s="235"/>
      <c r="M69" s="223" t="s">
        <v>371</v>
      </c>
      <c r="N69" s="235"/>
      <c r="O69" s="145">
        <v>2001</v>
      </c>
      <c r="P69" s="144" t="s">
        <v>928</v>
      </c>
      <c r="Q69" s="146"/>
      <c r="R69" s="146"/>
      <c r="S69" s="149" t="s">
        <v>312</v>
      </c>
      <c r="T69" s="146"/>
      <c r="U69" s="145"/>
      <c r="V69" s="146"/>
      <c r="W69" s="147" t="s">
        <v>567</v>
      </c>
      <c r="X69" s="146"/>
      <c r="Y69" s="145" t="s">
        <v>302</v>
      </c>
      <c r="Z69" s="146"/>
      <c r="AA69" s="147" t="s">
        <v>567</v>
      </c>
      <c r="AB69" s="146"/>
      <c r="AC69" s="145" t="s">
        <v>302</v>
      </c>
      <c r="AD69" s="146"/>
      <c r="AE69" s="147" t="s">
        <v>567</v>
      </c>
      <c r="AF69" s="145" t="s">
        <v>302</v>
      </c>
      <c r="AG69" s="146"/>
      <c r="AH69" s="147" t="s">
        <v>567</v>
      </c>
      <c r="AJ69" s="150"/>
      <c r="AK69" s="157" t="s">
        <v>372</v>
      </c>
      <c r="AL69" s="150"/>
      <c r="AM69" s="150"/>
      <c r="AN69" s="196"/>
      <c r="AO69" s="88" t="s">
        <v>302</v>
      </c>
      <c r="AP69" s="235"/>
      <c r="AQ69" s="147" t="s">
        <v>312</v>
      </c>
      <c r="AR69" s="223" t="s">
        <v>302</v>
      </c>
      <c r="AS69" s="235"/>
      <c r="AT69" s="285" t="s">
        <v>312</v>
      </c>
      <c r="AU69" s="286"/>
      <c r="AV69" s="88" t="s">
        <v>302</v>
      </c>
      <c r="AW69" s="285" t="s">
        <v>567</v>
      </c>
      <c r="AX69" s="286"/>
      <c r="AY69" s="88" t="s">
        <v>302</v>
      </c>
      <c r="AZ69" s="147" t="s">
        <v>567</v>
      </c>
      <c r="BA69" s="207" t="s">
        <v>722</v>
      </c>
      <c r="BB69" s="196"/>
      <c r="BC69" s="196"/>
      <c r="BD69" s="196"/>
    </row>
    <row r="70" spans="1:56" ht="55.15" customHeight="1" x14ac:dyDescent="0.2">
      <c r="A70" s="292" t="s">
        <v>10</v>
      </c>
      <c r="B70" s="196"/>
      <c r="C70" s="223" t="s">
        <v>360</v>
      </c>
      <c r="D70" s="196"/>
      <c r="E70" s="225" t="s">
        <v>420</v>
      </c>
      <c r="F70" s="218"/>
      <c r="G70" s="225"/>
      <c r="H70" s="218"/>
      <c r="I70" s="223" t="s">
        <v>929</v>
      </c>
      <c r="J70" s="235"/>
      <c r="K70" s="223" t="s">
        <v>351</v>
      </c>
      <c r="L70" s="235"/>
      <c r="M70" s="223" t="s">
        <v>371</v>
      </c>
      <c r="N70" s="235"/>
      <c r="O70" s="145">
        <v>2001</v>
      </c>
      <c r="P70" s="144" t="s">
        <v>930</v>
      </c>
      <c r="Q70" s="146"/>
      <c r="R70" s="146"/>
      <c r="S70" s="149">
        <v>5790</v>
      </c>
      <c r="T70" s="146"/>
      <c r="U70" s="145"/>
      <c r="V70" s="146"/>
      <c r="W70" s="147">
        <v>10455</v>
      </c>
      <c r="X70" s="146"/>
      <c r="Y70" s="145" t="s">
        <v>302</v>
      </c>
      <c r="Z70" s="146"/>
      <c r="AA70" s="149">
        <v>8052</v>
      </c>
      <c r="AB70" s="146"/>
      <c r="AC70" s="145" t="s">
        <v>302</v>
      </c>
      <c r="AD70" s="146"/>
      <c r="AE70" s="147">
        <v>2825</v>
      </c>
      <c r="AF70" s="145" t="s">
        <v>302</v>
      </c>
      <c r="AG70" s="146"/>
      <c r="AH70" s="147">
        <v>4432</v>
      </c>
      <c r="AJ70" s="150"/>
      <c r="AK70" s="157" t="s">
        <v>372</v>
      </c>
      <c r="AL70" s="150"/>
      <c r="AM70" s="150"/>
      <c r="AN70" s="196"/>
      <c r="AO70" s="88" t="s">
        <v>302</v>
      </c>
      <c r="AP70" s="235"/>
      <c r="AQ70" s="147">
        <v>4375</v>
      </c>
      <c r="AR70" s="223" t="s">
        <v>302</v>
      </c>
      <c r="AS70" s="235"/>
      <c r="AT70" s="285">
        <v>7303</v>
      </c>
      <c r="AU70" s="286"/>
      <c r="AV70" s="88" t="s">
        <v>302</v>
      </c>
      <c r="AW70" s="285">
        <v>2975</v>
      </c>
      <c r="AX70" s="286"/>
      <c r="AY70" s="88" t="s">
        <v>302</v>
      </c>
      <c r="AZ70" s="147">
        <v>4040</v>
      </c>
      <c r="BA70" s="207" t="s">
        <v>722</v>
      </c>
      <c r="BB70" s="196"/>
      <c r="BC70" s="196"/>
      <c r="BD70" s="196"/>
    </row>
    <row r="71" spans="1:56" s="212" customFormat="1" ht="55.15" customHeight="1" x14ac:dyDescent="0.2">
      <c r="A71" s="292" t="s">
        <v>10</v>
      </c>
      <c r="B71" s="220"/>
      <c r="C71" s="223" t="s">
        <v>360</v>
      </c>
      <c r="D71" s="220"/>
      <c r="E71" s="225" t="s">
        <v>771</v>
      </c>
      <c r="F71" s="218"/>
      <c r="G71" s="225"/>
      <c r="H71" s="218"/>
      <c r="I71" s="223" t="s">
        <v>931</v>
      </c>
      <c r="J71" s="235"/>
      <c r="K71" s="223" t="s">
        <v>421</v>
      </c>
      <c r="L71" s="235"/>
      <c r="M71" s="223" t="s">
        <v>371</v>
      </c>
      <c r="N71" s="235"/>
      <c r="O71" s="145">
        <v>2001</v>
      </c>
      <c r="P71" s="144" t="s">
        <v>932</v>
      </c>
      <c r="Q71" s="146"/>
      <c r="R71" s="146"/>
      <c r="S71" s="149" t="s">
        <v>312</v>
      </c>
      <c r="T71" s="146"/>
      <c r="U71" s="145"/>
      <c r="V71" s="146"/>
      <c r="W71" s="147" t="s">
        <v>567</v>
      </c>
      <c r="X71" s="146"/>
      <c r="Y71" s="145" t="s">
        <v>302</v>
      </c>
      <c r="Z71" s="146"/>
      <c r="AA71" s="147" t="s">
        <v>567</v>
      </c>
      <c r="AB71" s="146"/>
      <c r="AC71" s="145" t="s">
        <v>302</v>
      </c>
      <c r="AD71" s="146"/>
      <c r="AE71" s="147" t="s">
        <v>567</v>
      </c>
      <c r="AF71" s="145" t="s">
        <v>302</v>
      </c>
      <c r="AG71" s="146"/>
      <c r="AH71" s="147" t="s">
        <v>567</v>
      </c>
      <c r="AI71" s="210"/>
      <c r="AJ71" s="157"/>
      <c r="AK71" s="157" t="s">
        <v>372</v>
      </c>
      <c r="AL71" s="157"/>
      <c r="AM71" s="240"/>
      <c r="AN71" s="23"/>
      <c r="AO71" s="88" t="s">
        <v>302</v>
      </c>
      <c r="AP71" s="235"/>
      <c r="AQ71" s="147" t="s">
        <v>312</v>
      </c>
      <c r="AR71" s="223" t="s">
        <v>302</v>
      </c>
      <c r="AS71" s="235"/>
      <c r="AT71" s="285" t="s">
        <v>312</v>
      </c>
      <c r="AU71" s="286"/>
      <c r="AV71" s="88" t="s">
        <v>302</v>
      </c>
      <c r="AW71" s="285" t="s">
        <v>567</v>
      </c>
      <c r="AX71" s="286"/>
      <c r="AY71" s="88" t="s">
        <v>302</v>
      </c>
      <c r="AZ71" s="147" t="s">
        <v>567</v>
      </c>
      <c r="BA71" s="207" t="s">
        <v>722</v>
      </c>
      <c r="BB71" s="282"/>
      <c r="BC71" s="282"/>
      <c r="BD71" s="282"/>
    </row>
    <row r="72" spans="1:56" ht="55.15" customHeight="1" x14ac:dyDescent="0.2">
      <c r="A72" s="292" t="s">
        <v>10</v>
      </c>
      <c r="B72" s="220"/>
      <c r="C72" s="223" t="s">
        <v>360</v>
      </c>
      <c r="D72" s="220"/>
      <c r="E72" s="225" t="s">
        <v>422</v>
      </c>
      <c r="F72" s="218"/>
      <c r="G72" s="225"/>
      <c r="H72" s="218"/>
      <c r="I72" s="231" t="s">
        <v>933</v>
      </c>
      <c r="J72" s="235"/>
      <c r="K72" s="223" t="s">
        <v>421</v>
      </c>
      <c r="L72" s="235"/>
      <c r="M72" s="223" t="s">
        <v>371</v>
      </c>
      <c r="N72" s="235"/>
      <c r="O72" s="145">
        <v>2001</v>
      </c>
      <c r="P72" s="144" t="s">
        <v>934</v>
      </c>
      <c r="Q72" s="146"/>
      <c r="R72" s="146"/>
      <c r="S72" s="149" t="s">
        <v>312</v>
      </c>
      <c r="T72" s="146"/>
      <c r="U72" s="145"/>
      <c r="V72" s="146"/>
      <c r="W72" s="147" t="s">
        <v>567</v>
      </c>
      <c r="X72" s="146"/>
      <c r="Y72" s="145" t="s">
        <v>302</v>
      </c>
      <c r="Z72" s="146"/>
      <c r="AA72" s="147" t="s">
        <v>567</v>
      </c>
      <c r="AB72" s="146"/>
      <c r="AC72" s="145" t="s">
        <v>302</v>
      </c>
      <c r="AD72" s="146"/>
      <c r="AE72" s="147" t="s">
        <v>567</v>
      </c>
      <c r="AF72" s="145" t="s">
        <v>302</v>
      </c>
      <c r="AG72" s="146"/>
      <c r="AH72" s="147" t="s">
        <v>567</v>
      </c>
      <c r="AI72" s="210"/>
      <c r="AJ72" s="157"/>
      <c r="AK72" s="157" t="s">
        <v>372</v>
      </c>
      <c r="AL72" s="157"/>
      <c r="AM72" s="240"/>
      <c r="AO72" s="88" t="s">
        <v>302</v>
      </c>
      <c r="AP72" s="235"/>
      <c r="AQ72" s="147" t="s">
        <v>312</v>
      </c>
      <c r="AR72" s="223" t="s">
        <v>302</v>
      </c>
      <c r="AS72" s="235"/>
      <c r="AT72" s="285" t="s">
        <v>312</v>
      </c>
      <c r="AU72" s="286"/>
      <c r="AV72" s="88" t="s">
        <v>302</v>
      </c>
      <c r="AW72" s="285" t="s">
        <v>567</v>
      </c>
      <c r="AX72" s="286"/>
      <c r="AY72" s="88" t="s">
        <v>302</v>
      </c>
      <c r="AZ72" s="147" t="s">
        <v>567</v>
      </c>
      <c r="BA72" s="207" t="s">
        <v>722</v>
      </c>
      <c r="BB72" s="282"/>
      <c r="BC72" s="282"/>
      <c r="BD72" s="282"/>
    </row>
    <row r="73" spans="1:56" ht="55.15" customHeight="1" x14ac:dyDescent="0.2">
      <c r="A73" s="292" t="s">
        <v>10</v>
      </c>
      <c r="B73" s="220"/>
      <c r="C73" s="223" t="s">
        <v>423</v>
      </c>
      <c r="D73" s="220"/>
      <c r="E73" s="225" t="s">
        <v>424</v>
      </c>
      <c r="F73" s="218"/>
      <c r="G73" s="225"/>
      <c r="H73" s="218"/>
      <c r="I73" s="223" t="s">
        <v>425</v>
      </c>
      <c r="J73" s="235"/>
      <c r="K73" s="223" t="s">
        <v>426</v>
      </c>
      <c r="L73" s="235"/>
      <c r="M73" s="223" t="s">
        <v>423</v>
      </c>
      <c r="N73" s="235"/>
      <c r="O73" s="145"/>
      <c r="P73" s="144" t="s">
        <v>427</v>
      </c>
      <c r="Q73" s="146"/>
      <c r="R73" s="146"/>
      <c r="S73" s="149"/>
      <c r="T73" s="146"/>
      <c r="U73" s="145"/>
      <c r="V73" s="146"/>
      <c r="W73" s="147"/>
      <c r="X73" s="146"/>
      <c r="Y73" s="146">
        <v>3609</v>
      </c>
      <c r="Z73" s="146"/>
      <c r="AA73" s="149">
        <v>113350</v>
      </c>
      <c r="AB73" s="146"/>
      <c r="AC73" s="145">
        <v>3663</v>
      </c>
      <c r="AD73" s="146"/>
      <c r="AE73" s="147">
        <v>124670</v>
      </c>
      <c r="AF73" s="145">
        <v>2944</v>
      </c>
      <c r="AG73" s="146"/>
      <c r="AH73" s="147">
        <v>131290</v>
      </c>
      <c r="AI73" s="209"/>
      <c r="AJ73" s="157"/>
      <c r="AO73" s="88">
        <v>1026</v>
      </c>
      <c r="AP73" s="235"/>
      <c r="AQ73" s="147">
        <v>107150</v>
      </c>
      <c r="AR73" s="223">
        <v>1020</v>
      </c>
      <c r="AS73" s="235"/>
      <c r="AT73" s="285">
        <v>118425</v>
      </c>
      <c r="AU73" s="286"/>
      <c r="AV73" s="88" t="s">
        <v>935</v>
      </c>
      <c r="AW73" s="285">
        <v>64900</v>
      </c>
      <c r="AX73" s="286"/>
      <c r="AY73" s="88" t="s">
        <v>936</v>
      </c>
      <c r="AZ73" s="147">
        <v>65849</v>
      </c>
      <c r="BA73" s="207" t="s">
        <v>713</v>
      </c>
    </row>
    <row r="74" spans="1:56" ht="55.15" customHeight="1" x14ac:dyDescent="0.2">
      <c r="A74" s="292" t="s">
        <v>10</v>
      </c>
      <c r="B74" s="220"/>
      <c r="C74" s="223" t="s">
        <v>423</v>
      </c>
      <c r="D74" s="220"/>
      <c r="E74" s="225" t="s">
        <v>428</v>
      </c>
      <c r="F74" s="218"/>
      <c r="G74" s="225"/>
      <c r="H74" s="218"/>
      <c r="I74" s="223" t="s">
        <v>252</v>
      </c>
      <c r="J74" s="235"/>
      <c r="K74" s="223" t="s">
        <v>429</v>
      </c>
      <c r="L74" s="235"/>
      <c r="M74" s="223" t="s">
        <v>423</v>
      </c>
      <c r="N74" s="235"/>
      <c r="O74" s="145" t="s">
        <v>430</v>
      </c>
      <c r="P74" s="144" t="s">
        <v>431</v>
      </c>
      <c r="Q74" s="146"/>
      <c r="R74" s="146"/>
      <c r="S74" s="149"/>
      <c r="T74" s="146"/>
      <c r="U74" s="145"/>
      <c r="V74" s="146"/>
      <c r="W74" s="147"/>
      <c r="X74" s="146"/>
      <c r="Y74" s="146">
        <v>1694</v>
      </c>
      <c r="Z74" s="146"/>
      <c r="AA74" s="149">
        <v>135312</v>
      </c>
      <c r="AB74" s="146"/>
      <c r="AC74" s="145">
        <v>1516</v>
      </c>
      <c r="AD74" s="146"/>
      <c r="AE74" s="147">
        <v>119512</v>
      </c>
      <c r="AF74" s="145">
        <v>1393</v>
      </c>
      <c r="AG74" s="146"/>
      <c r="AH74" s="147">
        <v>119749</v>
      </c>
      <c r="AI74" s="209"/>
      <c r="AJ74" s="157"/>
      <c r="AO74" s="88">
        <v>1548</v>
      </c>
      <c r="AP74" s="235"/>
      <c r="AQ74" s="147">
        <v>126936</v>
      </c>
      <c r="AR74" s="223">
        <v>1357</v>
      </c>
      <c r="AS74" s="235"/>
      <c r="AT74" s="285">
        <v>111274</v>
      </c>
      <c r="AU74" s="286"/>
      <c r="AV74" s="88" t="s">
        <v>937</v>
      </c>
      <c r="AW74" s="285">
        <v>246089</v>
      </c>
      <c r="AX74" s="286"/>
      <c r="AY74" s="88" t="s">
        <v>937</v>
      </c>
      <c r="AZ74" s="147">
        <v>289173</v>
      </c>
      <c r="BA74" s="207" t="s">
        <v>713</v>
      </c>
    </row>
    <row r="75" spans="1:56" ht="55.15" customHeight="1" x14ac:dyDescent="0.2">
      <c r="A75" s="292" t="s">
        <v>10</v>
      </c>
      <c r="B75" s="220"/>
      <c r="C75" s="223" t="s">
        <v>423</v>
      </c>
      <c r="D75" s="220"/>
      <c r="E75" s="225" t="s">
        <v>432</v>
      </c>
      <c r="F75" s="218"/>
      <c r="G75" s="225" t="s">
        <v>433</v>
      </c>
      <c r="H75" s="218"/>
      <c r="I75" s="223" t="s">
        <v>434</v>
      </c>
      <c r="J75" s="235"/>
      <c r="K75" s="223" t="s">
        <v>435</v>
      </c>
      <c r="L75" s="235"/>
      <c r="M75" s="223" t="s">
        <v>423</v>
      </c>
      <c r="N75" s="235"/>
      <c r="O75" s="145" t="s">
        <v>436</v>
      </c>
      <c r="P75" s="144" t="s">
        <v>437</v>
      </c>
      <c r="Q75" s="146"/>
      <c r="R75" s="146"/>
      <c r="S75" s="149"/>
      <c r="T75" s="146"/>
      <c r="U75" s="145"/>
      <c r="V75" s="146"/>
      <c r="W75" s="147"/>
      <c r="X75" s="146"/>
      <c r="Y75" s="146">
        <v>3</v>
      </c>
      <c r="Z75" s="146"/>
      <c r="AA75" s="149">
        <v>1550</v>
      </c>
      <c r="AB75" s="146"/>
      <c r="AC75" s="145">
        <v>6</v>
      </c>
      <c r="AD75" s="146"/>
      <c r="AE75" s="147">
        <v>4133</v>
      </c>
      <c r="AF75" s="145">
        <v>1</v>
      </c>
      <c r="AG75" s="146"/>
      <c r="AH75" s="147">
        <v>490</v>
      </c>
      <c r="AI75" s="209"/>
      <c r="AJ75" s="157"/>
      <c r="AO75" s="88">
        <v>2</v>
      </c>
      <c r="AP75" s="235"/>
      <c r="AQ75" s="147">
        <v>1800</v>
      </c>
      <c r="AR75" s="223">
        <v>3</v>
      </c>
      <c r="AS75" s="235"/>
      <c r="AT75" s="285">
        <v>4500</v>
      </c>
      <c r="AU75" s="286"/>
      <c r="AV75" s="88">
        <v>4</v>
      </c>
      <c r="AW75" s="285">
        <v>4524.3</v>
      </c>
      <c r="AX75" s="286"/>
      <c r="AY75" s="88" t="s">
        <v>938</v>
      </c>
      <c r="AZ75" s="147">
        <v>0</v>
      </c>
      <c r="BA75" s="207" t="s">
        <v>722</v>
      </c>
    </row>
    <row r="76" spans="1:56" ht="64.900000000000006" customHeight="1" x14ac:dyDescent="0.2">
      <c r="A76" s="292" t="s">
        <v>10</v>
      </c>
      <c r="B76" s="220"/>
      <c r="C76" s="223" t="s">
        <v>11</v>
      </c>
      <c r="D76" s="220"/>
      <c r="E76" s="225" t="s">
        <v>25</v>
      </c>
      <c r="F76" s="218"/>
      <c r="G76" s="225" t="s">
        <v>13</v>
      </c>
      <c r="H76" s="218"/>
      <c r="I76" s="231">
        <v>375</v>
      </c>
      <c r="J76" s="235"/>
      <c r="K76" s="223" t="s">
        <v>12</v>
      </c>
      <c r="L76" s="235"/>
      <c r="M76" s="223" t="s">
        <v>22</v>
      </c>
      <c r="N76" s="235"/>
      <c r="O76" s="145">
        <v>2008</v>
      </c>
      <c r="P76" s="144" t="s">
        <v>438</v>
      </c>
      <c r="Q76" s="163">
        <v>1632</v>
      </c>
      <c r="R76" s="146"/>
      <c r="S76" s="162">
        <v>612000</v>
      </c>
      <c r="T76" s="146"/>
      <c r="U76" s="163">
        <v>1703</v>
      </c>
      <c r="V76" s="146"/>
      <c r="W76" s="147">
        <v>2779296</v>
      </c>
      <c r="X76" s="146"/>
      <c r="Y76" s="163">
        <v>123</v>
      </c>
      <c r="Z76" s="146"/>
      <c r="AA76" s="162">
        <v>36093</v>
      </c>
      <c r="AB76" s="146"/>
      <c r="AC76" s="163">
        <v>88</v>
      </c>
      <c r="AD76" s="146"/>
      <c r="AE76" s="147">
        <v>19742</v>
      </c>
      <c r="AF76" s="163">
        <v>1697</v>
      </c>
      <c r="AG76" s="146"/>
      <c r="AH76" s="147">
        <v>654537</v>
      </c>
      <c r="AI76" s="210"/>
      <c r="AJ76" s="157"/>
      <c r="AK76" s="157" t="s">
        <v>647</v>
      </c>
      <c r="AL76" s="157"/>
      <c r="AM76" s="240"/>
      <c r="AO76" s="241">
        <v>128</v>
      </c>
      <c r="AP76" s="235"/>
      <c r="AQ76" s="147">
        <v>34655</v>
      </c>
      <c r="AR76" s="237">
        <v>83</v>
      </c>
      <c r="AS76" s="235"/>
      <c r="AT76" s="285">
        <v>21972</v>
      </c>
      <c r="AU76" s="286"/>
      <c r="AV76" s="88">
        <v>737</v>
      </c>
      <c r="AW76" s="285">
        <v>195100</v>
      </c>
      <c r="AX76" s="286"/>
      <c r="AY76" s="88">
        <v>90</v>
      </c>
      <c r="AZ76" s="147">
        <v>23824</v>
      </c>
      <c r="BA76" s="207" t="s">
        <v>729</v>
      </c>
    </row>
    <row r="77" spans="1:56" ht="64.900000000000006" customHeight="1" x14ac:dyDescent="0.2">
      <c r="A77" s="292" t="s">
        <v>10</v>
      </c>
      <c r="B77" s="220"/>
      <c r="C77" s="223" t="s">
        <v>11</v>
      </c>
      <c r="D77" s="220"/>
      <c r="E77" s="225" t="s">
        <v>25</v>
      </c>
      <c r="F77" s="218"/>
      <c r="G77" s="225" t="s">
        <v>14</v>
      </c>
      <c r="H77" s="218"/>
      <c r="I77" s="231">
        <v>375</v>
      </c>
      <c r="J77" s="235"/>
      <c r="K77" s="223" t="s">
        <v>12</v>
      </c>
      <c r="L77" s="235"/>
      <c r="M77" s="223" t="s">
        <v>22</v>
      </c>
      <c r="N77" s="235"/>
      <c r="O77" s="145">
        <v>2008</v>
      </c>
      <c r="P77" s="144" t="s">
        <v>438</v>
      </c>
      <c r="Q77" s="163">
        <v>1856</v>
      </c>
      <c r="R77" s="146"/>
      <c r="S77" s="162">
        <v>696000</v>
      </c>
      <c r="T77" s="146"/>
      <c r="U77" s="163">
        <v>1665</v>
      </c>
      <c r="V77" s="146"/>
      <c r="W77" s="147">
        <v>3090240</v>
      </c>
      <c r="X77" s="146"/>
      <c r="Y77" s="163">
        <v>77</v>
      </c>
      <c r="Z77" s="146"/>
      <c r="AA77" s="162">
        <v>22595</v>
      </c>
      <c r="AB77" s="146"/>
      <c r="AC77" s="163">
        <v>47</v>
      </c>
      <c r="AD77" s="146"/>
      <c r="AE77" s="147">
        <v>10544</v>
      </c>
      <c r="AF77" s="163">
        <v>1474</v>
      </c>
      <c r="AG77" s="146"/>
      <c r="AH77" s="147">
        <v>568525</v>
      </c>
      <c r="AI77" s="210"/>
      <c r="AJ77" s="157"/>
      <c r="AK77" s="157"/>
      <c r="AL77" s="157"/>
      <c r="AM77" s="240" t="s">
        <v>27</v>
      </c>
      <c r="AO77" s="241">
        <v>57</v>
      </c>
      <c r="AP77" s="235"/>
      <c r="AQ77" s="147">
        <v>15431</v>
      </c>
      <c r="AR77" s="237">
        <v>13</v>
      </c>
      <c r="AS77" s="235"/>
      <c r="AT77" s="285">
        <v>3440</v>
      </c>
      <c r="AU77" s="286"/>
      <c r="AV77" s="88">
        <v>530</v>
      </c>
      <c r="AW77" s="285">
        <v>140301</v>
      </c>
      <c r="AX77" s="286"/>
      <c r="AY77" s="88">
        <v>16</v>
      </c>
      <c r="AZ77" s="147">
        <v>4235</v>
      </c>
      <c r="BA77" s="207" t="s">
        <v>729</v>
      </c>
    </row>
    <row r="78" spans="1:56" ht="64.900000000000006" customHeight="1" x14ac:dyDescent="0.2">
      <c r="A78" s="292" t="s">
        <v>10</v>
      </c>
      <c r="B78" s="220"/>
      <c r="C78" s="223" t="s">
        <v>11</v>
      </c>
      <c r="D78" s="220"/>
      <c r="E78" s="225" t="s">
        <v>25</v>
      </c>
      <c r="F78" s="218"/>
      <c r="G78" s="225" t="s">
        <v>15</v>
      </c>
      <c r="H78" s="218"/>
      <c r="I78" s="231">
        <v>75</v>
      </c>
      <c r="J78" s="235"/>
      <c r="K78" s="223" t="s">
        <v>12</v>
      </c>
      <c r="L78" s="235"/>
      <c r="M78" s="223" t="s">
        <v>22</v>
      </c>
      <c r="N78" s="235"/>
      <c r="O78" s="145">
        <v>2008</v>
      </c>
      <c r="P78" s="144" t="s">
        <v>438</v>
      </c>
      <c r="Q78" s="163">
        <v>3586</v>
      </c>
      <c r="R78" s="146"/>
      <c r="S78" s="162">
        <v>268950</v>
      </c>
      <c r="T78" s="146"/>
      <c r="U78" s="163">
        <v>4089</v>
      </c>
      <c r="V78" s="146"/>
      <c r="W78" s="147">
        <v>14663154</v>
      </c>
      <c r="X78" s="146"/>
      <c r="Y78" s="163">
        <v>535</v>
      </c>
      <c r="Z78" s="146"/>
      <c r="AA78" s="162">
        <v>31398</v>
      </c>
      <c r="AB78" s="146"/>
      <c r="AC78" s="163">
        <v>468</v>
      </c>
      <c r="AD78" s="146"/>
      <c r="AE78" s="147">
        <v>21000</v>
      </c>
      <c r="AF78" s="163">
        <v>4842</v>
      </c>
      <c r="AG78" s="146"/>
      <c r="AH78" s="147">
        <v>373514</v>
      </c>
      <c r="AI78" s="210"/>
      <c r="AJ78" s="157"/>
      <c r="AK78" s="157"/>
      <c r="AL78" s="157"/>
      <c r="AM78" s="240" t="s">
        <v>28</v>
      </c>
      <c r="AO78" s="241">
        <v>319</v>
      </c>
      <c r="AP78" s="235"/>
      <c r="AQ78" s="147">
        <v>17270</v>
      </c>
      <c r="AR78" s="237">
        <v>301</v>
      </c>
      <c r="AS78" s="235"/>
      <c r="AT78" s="285">
        <v>15940</v>
      </c>
      <c r="AU78" s="286"/>
      <c r="AV78" s="88">
        <v>5025</v>
      </c>
      <c r="AW78" s="285">
        <v>266073</v>
      </c>
      <c r="AX78" s="286"/>
      <c r="AY78" s="88">
        <v>191</v>
      </c>
      <c r="AZ78" s="147">
        <v>10113</v>
      </c>
      <c r="BA78" s="207" t="s">
        <v>729</v>
      </c>
    </row>
    <row r="79" spans="1:56" ht="64.900000000000006" customHeight="1" x14ac:dyDescent="0.2">
      <c r="A79" s="292" t="s">
        <v>10</v>
      </c>
      <c r="B79" s="220"/>
      <c r="C79" s="223" t="s">
        <v>11</v>
      </c>
      <c r="D79" s="220"/>
      <c r="E79" s="225" t="s">
        <v>25</v>
      </c>
      <c r="F79" s="218"/>
      <c r="G79" s="225" t="s">
        <v>16</v>
      </c>
      <c r="H79" s="218"/>
      <c r="I79" s="231">
        <v>75</v>
      </c>
      <c r="J79" s="235"/>
      <c r="K79" s="223" t="s">
        <v>12</v>
      </c>
      <c r="L79" s="235"/>
      <c r="M79" s="223" t="s">
        <v>22</v>
      </c>
      <c r="N79" s="235"/>
      <c r="O79" s="145">
        <v>2008</v>
      </c>
      <c r="P79" s="144" t="s">
        <v>438</v>
      </c>
      <c r="Q79" s="163">
        <v>1535</v>
      </c>
      <c r="R79" s="146"/>
      <c r="S79" s="162">
        <v>115125</v>
      </c>
      <c r="T79" s="146"/>
      <c r="U79" s="163">
        <v>1372</v>
      </c>
      <c r="V79" s="146"/>
      <c r="W79" s="147">
        <v>2106020</v>
      </c>
      <c r="X79" s="146"/>
      <c r="Y79" s="163">
        <v>134</v>
      </c>
      <c r="Z79" s="146"/>
      <c r="AA79" s="162">
        <v>7864</v>
      </c>
      <c r="AB79" s="146"/>
      <c r="AC79" s="163">
        <v>302</v>
      </c>
      <c r="AD79" s="146"/>
      <c r="AE79" s="147">
        <v>13550</v>
      </c>
      <c r="AF79" s="163">
        <v>1490</v>
      </c>
      <c r="AG79" s="146"/>
      <c r="AH79" s="147">
        <v>114939</v>
      </c>
      <c r="AI79" s="210"/>
      <c r="AJ79" s="157"/>
      <c r="AK79" s="157"/>
      <c r="AL79" s="157"/>
      <c r="AM79" s="240"/>
      <c r="AO79" s="241">
        <v>203</v>
      </c>
      <c r="AP79" s="235"/>
      <c r="AQ79" s="147">
        <v>10990</v>
      </c>
      <c r="AR79" s="237">
        <v>91</v>
      </c>
      <c r="AS79" s="235"/>
      <c r="AT79" s="285">
        <v>4820</v>
      </c>
      <c r="AU79" s="286"/>
      <c r="AV79" s="88">
        <v>1144</v>
      </c>
      <c r="AW79" s="285">
        <v>60574</v>
      </c>
      <c r="AX79" s="286"/>
      <c r="AY79" s="88">
        <v>18</v>
      </c>
      <c r="AZ79" s="147">
        <v>953</v>
      </c>
      <c r="BA79" s="207" t="s">
        <v>729</v>
      </c>
    </row>
    <row r="80" spans="1:56" ht="64.900000000000006" customHeight="1" x14ac:dyDescent="0.2">
      <c r="A80" s="292" t="s">
        <v>10</v>
      </c>
      <c r="B80" s="220"/>
      <c r="C80" s="223" t="s">
        <v>11</v>
      </c>
      <c r="D80" s="220"/>
      <c r="E80" s="225" t="s">
        <v>25</v>
      </c>
      <c r="F80" s="218"/>
      <c r="G80" s="225" t="s">
        <v>17</v>
      </c>
      <c r="H80" s="218"/>
      <c r="I80" s="231">
        <v>375</v>
      </c>
      <c r="J80" s="235"/>
      <c r="K80" s="223" t="s">
        <v>12</v>
      </c>
      <c r="L80" s="235"/>
      <c r="M80" s="223" t="s">
        <v>22</v>
      </c>
      <c r="N80" s="235"/>
      <c r="O80" s="145">
        <v>2008</v>
      </c>
      <c r="P80" s="144" t="s">
        <v>438</v>
      </c>
      <c r="Q80" s="163">
        <v>2015</v>
      </c>
      <c r="R80" s="146"/>
      <c r="S80" s="162">
        <v>755625</v>
      </c>
      <c r="T80" s="146"/>
      <c r="U80" s="163">
        <v>1927</v>
      </c>
      <c r="V80" s="146"/>
      <c r="W80" s="147">
        <v>3882905</v>
      </c>
      <c r="X80" s="146"/>
      <c r="Y80" s="163">
        <v>196</v>
      </c>
      <c r="Z80" s="146"/>
      <c r="AA80" s="162">
        <v>57514</v>
      </c>
      <c r="AB80" s="146"/>
      <c r="AC80" s="163">
        <v>133</v>
      </c>
      <c r="AD80" s="146"/>
      <c r="AE80" s="147">
        <v>29838</v>
      </c>
      <c r="AF80" s="163">
        <v>2134</v>
      </c>
      <c r="AG80" s="146"/>
      <c r="AH80" s="147">
        <v>823088</v>
      </c>
      <c r="AI80" s="210"/>
      <c r="AJ80" s="157"/>
      <c r="AK80" s="157"/>
      <c r="AL80" s="157"/>
      <c r="AM80" s="240"/>
      <c r="AO80" s="241">
        <v>151</v>
      </c>
      <c r="AP80" s="235"/>
      <c r="AQ80" s="147">
        <v>40880</v>
      </c>
      <c r="AR80" s="237">
        <v>92</v>
      </c>
      <c r="AS80" s="235"/>
      <c r="AT80" s="285">
        <v>24350</v>
      </c>
      <c r="AU80" s="286"/>
      <c r="AV80" s="88">
        <v>2047</v>
      </c>
      <c r="AW80" s="285">
        <v>108306</v>
      </c>
      <c r="AX80" s="286"/>
      <c r="AY80" s="88">
        <v>91</v>
      </c>
      <c r="AZ80" s="147">
        <v>4818</v>
      </c>
      <c r="BA80" s="207" t="s">
        <v>729</v>
      </c>
    </row>
    <row r="81" spans="1:53" ht="64.900000000000006" customHeight="1" x14ac:dyDescent="0.2">
      <c r="A81" s="292" t="s">
        <v>10</v>
      </c>
      <c r="B81" s="220"/>
      <c r="C81" s="223" t="s">
        <v>11</v>
      </c>
      <c r="D81" s="220"/>
      <c r="E81" s="225" t="s">
        <v>25</v>
      </c>
      <c r="F81" s="218"/>
      <c r="G81" s="225" t="s">
        <v>730</v>
      </c>
      <c r="H81" s="218"/>
      <c r="I81" s="231" t="s">
        <v>731</v>
      </c>
      <c r="J81" s="235"/>
      <c r="K81" s="223" t="s">
        <v>12</v>
      </c>
      <c r="L81" s="235"/>
      <c r="M81" s="223" t="s">
        <v>22</v>
      </c>
      <c r="N81" s="235"/>
      <c r="O81" s="145">
        <v>2008</v>
      </c>
      <c r="P81" s="144" t="s">
        <v>438</v>
      </c>
      <c r="Q81" s="146">
        <v>735</v>
      </c>
      <c r="R81" s="146"/>
      <c r="S81" s="162">
        <v>55125</v>
      </c>
      <c r="T81" s="146"/>
      <c r="U81" s="146">
        <v>2</v>
      </c>
      <c r="V81" s="146"/>
      <c r="W81" s="147">
        <v>1470</v>
      </c>
      <c r="X81" s="146"/>
      <c r="Y81" s="146">
        <v>19</v>
      </c>
      <c r="Z81" s="146"/>
      <c r="AA81" s="162">
        <v>1115</v>
      </c>
      <c r="AB81" s="146"/>
      <c r="AC81" s="146">
        <v>18</v>
      </c>
      <c r="AD81" s="146"/>
      <c r="AE81" s="147">
        <v>808</v>
      </c>
      <c r="AF81" s="146">
        <v>100</v>
      </c>
      <c r="AG81" s="146"/>
      <c r="AH81" s="147">
        <v>7714</v>
      </c>
      <c r="AI81" s="210"/>
      <c r="AJ81" s="157"/>
      <c r="AK81" s="157"/>
      <c r="AL81" s="157"/>
      <c r="AM81" s="240"/>
      <c r="AO81" s="125">
        <v>41</v>
      </c>
      <c r="AP81" s="235"/>
      <c r="AQ81" s="147">
        <v>2220</v>
      </c>
      <c r="AR81" s="238">
        <v>26</v>
      </c>
      <c r="AS81" s="235"/>
      <c r="AT81" s="285">
        <v>1375</v>
      </c>
      <c r="AU81" s="286"/>
      <c r="AV81" s="88">
        <v>56</v>
      </c>
      <c r="AW81" s="285">
        <v>2965</v>
      </c>
      <c r="AX81" s="286"/>
      <c r="AY81" s="88">
        <v>10</v>
      </c>
      <c r="AZ81" s="147">
        <v>530</v>
      </c>
      <c r="BA81" s="207" t="s">
        <v>729</v>
      </c>
    </row>
    <row r="82" spans="1:53" ht="64.900000000000006" customHeight="1" x14ac:dyDescent="0.2">
      <c r="A82" s="292" t="s">
        <v>10</v>
      </c>
      <c r="B82" s="220"/>
      <c r="C82" s="223" t="s">
        <v>11</v>
      </c>
      <c r="D82" s="220"/>
      <c r="E82" s="225" t="s">
        <v>25</v>
      </c>
      <c r="F82" s="218"/>
      <c r="G82" s="225" t="s">
        <v>677</v>
      </c>
      <c r="H82" s="218"/>
      <c r="I82" s="231">
        <v>75</v>
      </c>
      <c r="J82" s="235"/>
      <c r="K82" s="223" t="s">
        <v>12</v>
      </c>
      <c r="L82" s="235"/>
      <c r="M82" s="223" t="s">
        <v>22</v>
      </c>
      <c r="N82" s="235"/>
      <c r="O82" s="145">
        <v>2008</v>
      </c>
      <c r="P82" s="144" t="s">
        <v>438</v>
      </c>
      <c r="Q82" s="146">
        <v>106</v>
      </c>
      <c r="R82" s="146"/>
      <c r="S82" s="162">
        <v>7950</v>
      </c>
      <c r="T82" s="146"/>
      <c r="U82" s="146">
        <v>1874</v>
      </c>
      <c r="V82" s="146"/>
      <c r="W82" s="147">
        <v>198644</v>
      </c>
      <c r="X82" s="146"/>
      <c r="Y82" s="146">
        <v>19</v>
      </c>
      <c r="Z82" s="146"/>
      <c r="AA82" s="162">
        <v>1115</v>
      </c>
      <c r="AB82" s="146"/>
      <c r="AC82" s="146">
        <v>11</v>
      </c>
      <c r="AD82" s="146"/>
      <c r="AE82" s="147">
        <v>494</v>
      </c>
      <c r="AF82" s="146">
        <v>204</v>
      </c>
      <c r="AG82" s="146"/>
      <c r="AH82" s="147">
        <v>15737</v>
      </c>
      <c r="AI82" s="210"/>
      <c r="AJ82" s="157"/>
      <c r="AK82" s="157"/>
      <c r="AL82" s="157"/>
      <c r="AM82" s="240"/>
      <c r="AO82" s="125">
        <v>7</v>
      </c>
      <c r="AP82" s="235"/>
      <c r="AQ82" s="147">
        <v>380</v>
      </c>
      <c r="AR82" s="238">
        <v>3</v>
      </c>
      <c r="AS82" s="235"/>
      <c r="AT82" s="285">
        <v>160</v>
      </c>
      <c r="AU82" s="286"/>
      <c r="AV82" s="88">
        <v>116</v>
      </c>
      <c r="AW82" s="285">
        <v>6142</v>
      </c>
      <c r="AX82" s="286"/>
      <c r="AY82" s="88">
        <v>4</v>
      </c>
      <c r="AZ82" s="147">
        <v>212</v>
      </c>
      <c r="BA82" s="207" t="s">
        <v>729</v>
      </c>
    </row>
    <row r="83" spans="1:53" ht="64.900000000000006" customHeight="1" x14ac:dyDescent="0.2">
      <c r="A83" s="292" t="s">
        <v>10</v>
      </c>
      <c r="B83" s="220"/>
      <c r="C83" s="223" t="s">
        <v>11</v>
      </c>
      <c r="D83" s="220"/>
      <c r="E83" s="225" t="s">
        <v>25</v>
      </c>
      <c r="F83" s="218"/>
      <c r="G83" s="225" t="s">
        <v>679</v>
      </c>
      <c r="H83" s="218"/>
      <c r="I83" s="231">
        <v>75</v>
      </c>
      <c r="J83" s="235"/>
      <c r="K83" s="223" t="s">
        <v>12</v>
      </c>
      <c r="L83" s="235"/>
      <c r="M83" s="223" t="s">
        <v>22</v>
      </c>
      <c r="N83" s="235"/>
      <c r="O83" s="145">
        <v>2008</v>
      </c>
      <c r="P83" s="144" t="s">
        <v>438</v>
      </c>
      <c r="Q83" s="163">
        <v>1765</v>
      </c>
      <c r="R83" s="146"/>
      <c r="S83" s="162">
        <v>132375</v>
      </c>
      <c r="T83" s="146"/>
      <c r="U83" s="163"/>
      <c r="V83" s="146"/>
      <c r="W83" s="147">
        <v>0</v>
      </c>
      <c r="X83" s="146"/>
      <c r="Y83" s="163" t="s">
        <v>302</v>
      </c>
      <c r="Z83" s="146"/>
      <c r="AA83" s="147" t="s">
        <v>567</v>
      </c>
      <c r="AB83" s="146"/>
      <c r="AC83" s="163" t="s">
        <v>302</v>
      </c>
      <c r="AD83" s="146"/>
      <c r="AE83" s="213" t="s">
        <v>567</v>
      </c>
      <c r="AF83" s="214" t="s">
        <v>302</v>
      </c>
      <c r="AG83" s="145"/>
      <c r="AH83" s="213" t="s">
        <v>567</v>
      </c>
      <c r="AI83" s="210"/>
      <c r="AJ83" s="157"/>
      <c r="AK83" s="157"/>
      <c r="AL83" s="157"/>
      <c r="AM83" s="240"/>
      <c r="AO83" s="244" t="s">
        <v>302</v>
      </c>
      <c r="AP83" s="227"/>
      <c r="AQ83" s="213" t="s">
        <v>567</v>
      </c>
      <c r="AR83" s="237" t="s">
        <v>302</v>
      </c>
      <c r="AS83" s="235"/>
      <c r="AT83" s="285" t="s">
        <v>567</v>
      </c>
      <c r="AU83" s="286"/>
      <c r="AV83" s="88" t="s">
        <v>302</v>
      </c>
      <c r="AW83" s="285" t="s">
        <v>567</v>
      </c>
      <c r="AX83" s="286"/>
      <c r="AY83" s="88" t="s">
        <v>302</v>
      </c>
      <c r="AZ83" s="147" t="s">
        <v>567</v>
      </c>
      <c r="BA83" s="207" t="s">
        <v>729</v>
      </c>
    </row>
    <row r="84" spans="1:53" ht="64.900000000000006" customHeight="1" x14ac:dyDescent="0.2">
      <c r="A84" s="292" t="s">
        <v>10</v>
      </c>
      <c r="B84" s="220"/>
      <c r="C84" s="223" t="s">
        <v>11</v>
      </c>
      <c r="D84" s="220"/>
      <c r="E84" s="225" t="s">
        <v>25</v>
      </c>
      <c r="F84" s="218"/>
      <c r="G84" s="225" t="s">
        <v>18</v>
      </c>
      <c r="H84" s="218"/>
      <c r="I84" s="231">
        <v>75</v>
      </c>
      <c r="J84" s="235"/>
      <c r="K84" s="223" t="s">
        <v>12</v>
      </c>
      <c r="L84" s="235"/>
      <c r="M84" s="223" t="s">
        <v>22</v>
      </c>
      <c r="N84" s="235"/>
      <c r="O84" s="145">
        <v>2008</v>
      </c>
      <c r="P84" s="144" t="s">
        <v>438</v>
      </c>
      <c r="Q84" s="146">
        <v>78</v>
      </c>
      <c r="R84" s="146"/>
      <c r="S84" s="162">
        <v>5850</v>
      </c>
      <c r="T84" s="146"/>
      <c r="U84" s="146"/>
      <c r="V84" s="146"/>
      <c r="W84" s="147">
        <v>0</v>
      </c>
      <c r="X84" s="146"/>
      <c r="Y84" s="163" t="s">
        <v>302</v>
      </c>
      <c r="Z84" s="146"/>
      <c r="AA84" s="147" t="s">
        <v>567</v>
      </c>
      <c r="AB84" s="146"/>
      <c r="AC84" s="163" t="s">
        <v>302</v>
      </c>
      <c r="AD84" s="146"/>
      <c r="AE84" s="213" t="s">
        <v>567</v>
      </c>
      <c r="AF84" s="214" t="s">
        <v>302</v>
      </c>
      <c r="AG84" s="145"/>
      <c r="AH84" s="213" t="s">
        <v>567</v>
      </c>
      <c r="AI84" s="210"/>
      <c r="AJ84" s="157"/>
      <c r="AK84" s="157"/>
      <c r="AL84" s="157"/>
      <c r="AM84" s="240"/>
      <c r="AO84" s="244" t="s">
        <v>302</v>
      </c>
      <c r="AP84" s="227"/>
      <c r="AQ84" s="213" t="s">
        <v>567</v>
      </c>
      <c r="AR84" s="237" t="s">
        <v>302</v>
      </c>
      <c r="AS84" s="235"/>
      <c r="AT84" s="285" t="s">
        <v>567</v>
      </c>
      <c r="AU84" s="286"/>
      <c r="AV84" s="88" t="s">
        <v>302</v>
      </c>
      <c r="AW84" s="285" t="s">
        <v>567</v>
      </c>
      <c r="AX84" s="286"/>
      <c r="AY84" s="88" t="s">
        <v>302</v>
      </c>
      <c r="AZ84" s="147" t="s">
        <v>567</v>
      </c>
      <c r="BA84" s="207" t="s">
        <v>729</v>
      </c>
    </row>
    <row r="85" spans="1:53" ht="64.900000000000006" customHeight="1" x14ac:dyDescent="0.2">
      <c r="A85" s="292" t="s">
        <v>10</v>
      </c>
      <c r="B85" s="220"/>
      <c r="C85" s="223" t="s">
        <v>11</v>
      </c>
      <c r="D85" s="220"/>
      <c r="E85" s="225" t="s">
        <v>25</v>
      </c>
      <c r="F85" s="218"/>
      <c r="G85" s="225" t="s">
        <v>19</v>
      </c>
      <c r="H85" s="218"/>
      <c r="I85" s="231">
        <v>20</v>
      </c>
      <c r="J85" s="235"/>
      <c r="K85" s="223" t="s">
        <v>20</v>
      </c>
      <c r="L85" s="235"/>
      <c r="M85" s="223" t="s">
        <v>22</v>
      </c>
      <c r="N85" s="235"/>
      <c r="O85" s="145">
        <v>2008</v>
      </c>
      <c r="P85" s="144" t="s">
        <v>438</v>
      </c>
      <c r="Q85" s="146">
        <v>181</v>
      </c>
      <c r="R85" s="146"/>
      <c r="S85" s="162">
        <v>3620</v>
      </c>
      <c r="T85" s="146"/>
      <c r="U85" s="146">
        <v>694</v>
      </c>
      <c r="V85" s="146"/>
      <c r="W85" s="147">
        <v>125614</v>
      </c>
      <c r="X85" s="146"/>
      <c r="Y85" s="146">
        <v>914</v>
      </c>
      <c r="Z85" s="146"/>
      <c r="AA85" s="162">
        <v>14304</v>
      </c>
      <c r="AB85" s="146"/>
      <c r="AC85" s="146">
        <v>2440</v>
      </c>
      <c r="AD85" s="146"/>
      <c r="AE85" s="147">
        <v>29195</v>
      </c>
      <c r="AF85" s="146">
        <v>4207</v>
      </c>
      <c r="AG85" s="146"/>
      <c r="AH85" s="147">
        <v>86541</v>
      </c>
      <c r="AI85" s="210"/>
      <c r="AJ85" s="157"/>
      <c r="AK85" s="157"/>
      <c r="AL85" s="157"/>
      <c r="AM85" s="240"/>
      <c r="AO85" s="241">
        <v>6049</v>
      </c>
      <c r="AP85" s="235"/>
      <c r="AQ85" s="147">
        <v>87340</v>
      </c>
      <c r="AR85" s="237">
        <v>4763</v>
      </c>
      <c r="AS85" s="235"/>
      <c r="AT85" s="285">
        <v>67245</v>
      </c>
      <c r="AU85" s="286"/>
      <c r="AV85" s="88">
        <v>3585</v>
      </c>
      <c r="AW85" s="285">
        <v>50584</v>
      </c>
      <c r="AX85" s="286"/>
      <c r="AY85" s="88">
        <v>3246</v>
      </c>
      <c r="AZ85" s="147">
        <v>45801</v>
      </c>
      <c r="BA85" s="207" t="s">
        <v>729</v>
      </c>
    </row>
    <row r="86" spans="1:53" ht="64.900000000000006" customHeight="1" x14ac:dyDescent="0.2">
      <c r="A86" s="292" t="s">
        <v>10</v>
      </c>
      <c r="B86" s="220"/>
      <c r="C86" s="223" t="s">
        <v>11</v>
      </c>
      <c r="D86" s="220"/>
      <c r="E86" s="225" t="s">
        <v>25</v>
      </c>
      <c r="F86" s="218"/>
      <c r="G86" s="225" t="s">
        <v>21</v>
      </c>
      <c r="H86" s="218"/>
      <c r="I86" s="231">
        <v>20</v>
      </c>
      <c r="J86" s="235"/>
      <c r="K86" s="223" t="s">
        <v>20</v>
      </c>
      <c r="L86" s="235"/>
      <c r="M86" s="223" t="s">
        <v>22</v>
      </c>
      <c r="N86" s="235"/>
      <c r="O86" s="145">
        <v>2008</v>
      </c>
      <c r="P86" s="144" t="s">
        <v>438</v>
      </c>
      <c r="Q86" s="146">
        <v>565</v>
      </c>
      <c r="R86" s="146"/>
      <c r="S86" s="162">
        <v>11300</v>
      </c>
      <c r="T86" s="146"/>
      <c r="U86" s="146">
        <v>996</v>
      </c>
      <c r="V86" s="146"/>
      <c r="W86" s="147">
        <v>562740</v>
      </c>
      <c r="X86" s="146"/>
      <c r="Y86" s="146">
        <v>997</v>
      </c>
      <c r="Z86" s="146"/>
      <c r="AA86" s="162">
        <v>15603</v>
      </c>
      <c r="AB86" s="146"/>
      <c r="AC86" s="146">
        <v>1064</v>
      </c>
      <c r="AD86" s="146"/>
      <c r="AE86" s="147">
        <v>12731</v>
      </c>
      <c r="AF86" s="146">
        <v>1235</v>
      </c>
      <c r="AG86" s="146"/>
      <c r="AH86" s="147">
        <v>25405</v>
      </c>
      <c r="AI86" s="210"/>
      <c r="AJ86" s="157"/>
      <c r="AK86" s="157"/>
      <c r="AL86" s="157"/>
      <c r="AM86" s="240"/>
      <c r="AO86" s="241">
        <v>1506</v>
      </c>
      <c r="AP86" s="235"/>
      <c r="AQ86" s="147">
        <v>21745</v>
      </c>
      <c r="AR86" s="237">
        <v>1515</v>
      </c>
      <c r="AS86" s="235"/>
      <c r="AT86" s="285">
        <v>21390</v>
      </c>
      <c r="AU86" s="286"/>
      <c r="AV86" s="88">
        <v>1819</v>
      </c>
      <c r="AW86" s="285">
        <v>25666</v>
      </c>
      <c r="AX86" s="286"/>
      <c r="AY86" s="88">
        <v>1692</v>
      </c>
      <c r="AZ86" s="147">
        <v>23706</v>
      </c>
      <c r="BA86" s="207" t="s">
        <v>729</v>
      </c>
    </row>
    <row r="87" spans="1:53" ht="64.900000000000006" customHeight="1" x14ac:dyDescent="0.2">
      <c r="A87" s="292" t="s">
        <v>10</v>
      </c>
      <c r="B87" s="220"/>
      <c r="C87" s="223" t="s">
        <v>11</v>
      </c>
      <c r="D87" s="220"/>
      <c r="E87" s="225" t="s">
        <v>678</v>
      </c>
      <c r="F87" s="218"/>
      <c r="G87" s="225" t="s">
        <v>37</v>
      </c>
      <c r="H87" s="218"/>
      <c r="I87" s="223" t="s">
        <v>30</v>
      </c>
      <c r="J87" s="235"/>
      <c r="K87" s="223" t="s">
        <v>26</v>
      </c>
      <c r="L87" s="235"/>
      <c r="M87" s="223" t="s">
        <v>22</v>
      </c>
      <c r="N87" s="235"/>
      <c r="O87" s="145">
        <v>2009</v>
      </c>
      <c r="P87" s="144" t="s">
        <v>438</v>
      </c>
      <c r="Q87" s="163">
        <v>24053</v>
      </c>
      <c r="R87" s="146"/>
      <c r="S87" s="149">
        <v>800000</v>
      </c>
      <c r="T87" s="146"/>
      <c r="U87" s="163">
        <v>24053</v>
      </c>
      <c r="V87" s="146"/>
      <c r="W87" s="149">
        <v>800000</v>
      </c>
      <c r="X87" s="146"/>
      <c r="Y87" s="163">
        <v>17767</v>
      </c>
      <c r="Z87" s="146"/>
      <c r="AA87" s="149">
        <v>2210000</v>
      </c>
      <c r="AB87" s="146"/>
      <c r="AC87" s="163">
        <v>14613</v>
      </c>
      <c r="AD87" s="146"/>
      <c r="AE87" s="149">
        <v>1838000</v>
      </c>
      <c r="AF87" s="163">
        <v>14103</v>
      </c>
      <c r="AG87" s="146"/>
      <c r="AH87" s="149">
        <v>1873000</v>
      </c>
      <c r="AI87" s="210"/>
      <c r="AJ87" s="157"/>
      <c r="AK87" s="157" t="s">
        <v>648</v>
      </c>
      <c r="AL87" s="157"/>
      <c r="AM87" s="240" t="s">
        <v>29</v>
      </c>
      <c r="AO87" s="241">
        <v>14626</v>
      </c>
      <c r="AP87" s="235"/>
      <c r="AQ87" s="149">
        <v>2002562</v>
      </c>
      <c r="AR87" s="237">
        <v>15117</v>
      </c>
      <c r="AS87" s="235"/>
      <c r="AT87" s="285">
        <v>2132944</v>
      </c>
      <c r="AU87" s="286"/>
      <c r="AV87" s="88">
        <v>14870</v>
      </c>
      <c r="AW87" s="285">
        <v>2171882</v>
      </c>
      <c r="AX87" s="286"/>
      <c r="AY87" s="88">
        <v>14144</v>
      </c>
      <c r="AZ87" s="147">
        <v>2029776</v>
      </c>
      <c r="BA87" s="207" t="s">
        <v>729</v>
      </c>
    </row>
    <row r="88" spans="1:53" ht="64.900000000000006" customHeight="1" x14ac:dyDescent="0.2">
      <c r="A88" s="292" t="s">
        <v>10</v>
      </c>
      <c r="B88" s="220"/>
      <c r="C88" s="223" t="s">
        <v>360</v>
      </c>
      <c r="D88" s="220"/>
      <c r="E88" s="225" t="s">
        <v>939</v>
      </c>
      <c r="F88" s="218"/>
      <c r="G88" s="225" t="s">
        <v>940</v>
      </c>
      <c r="H88" s="218"/>
      <c r="I88" s="223" t="s">
        <v>941</v>
      </c>
      <c r="J88" s="235"/>
      <c r="K88" s="223" t="s">
        <v>20</v>
      </c>
      <c r="L88" s="235"/>
      <c r="M88" s="223" t="s">
        <v>942</v>
      </c>
      <c r="N88" s="235"/>
      <c r="O88" s="145">
        <v>2017</v>
      </c>
      <c r="P88" s="144" t="s">
        <v>943</v>
      </c>
      <c r="Q88" s="163"/>
      <c r="R88" s="146"/>
      <c r="S88" s="149"/>
      <c r="T88" s="146"/>
      <c r="U88" s="163"/>
      <c r="V88" s="146"/>
      <c r="W88" s="149"/>
      <c r="X88" s="146"/>
      <c r="Y88" s="163"/>
      <c r="Z88" s="146"/>
      <c r="AA88" s="149"/>
      <c r="AB88" s="146"/>
      <c r="AC88" s="163"/>
      <c r="AD88" s="146"/>
      <c r="AE88" s="149"/>
      <c r="AF88" s="163"/>
      <c r="AG88" s="146"/>
      <c r="AH88" s="149"/>
      <c r="AI88" s="210"/>
      <c r="AJ88" s="157"/>
      <c r="AK88" s="157"/>
      <c r="AL88" s="157"/>
      <c r="AM88" s="240"/>
      <c r="AO88" s="241" t="s">
        <v>302</v>
      </c>
      <c r="AP88" s="235"/>
      <c r="AQ88" s="149" t="s">
        <v>302</v>
      </c>
      <c r="AR88" s="237" t="s">
        <v>302</v>
      </c>
      <c r="AS88" s="235"/>
      <c r="AT88" s="285" t="s">
        <v>302</v>
      </c>
      <c r="AU88" s="286"/>
      <c r="AV88" s="88">
        <v>664</v>
      </c>
      <c r="AW88" s="285">
        <v>207493</v>
      </c>
      <c r="AX88" s="286"/>
      <c r="AY88" s="88">
        <v>791</v>
      </c>
      <c r="AZ88" s="147">
        <v>334800</v>
      </c>
      <c r="BA88" s="207" t="s">
        <v>729</v>
      </c>
    </row>
    <row r="89" spans="1:53" ht="64.900000000000006" customHeight="1" x14ac:dyDescent="0.2">
      <c r="A89" s="448" t="s">
        <v>10</v>
      </c>
      <c r="B89" s="449"/>
      <c r="C89" s="447" t="s">
        <v>360</v>
      </c>
      <c r="D89" s="449"/>
      <c r="E89" s="450" t="s">
        <v>944</v>
      </c>
      <c r="F89" s="451"/>
      <c r="G89" s="450" t="s">
        <v>945</v>
      </c>
      <c r="H89" s="451"/>
      <c r="I89" s="452">
        <v>1000</v>
      </c>
      <c r="J89" s="441"/>
      <c r="K89" s="447" t="s">
        <v>20</v>
      </c>
      <c r="L89" s="441"/>
      <c r="M89" s="447" t="s">
        <v>942</v>
      </c>
      <c r="N89" s="441"/>
      <c r="O89" s="453">
        <v>2017</v>
      </c>
      <c r="P89" s="454" t="s">
        <v>946</v>
      </c>
      <c r="Q89" s="455"/>
      <c r="R89" s="456"/>
      <c r="S89" s="457"/>
      <c r="T89" s="456"/>
      <c r="U89" s="455"/>
      <c r="V89" s="456"/>
      <c r="W89" s="457"/>
      <c r="X89" s="456"/>
      <c r="Y89" s="455"/>
      <c r="Z89" s="456"/>
      <c r="AA89" s="457"/>
      <c r="AB89" s="456"/>
      <c r="AC89" s="455"/>
      <c r="AD89" s="456"/>
      <c r="AE89" s="457"/>
      <c r="AF89" s="455"/>
      <c r="AG89" s="456"/>
      <c r="AH89" s="457"/>
      <c r="AI89" s="458"/>
      <c r="AJ89" s="459"/>
      <c r="AK89" s="459"/>
      <c r="AL89" s="459"/>
      <c r="AM89" s="460"/>
      <c r="AO89" s="461" t="s">
        <v>302</v>
      </c>
      <c r="AP89" s="441"/>
      <c r="AQ89" s="457" t="s">
        <v>302</v>
      </c>
      <c r="AR89" s="462" t="s">
        <v>302</v>
      </c>
      <c r="AS89" s="441"/>
      <c r="AT89" s="463" t="s">
        <v>302</v>
      </c>
      <c r="AU89" s="286"/>
      <c r="AV89" s="88">
        <v>16</v>
      </c>
      <c r="AW89" s="285">
        <v>16000</v>
      </c>
      <c r="AX89" s="286"/>
      <c r="AY89" s="88">
        <v>17</v>
      </c>
      <c r="AZ89" s="147">
        <v>17000</v>
      </c>
      <c r="BA89" s="207" t="s">
        <v>729</v>
      </c>
    </row>
    <row r="90" spans="1:53" ht="18" customHeight="1" x14ac:dyDescent="0.2">
      <c r="A90" s="518" t="s">
        <v>499</v>
      </c>
      <c r="B90" s="519"/>
      <c r="C90" s="519"/>
      <c r="D90" s="466"/>
      <c r="E90" s="258"/>
      <c r="F90" s="467"/>
      <c r="G90" s="258"/>
      <c r="H90" s="467"/>
      <c r="I90" s="259"/>
      <c r="J90" s="465"/>
      <c r="K90" s="259"/>
      <c r="L90" s="465"/>
      <c r="M90" s="259"/>
      <c r="N90" s="465"/>
      <c r="O90" s="445"/>
      <c r="P90" s="446"/>
      <c r="Q90" s="464">
        <f>SUM(Q2:Q87)</f>
        <v>38107</v>
      </c>
      <c r="R90" s="318"/>
      <c r="S90" s="442">
        <f>SUM(S2:S87)</f>
        <v>10272831</v>
      </c>
      <c r="T90" s="318"/>
      <c r="U90" s="464">
        <f>SUM(U2:U87)</f>
        <v>39008</v>
      </c>
      <c r="V90" s="318"/>
      <c r="W90" s="442">
        <f>SUM(W2:W87)</f>
        <v>47147900.939999998</v>
      </c>
      <c r="X90" s="442">
        <v>0</v>
      </c>
      <c r="Y90" s="464">
        <f>SUM(Y2:Y87)</f>
        <v>27228</v>
      </c>
      <c r="Z90" s="442">
        <v>0</v>
      </c>
      <c r="AA90" s="442">
        <f>SUM(AA2:AA87)</f>
        <v>22090805.100000001</v>
      </c>
      <c r="AB90" s="442">
        <v>0</v>
      </c>
      <c r="AC90" s="464">
        <f>SUM(AC2:AC87)</f>
        <v>25332</v>
      </c>
      <c r="AD90" s="442">
        <v>0</v>
      </c>
      <c r="AE90" s="442">
        <f>SUM(AE2:AE87)</f>
        <v>22523074</v>
      </c>
      <c r="AF90" s="464">
        <f>SUM(AF2:AF87)</f>
        <v>36824</v>
      </c>
      <c r="AG90" s="442">
        <v>0</v>
      </c>
      <c r="AH90" s="442">
        <f>SUM(AH2:AH87)</f>
        <v>23353495</v>
      </c>
      <c r="AI90" s="442">
        <f t="shared" ref="AI90:AN90" si="0">SUM(AI2:AI87)</f>
        <v>0</v>
      </c>
      <c r="AJ90" s="442">
        <f t="shared" si="0"/>
        <v>0</v>
      </c>
      <c r="AK90" s="442">
        <f t="shared" si="0"/>
        <v>0</v>
      </c>
      <c r="AL90" s="442">
        <f t="shared" si="0"/>
        <v>0</v>
      </c>
      <c r="AM90" s="442">
        <f t="shared" si="0"/>
        <v>0</v>
      </c>
      <c r="AN90" s="437">
        <f t="shared" si="0"/>
        <v>0</v>
      </c>
      <c r="AO90" s="438">
        <f>SUM(AO2:AO89)</f>
        <v>28974</v>
      </c>
      <c r="AP90" s="439"/>
      <c r="AQ90" s="439">
        <f>SUM(AQ2:AQ89)</f>
        <v>21919180.539999999</v>
      </c>
      <c r="AR90" s="260">
        <f>SUM(AR2:AR89)</f>
        <v>27532</v>
      </c>
      <c r="AS90" s="439"/>
      <c r="AT90" s="437">
        <f>SUM(AT2:AT89)</f>
        <v>21631116.48</v>
      </c>
      <c r="AU90" s="437"/>
      <c r="AV90" s="443">
        <f>SUM(AV2:AV89)</f>
        <v>34247</v>
      </c>
      <c r="AW90" s="437">
        <f>SUM(AW2:AW89)</f>
        <v>21927132.300000001</v>
      </c>
      <c r="AX90" s="439"/>
      <c r="AY90" s="443">
        <f>SUM(AY2:AY89)</f>
        <v>23204</v>
      </c>
      <c r="AZ90" s="444">
        <f>SUM(AZ2:AZ89)</f>
        <v>23739867.5</v>
      </c>
      <c r="BA90" s="440"/>
    </row>
    <row r="91" spans="1:53" x14ac:dyDescent="0.2">
      <c r="I91" s="122"/>
      <c r="J91" s="93"/>
      <c r="K91" s="122"/>
      <c r="L91" s="93"/>
      <c r="M91" s="122"/>
      <c r="N91" s="93"/>
      <c r="O91" s="122"/>
      <c r="Q91" s="183"/>
      <c r="R91" s="93"/>
      <c r="S91" s="199"/>
      <c r="T91" s="93"/>
      <c r="U91" s="183"/>
      <c r="V91" s="93"/>
      <c r="W91" s="199"/>
      <c r="X91" s="93"/>
      <c r="Y91" s="183"/>
      <c r="Z91" s="93"/>
      <c r="AA91" s="199"/>
      <c r="AB91" s="93"/>
      <c r="AC91" s="183"/>
      <c r="AD91" s="93"/>
      <c r="AE91" s="199"/>
      <c r="AF91" s="183"/>
      <c r="AG91" s="93"/>
      <c r="AH91" s="199"/>
      <c r="AO91" s="183"/>
      <c r="AP91" s="93"/>
      <c r="AQ91" s="199"/>
      <c r="AR91" s="183"/>
      <c r="AS91" s="93"/>
      <c r="AT91" s="199"/>
      <c r="AU91" s="199"/>
      <c r="AV91" s="434"/>
      <c r="AW91" s="199"/>
      <c r="AX91" s="199"/>
      <c r="AY91" s="434"/>
      <c r="AZ91" s="199"/>
      <c r="BA91" s="150"/>
    </row>
    <row r="92" spans="1:53" x14ac:dyDescent="0.2">
      <c r="A92" s="325" t="s">
        <v>948</v>
      </c>
      <c r="I92" s="122"/>
      <c r="J92" s="93"/>
      <c r="K92" s="122"/>
      <c r="L92" s="93"/>
      <c r="M92" s="122"/>
      <c r="N92" s="93"/>
      <c r="O92" s="122"/>
      <c r="Q92" s="123"/>
      <c r="R92" s="123"/>
      <c r="S92" s="131"/>
      <c r="T92" s="123"/>
      <c r="U92" s="123"/>
      <c r="V92" s="123"/>
      <c r="W92" s="123"/>
      <c r="X92" s="123"/>
      <c r="Y92" s="123"/>
      <c r="Z92" s="123"/>
      <c r="AA92" s="216"/>
      <c r="AB92" s="123"/>
      <c r="AC92" s="123"/>
      <c r="AD92" s="123"/>
      <c r="AE92" s="216"/>
      <c r="AF92" s="123"/>
      <c r="AG92" s="123"/>
      <c r="AH92" s="216"/>
      <c r="AO92" s="123"/>
      <c r="AP92" s="93"/>
      <c r="AQ92" s="123"/>
      <c r="AR92" s="123"/>
      <c r="AS92" s="93"/>
      <c r="AT92" s="123"/>
      <c r="AU92" s="93"/>
      <c r="AV92" s="435"/>
      <c r="AW92" s="123"/>
      <c r="AX92" s="93"/>
      <c r="AY92" s="435"/>
      <c r="AZ92" s="123"/>
    </row>
    <row r="93" spans="1:53" x14ac:dyDescent="0.2">
      <c r="I93" s="122"/>
      <c r="J93" s="93"/>
      <c r="K93" s="122"/>
      <c r="L93" s="93"/>
      <c r="M93" s="122"/>
      <c r="N93" s="93"/>
      <c r="O93" s="122"/>
      <c r="Q93" s="123"/>
      <c r="R93" s="123"/>
      <c r="S93" s="131"/>
      <c r="T93" s="123"/>
      <c r="U93" s="123"/>
      <c r="V93" s="123"/>
      <c r="W93" s="123"/>
      <c r="X93" s="123"/>
      <c r="Y93" s="123"/>
      <c r="Z93" s="123"/>
      <c r="AA93" s="131"/>
      <c r="AB93" s="123"/>
      <c r="AC93" s="123"/>
      <c r="AD93" s="123"/>
      <c r="AE93" s="123"/>
      <c r="AF93" s="123"/>
      <c r="AG93" s="123"/>
      <c r="AH93" s="123"/>
      <c r="AO93" s="123"/>
      <c r="AP93" s="93"/>
      <c r="AQ93" s="123"/>
      <c r="AR93" s="123"/>
      <c r="AS93" s="93"/>
      <c r="AT93" s="123"/>
      <c r="AU93" s="93"/>
      <c r="AV93" s="435"/>
      <c r="AW93" s="123"/>
      <c r="AX93" s="93"/>
      <c r="AY93" s="435"/>
      <c r="AZ93" s="123"/>
    </row>
    <row r="94" spans="1:53" x14ac:dyDescent="0.2">
      <c r="I94" s="122"/>
      <c r="J94" s="93"/>
      <c r="K94" s="122"/>
      <c r="L94" s="93"/>
      <c r="M94" s="122"/>
      <c r="N94" s="93"/>
      <c r="O94" s="122"/>
      <c r="Q94" s="123"/>
      <c r="R94" s="123"/>
      <c r="S94" s="131"/>
      <c r="T94" s="123"/>
      <c r="U94" s="123"/>
      <c r="V94" s="123"/>
      <c r="W94" s="123"/>
      <c r="X94" s="123"/>
      <c r="Y94" s="123"/>
      <c r="Z94" s="123"/>
      <c r="AA94" s="131"/>
      <c r="AB94" s="123"/>
      <c r="AC94" s="123"/>
      <c r="AD94" s="123"/>
      <c r="AE94" s="123"/>
      <c r="AF94" s="123"/>
      <c r="AG94" s="123"/>
      <c r="AH94" s="123"/>
      <c r="AO94" s="123"/>
      <c r="AP94" s="93"/>
      <c r="AQ94" s="123"/>
      <c r="AR94" s="123"/>
      <c r="AS94" s="93"/>
      <c r="AT94" s="123"/>
      <c r="AU94" s="93"/>
      <c r="AV94" s="435"/>
      <c r="AW94" s="123"/>
      <c r="AX94" s="93"/>
      <c r="AY94" s="435"/>
      <c r="AZ94" s="123"/>
    </row>
    <row r="95" spans="1:53" x14ac:dyDescent="0.2">
      <c r="I95" s="122"/>
      <c r="J95" s="93"/>
      <c r="K95" s="122"/>
      <c r="L95" s="93"/>
      <c r="M95" s="122"/>
      <c r="N95" s="93"/>
      <c r="O95" s="122"/>
      <c r="Q95" s="123"/>
      <c r="R95" s="123"/>
      <c r="S95" s="131"/>
      <c r="T95" s="123"/>
      <c r="U95" s="123"/>
      <c r="V95" s="123"/>
      <c r="W95" s="123"/>
      <c r="X95" s="123"/>
      <c r="Y95" s="123"/>
      <c r="Z95" s="123"/>
      <c r="AA95" s="131"/>
      <c r="AB95" s="123"/>
      <c r="AC95" s="123"/>
      <c r="AD95" s="123"/>
      <c r="AE95" s="123"/>
      <c r="AF95" s="123"/>
      <c r="AG95" s="123"/>
      <c r="AH95" s="123"/>
      <c r="AO95" s="123"/>
      <c r="AP95" s="93"/>
      <c r="AQ95" s="123"/>
      <c r="AR95" s="123"/>
      <c r="AS95" s="93"/>
      <c r="AT95" s="123"/>
      <c r="AU95" s="93"/>
      <c r="AV95" s="435"/>
      <c r="AW95" s="123"/>
      <c r="AX95" s="93"/>
      <c r="AY95" s="435"/>
      <c r="AZ95" s="123"/>
    </row>
    <row r="96" spans="1:53" x14ac:dyDescent="0.2">
      <c r="I96" s="122"/>
      <c r="J96" s="93"/>
      <c r="K96" s="122"/>
      <c r="L96" s="93"/>
      <c r="M96" s="122"/>
      <c r="N96" s="93"/>
      <c r="O96" s="122"/>
      <c r="Q96" s="123"/>
      <c r="R96" s="123"/>
      <c r="S96" s="131"/>
      <c r="T96" s="123"/>
      <c r="U96" s="123"/>
      <c r="V96" s="123"/>
      <c r="W96" s="123"/>
      <c r="X96" s="123"/>
      <c r="Y96" s="123"/>
      <c r="Z96" s="123"/>
      <c r="AA96" s="131"/>
      <c r="AB96" s="123"/>
      <c r="AC96" s="123"/>
      <c r="AD96" s="123"/>
      <c r="AE96" s="123"/>
      <c r="AF96" s="123"/>
      <c r="AG96" s="123"/>
      <c r="AH96" s="123"/>
      <c r="AO96" s="123"/>
      <c r="AP96" s="93"/>
      <c r="AQ96" s="123"/>
      <c r="AR96" s="123"/>
      <c r="AS96" s="93"/>
      <c r="AT96" s="123"/>
      <c r="AU96" s="93"/>
      <c r="AV96" s="435"/>
      <c r="AW96" s="123"/>
      <c r="AX96" s="93"/>
      <c r="AY96" s="435"/>
      <c r="AZ96" s="123"/>
    </row>
    <row r="97" spans="1:53" x14ac:dyDescent="0.2">
      <c r="I97" s="122"/>
      <c r="J97" s="93"/>
      <c r="K97" s="122"/>
      <c r="L97" s="93"/>
      <c r="M97" s="122"/>
      <c r="N97" s="93"/>
      <c r="O97" s="122"/>
      <c r="Q97" s="123"/>
      <c r="R97" s="123"/>
      <c r="S97" s="131"/>
      <c r="T97" s="123"/>
      <c r="U97" s="123"/>
      <c r="V97" s="123"/>
      <c r="W97" s="123"/>
      <c r="X97" s="123"/>
      <c r="Y97" s="123"/>
      <c r="Z97" s="123"/>
      <c r="AA97" s="131"/>
      <c r="AB97" s="123"/>
      <c r="AC97" s="123"/>
      <c r="AD97" s="123"/>
      <c r="AE97" s="123"/>
      <c r="AF97" s="123"/>
      <c r="AG97" s="123"/>
      <c r="AH97" s="123"/>
      <c r="AO97" s="123"/>
      <c r="AP97" s="93"/>
      <c r="AQ97" s="123"/>
      <c r="AR97" s="123"/>
      <c r="AS97" s="93"/>
      <c r="AT97" s="123"/>
      <c r="AU97" s="93"/>
      <c r="AV97" s="435"/>
      <c r="AW97" s="123"/>
      <c r="AX97" s="93"/>
      <c r="AY97" s="435"/>
      <c r="AZ97" s="123"/>
    </row>
    <row r="98" spans="1:53" x14ac:dyDescent="0.2">
      <c r="A98" s="294"/>
      <c r="B98" s="23"/>
      <c r="C98" s="127"/>
      <c r="D98" s="23"/>
      <c r="E98" s="127"/>
      <c r="F98" s="23"/>
      <c r="G98" s="127"/>
      <c r="H98" s="23"/>
      <c r="I98" s="122"/>
      <c r="J98" s="93"/>
      <c r="K98" s="122"/>
      <c r="L98" s="93"/>
      <c r="M98" s="122"/>
      <c r="N98" s="93"/>
      <c r="O98" s="122"/>
      <c r="Q98" s="123"/>
      <c r="R98" s="123"/>
      <c r="S98" s="131"/>
      <c r="T98" s="123"/>
      <c r="U98" s="123"/>
      <c r="V98" s="123"/>
      <c r="W98" s="123"/>
      <c r="X98" s="123"/>
      <c r="Y98" s="123"/>
      <c r="Z98" s="123"/>
      <c r="AA98" s="131"/>
      <c r="AB98" s="123"/>
      <c r="AC98" s="123"/>
      <c r="AD98" s="123"/>
      <c r="AE98" s="123"/>
      <c r="AF98" s="123"/>
      <c r="AG98" s="123"/>
      <c r="AH98" s="123"/>
      <c r="AO98" s="123"/>
      <c r="AP98" s="93"/>
      <c r="AQ98" s="123"/>
      <c r="AR98" s="123"/>
      <c r="AS98" s="93"/>
      <c r="AT98" s="123"/>
      <c r="AU98" s="93"/>
      <c r="AV98" s="435"/>
      <c r="AW98" s="123"/>
      <c r="AX98" s="93"/>
      <c r="AY98" s="435"/>
      <c r="AZ98" s="123"/>
      <c r="BA98" s="127"/>
    </row>
    <row r="99" spans="1:53" x14ac:dyDescent="0.2">
      <c r="A99" s="294"/>
      <c r="B99" s="23"/>
      <c r="C99" s="127"/>
      <c r="D99" s="23"/>
      <c r="E99" s="127"/>
      <c r="F99" s="23"/>
      <c r="G99" s="127"/>
      <c r="H99" s="23"/>
      <c r="I99" s="122"/>
      <c r="J99" s="93"/>
      <c r="K99" s="122"/>
      <c r="L99" s="93"/>
      <c r="M99" s="122"/>
      <c r="N99" s="93"/>
      <c r="O99" s="122"/>
      <c r="Q99" s="123"/>
      <c r="R99" s="123"/>
      <c r="S99" s="131"/>
      <c r="T99" s="123"/>
      <c r="U99" s="123"/>
      <c r="V99" s="123"/>
      <c r="W99" s="123"/>
      <c r="X99" s="123"/>
      <c r="Y99" s="123"/>
      <c r="Z99" s="123"/>
      <c r="AA99" s="131"/>
      <c r="AB99" s="123"/>
      <c r="AC99" s="123"/>
      <c r="AD99" s="123"/>
      <c r="AE99" s="123"/>
      <c r="AF99" s="123"/>
      <c r="AG99" s="123"/>
      <c r="AH99" s="123"/>
      <c r="AO99" s="123"/>
      <c r="AP99" s="93"/>
      <c r="AQ99" s="123"/>
      <c r="AR99" s="123"/>
      <c r="AS99" s="93"/>
      <c r="AT99" s="123"/>
      <c r="AU99" s="93"/>
      <c r="AV99" s="435"/>
      <c r="AW99" s="123"/>
      <c r="AX99" s="93"/>
      <c r="AY99" s="435"/>
      <c r="AZ99" s="123"/>
      <c r="BA99" s="127"/>
    </row>
    <row r="100" spans="1:53" x14ac:dyDescent="0.2">
      <c r="A100" s="294"/>
      <c r="B100" s="23"/>
      <c r="C100" s="127"/>
      <c r="D100" s="23"/>
      <c r="E100" s="127"/>
      <c r="F100" s="23"/>
      <c r="G100" s="127"/>
      <c r="H100" s="23"/>
      <c r="I100" s="122"/>
      <c r="J100" s="93"/>
      <c r="K100" s="122"/>
      <c r="L100" s="93"/>
      <c r="M100" s="122"/>
      <c r="N100" s="93"/>
      <c r="O100" s="122"/>
      <c r="Q100" s="123"/>
      <c r="R100" s="123"/>
      <c r="S100" s="131"/>
      <c r="T100" s="123"/>
      <c r="U100" s="123"/>
      <c r="V100" s="123"/>
      <c r="W100" s="123"/>
      <c r="X100" s="123"/>
      <c r="Y100" s="123"/>
      <c r="Z100" s="123"/>
      <c r="AA100" s="131"/>
      <c r="AB100" s="123"/>
      <c r="AC100" s="123"/>
      <c r="AD100" s="123"/>
      <c r="AE100" s="123"/>
      <c r="AF100" s="123"/>
      <c r="AG100" s="123"/>
      <c r="AH100" s="123"/>
      <c r="AO100" s="123"/>
      <c r="AP100" s="93"/>
      <c r="AQ100" s="123"/>
      <c r="AR100" s="123"/>
      <c r="AS100" s="93"/>
      <c r="AT100" s="123"/>
      <c r="AU100" s="93"/>
      <c r="AV100" s="435"/>
      <c r="AW100" s="123"/>
      <c r="AX100" s="93"/>
      <c r="AY100" s="435"/>
      <c r="AZ100" s="123"/>
      <c r="BA100" s="127"/>
    </row>
    <row r="101" spans="1:53" x14ac:dyDescent="0.2">
      <c r="A101" s="294"/>
      <c r="B101" s="23"/>
      <c r="C101" s="127"/>
      <c r="D101" s="23"/>
      <c r="E101" s="127"/>
      <c r="F101" s="23"/>
      <c r="G101" s="127"/>
      <c r="H101" s="23"/>
      <c r="I101" s="122"/>
      <c r="J101" s="93"/>
      <c r="K101" s="122"/>
      <c r="L101" s="93"/>
      <c r="M101" s="122"/>
      <c r="N101" s="93"/>
      <c r="O101" s="122"/>
      <c r="Q101" s="123"/>
      <c r="R101" s="123"/>
      <c r="S101" s="131"/>
      <c r="T101" s="123"/>
      <c r="U101" s="123"/>
      <c r="V101" s="123"/>
      <c r="W101" s="123"/>
      <c r="X101" s="123"/>
      <c r="Y101" s="123"/>
      <c r="Z101" s="123"/>
      <c r="AA101" s="131"/>
      <c r="AB101" s="123"/>
      <c r="AC101" s="123"/>
      <c r="AD101" s="123"/>
      <c r="AE101" s="123"/>
      <c r="AF101" s="123"/>
      <c r="AG101" s="123"/>
      <c r="AH101" s="123"/>
      <c r="AO101" s="123"/>
      <c r="AP101" s="93"/>
      <c r="AQ101" s="123"/>
      <c r="AR101" s="123"/>
      <c r="AS101" s="93"/>
      <c r="AT101" s="123"/>
      <c r="AU101" s="93"/>
      <c r="AV101" s="435"/>
      <c r="AW101" s="123"/>
      <c r="AX101" s="93"/>
      <c r="AY101" s="435"/>
      <c r="AZ101" s="123"/>
      <c r="BA101" s="127"/>
    </row>
    <row r="102" spans="1:53" x14ac:dyDescent="0.2">
      <c r="A102" s="294"/>
      <c r="B102" s="23"/>
      <c r="C102" s="127"/>
      <c r="D102" s="23"/>
      <c r="E102" s="127"/>
      <c r="F102" s="23"/>
      <c r="G102" s="127"/>
      <c r="H102" s="23"/>
      <c r="I102" s="122"/>
      <c r="J102" s="93"/>
      <c r="K102" s="122"/>
      <c r="L102" s="93"/>
      <c r="M102" s="122"/>
      <c r="N102" s="93"/>
      <c r="O102" s="122"/>
      <c r="Q102" s="123"/>
      <c r="R102" s="123"/>
      <c r="S102" s="131"/>
      <c r="T102" s="123"/>
      <c r="U102" s="123"/>
      <c r="V102" s="123"/>
      <c r="W102" s="123"/>
      <c r="X102" s="123"/>
      <c r="Y102" s="123"/>
      <c r="Z102" s="123"/>
      <c r="AA102" s="131"/>
      <c r="AB102" s="123"/>
      <c r="AC102" s="123"/>
      <c r="AD102" s="123"/>
      <c r="AE102" s="123"/>
      <c r="AF102" s="123"/>
      <c r="AG102" s="123"/>
      <c r="AH102" s="123"/>
      <c r="AO102" s="123"/>
      <c r="AP102" s="93"/>
      <c r="AQ102" s="123"/>
      <c r="AR102" s="123"/>
      <c r="AS102" s="93"/>
      <c r="AT102" s="123"/>
      <c r="AU102" s="93"/>
      <c r="AV102" s="435"/>
      <c r="AW102" s="123"/>
      <c r="AX102" s="93"/>
      <c r="AY102" s="435"/>
      <c r="AZ102" s="123"/>
      <c r="BA102" s="127"/>
    </row>
    <row r="103" spans="1:53" x14ac:dyDescent="0.2">
      <c r="A103" s="294"/>
      <c r="B103" s="23"/>
      <c r="C103" s="127"/>
      <c r="D103" s="23"/>
      <c r="E103" s="127"/>
      <c r="F103" s="23"/>
      <c r="G103" s="127"/>
      <c r="H103" s="23"/>
      <c r="I103" s="122"/>
      <c r="J103" s="93"/>
      <c r="K103" s="122"/>
      <c r="L103" s="93"/>
      <c r="M103" s="122"/>
      <c r="N103" s="93"/>
      <c r="O103" s="122"/>
      <c r="Q103" s="123"/>
      <c r="R103" s="123"/>
      <c r="S103" s="131"/>
      <c r="T103" s="123"/>
      <c r="U103" s="123"/>
      <c r="V103" s="123"/>
      <c r="W103" s="123"/>
      <c r="X103" s="123"/>
      <c r="Y103" s="123"/>
      <c r="Z103" s="123"/>
      <c r="AA103" s="131"/>
      <c r="AB103" s="123"/>
      <c r="AC103" s="123"/>
      <c r="AD103" s="123"/>
      <c r="AE103" s="123"/>
      <c r="AF103" s="123"/>
      <c r="AG103" s="123"/>
      <c r="AH103" s="123"/>
      <c r="AO103" s="123"/>
      <c r="AP103" s="93"/>
      <c r="AQ103" s="123"/>
      <c r="AR103" s="123"/>
      <c r="AS103" s="93"/>
      <c r="AT103" s="123"/>
      <c r="AU103" s="93"/>
      <c r="AV103" s="435"/>
      <c r="AW103" s="123"/>
      <c r="AX103" s="93"/>
      <c r="AY103" s="435"/>
      <c r="AZ103" s="123"/>
      <c r="BA103" s="127"/>
    </row>
    <row r="104" spans="1:53" x14ac:dyDescent="0.2">
      <c r="A104" s="294"/>
      <c r="B104" s="23"/>
      <c r="C104" s="127"/>
      <c r="D104" s="23"/>
      <c r="E104" s="127"/>
      <c r="F104" s="23"/>
      <c r="G104" s="127"/>
      <c r="H104" s="23"/>
      <c r="I104" s="122"/>
      <c r="J104" s="93"/>
      <c r="K104" s="122"/>
      <c r="L104" s="93"/>
      <c r="M104" s="122"/>
      <c r="N104" s="93"/>
      <c r="O104" s="122"/>
      <c r="Q104" s="123"/>
      <c r="R104" s="123"/>
      <c r="S104" s="131"/>
      <c r="T104" s="123"/>
      <c r="U104" s="123"/>
      <c r="V104" s="123"/>
      <c r="W104" s="123"/>
      <c r="X104" s="123"/>
      <c r="Y104" s="123"/>
      <c r="Z104" s="123"/>
      <c r="AA104" s="131"/>
      <c r="AB104" s="123"/>
      <c r="AC104" s="123"/>
      <c r="AD104" s="123"/>
      <c r="AE104" s="123"/>
      <c r="AF104" s="123"/>
      <c r="AG104" s="123"/>
      <c r="AH104" s="123"/>
      <c r="AO104" s="123"/>
      <c r="AP104" s="93"/>
      <c r="AQ104" s="123"/>
      <c r="AR104" s="123"/>
      <c r="AS104" s="93"/>
      <c r="AT104" s="123"/>
      <c r="AU104" s="93"/>
      <c r="AV104" s="435"/>
      <c r="AW104" s="123"/>
      <c r="AX104" s="93"/>
      <c r="AY104" s="435"/>
      <c r="AZ104" s="123"/>
      <c r="BA104" s="127"/>
    </row>
    <row r="105" spans="1:53" x14ac:dyDescent="0.2">
      <c r="A105" s="294"/>
      <c r="B105" s="23"/>
      <c r="C105" s="127"/>
      <c r="D105" s="23"/>
      <c r="E105" s="127"/>
      <c r="F105" s="23"/>
      <c r="G105" s="127"/>
      <c r="H105" s="23"/>
      <c r="I105" s="122"/>
      <c r="J105" s="93"/>
      <c r="K105" s="122"/>
      <c r="L105" s="93"/>
      <c r="M105" s="122"/>
      <c r="N105" s="93"/>
      <c r="O105" s="122"/>
      <c r="Q105" s="123"/>
      <c r="R105" s="123"/>
      <c r="S105" s="131"/>
      <c r="T105" s="123"/>
      <c r="U105" s="123"/>
      <c r="V105" s="123"/>
      <c r="W105" s="123"/>
      <c r="X105" s="123"/>
      <c r="Y105" s="123"/>
      <c r="Z105" s="123"/>
      <c r="AA105" s="131"/>
      <c r="AB105" s="123"/>
      <c r="AC105" s="123"/>
      <c r="AD105" s="123"/>
      <c r="AE105" s="123"/>
      <c r="AF105" s="123"/>
      <c r="AG105" s="123"/>
      <c r="AH105" s="123"/>
      <c r="AO105" s="123"/>
      <c r="AP105" s="93"/>
      <c r="AQ105" s="123"/>
      <c r="AR105" s="123"/>
      <c r="AS105" s="93"/>
      <c r="AT105" s="123"/>
      <c r="AU105" s="93"/>
      <c r="AV105" s="435"/>
      <c r="AW105" s="123"/>
      <c r="AX105" s="93"/>
      <c r="AY105" s="435"/>
      <c r="AZ105" s="123"/>
      <c r="BA105" s="127"/>
    </row>
    <row r="106" spans="1:53" x14ac:dyDescent="0.2">
      <c r="A106" s="294"/>
      <c r="B106" s="23"/>
      <c r="C106" s="127"/>
      <c r="D106" s="23"/>
      <c r="E106" s="127"/>
      <c r="F106" s="23"/>
      <c r="G106" s="127"/>
      <c r="H106" s="23"/>
      <c r="I106" s="122"/>
      <c r="J106" s="93"/>
      <c r="K106" s="122"/>
      <c r="L106" s="93"/>
      <c r="M106" s="122"/>
      <c r="N106" s="93"/>
      <c r="O106" s="122"/>
      <c r="Q106" s="123"/>
      <c r="R106" s="123"/>
      <c r="S106" s="131"/>
      <c r="T106" s="123"/>
      <c r="U106" s="123"/>
      <c r="V106" s="123"/>
      <c r="W106" s="123"/>
      <c r="X106" s="123"/>
      <c r="Y106" s="123"/>
      <c r="Z106" s="123"/>
      <c r="AA106" s="131"/>
      <c r="AB106" s="123"/>
      <c r="AC106" s="123"/>
      <c r="AD106" s="123"/>
      <c r="AE106" s="123"/>
      <c r="AF106" s="123"/>
      <c r="AG106" s="123"/>
      <c r="AH106" s="123"/>
      <c r="AO106" s="123"/>
      <c r="AP106" s="93"/>
      <c r="AQ106" s="123"/>
      <c r="AR106" s="123"/>
      <c r="AS106" s="93"/>
      <c r="AT106" s="123"/>
      <c r="AU106" s="93"/>
      <c r="AV106" s="435"/>
      <c r="AW106" s="123"/>
      <c r="AX106" s="93"/>
      <c r="AY106" s="435"/>
      <c r="AZ106" s="123"/>
      <c r="BA106" s="127"/>
    </row>
    <row r="107" spans="1:53" x14ac:dyDescent="0.2">
      <c r="A107" s="294"/>
      <c r="B107" s="23"/>
      <c r="C107" s="127"/>
      <c r="D107" s="23"/>
      <c r="E107" s="127"/>
      <c r="F107" s="23"/>
      <c r="G107" s="127"/>
      <c r="H107" s="23"/>
      <c r="I107" s="122"/>
      <c r="J107" s="93"/>
      <c r="K107" s="122"/>
      <c r="L107" s="93"/>
      <c r="M107" s="122"/>
      <c r="N107" s="93"/>
      <c r="O107" s="122"/>
      <c r="Q107" s="123"/>
      <c r="R107" s="123"/>
      <c r="S107" s="131"/>
      <c r="T107" s="123"/>
      <c r="U107" s="123"/>
      <c r="V107" s="123"/>
      <c r="W107" s="123"/>
      <c r="X107" s="123"/>
      <c r="Y107" s="123"/>
      <c r="Z107" s="123"/>
      <c r="AA107" s="131"/>
      <c r="AB107" s="123"/>
      <c r="AC107" s="123"/>
      <c r="AD107" s="123"/>
      <c r="AE107" s="123"/>
      <c r="AF107" s="123"/>
      <c r="AG107" s="123"/>
      <c r="AH107" s="123"/>
      <c r="AO107" s="123"/>
      <c r="AP107" s="93"/>
      <c r="AQ107" s="123"/>
      <c r="AR107" s="123"/>
      <c r="AS107" s="93"/>
      <c r="AT107" s="123"/>
      <c r="AU107" s="93"/>
      <c r="AV107" s="435"/>
      <c r="AW107" s="123"/>
      <c r="AX107" s="93"/>
      <c r="AY107" s="435"/>
      <c r="AZ107" s="123"/>
      <c r="BA107" s="127"/>
    </row>
    <row r="108" spans="1:53" x14ac:dyDescent="0.2">
      <c r="A108" s="294"/>
      <c r="B108" s="23"/>
      <c r="C108" s="127"/>
      <c r="D108" s="23"/>
      <c r="E108" s="127"/>
      <c r="F108" s="23"/>
      <c r="G108" s="127"/>
      <c r="H108" s="23"/>
      <c r="I108" s="122"/>
      <c r="J108" s="93"/>
      <c r="K108" s="122"/>
      <c r="L108" s="93"/>
      <c r="M108" s="122"/>
      <c r="N108" s="93"/>
      <c r="O108" s="122"/>
      <c r="Q108" s="123"/>
      <c r="R108" s="123"/>
      <c r="S108" s="131"/>
      <c r="T108" s="123"/>
      <c r="U108" s="123"/>
      <c r="V108" s="123"/>
      <c r="W108" s="123"/>
      <c r="X108" s="123"/>
      <c r="Y108" s="123"/>
      <c r="Z108" s="123"/>
      <c r="AA108" s="131"/>
      <c r="AB108" s="123"/>
      <c r="AC108" s="123"/>
      <c r="AD108" s="123"/>
      <c r="AE108" s="123"/>
      <c r="AF108" s="123"/>
      <c r="AG108" s="123"/>
      <c r="AH108" s="123"/>
      <c r="AO108" s="123"/>
      <c r="AP108" s="93"/>
      <c r="AQ108" s="123"/>
      <c r="AR108" s="123"/>
      <c r="AS108" s="93"/>
      <c r="AT108" s="123"/>
      <c r="AU108" s="93"/>
      <c r="AV108" s="435"/>
      <c r="AW108" s="123"/>
      <c r="AX108" s="93"/>
      <c r="AY108" s="435"/>
      <c r="AZ108" s="123"/>
      <c r="BA108" s="127"/>
    </row>
    <row r="109" spans="1:53" x14ac:dyDescent="0.2">
      <c r="A109" s="294"/>
      <c r="B109" s="23"/>
      <c r="C109" s="127"/>
      <c r="D109" s="23"/>
      <c r="E109" s="127"/>
      <c r="F109" s="23"/>
      <c r="G109" s="127"/>
      <c r="H109" s="23"/>
      <c r="I109" s="122"/>
      <c r="J109" s="93"/>
      <c r="K109" s="122"/>
      <c r="L109" s="93"/>
      <c r="M109" s="122"/>
      <c r="N109" s="93"/>
      <c r="O109" s="122"/>
      <c r="Q109" s="123"/>
      <c r="R109" s="123"/>
      <c r="S109" s="131"/>
      <c r="T109" s="123"/>
      <c r="U109" s="123"/>
      <c r="V109" s="123"/>
      <c r="W109" s="123"/>
      <c r="X109" s="123"/>
      <c r="Y109" s="123"/>
      <c r="Z109" s="123"/>
      <c r="AA109" s="131"/>
      <c r="AB109" s="123"/>
      <c r="AC109" s="123"/>
      <c r="AD109" s="123"/>
      <c r="AE109" s="123"/>
      <c r="AF109" s="123"/>
      <c r="AG109" s="123"/>
      <c r="AH109" s="123"/>
      <c r="AO109" s="123"/>
      <c r="AP109" s="93"/>
      <c r="AQ109" s="123"/>
      <c r="AR109" s="123"/>
      <c r="AS109" s="93"/>
      <c r="AT109" s="123"/>
      <c r="AU109" s="93"/>
      <c r="AV109" s="435"/>
      <c r="AW109" s="123"/>
      <c r="AX109" s="93"/>
      <c r="AY109" s="435"/>
      <c r="AZ109" s="123"/>
      <c r="BA109" s="127"/>
    </row>
    <row r="110" spans="1:53" x14ac:dyDescent="0.2">
      <c r="A110" s="294"/>
      <c r="B110" s="23"/>
      <c r="C110" s="127"/>
      <c r="D110" s="23"/>
      <c r="E110" s="127"/>
      <c r="F110" s="23"/>
      <c r="G110" s="127"/>
      <c r="H110" s="23"/>
      <c r="I110" s="122"/>
      <c r="J110" s="93"/>
      <c r="K110" s="122"/>
      <c r="L110" s="93"/>
      <c r="M110" s="122"/>
      <c r="N110" s="93"/>
      <c r="O110" s="122"/>
      <c r="Q110" s="123"/>
      <c r="R110" s="123"/>
      <c r="S110" s="131"/>
      <c r="T110" s="123"/>
      <c r="U110" s="123"/>
      <c r="V110" s="123"/>
      <c r="W110" s="123"/>
      <c r="X110" s="123"/>
      <c r="Y110" s="123"/>
      <c r="Z110" s="123"/>
      <c r="AA110" s="131"/>
      <c r="AB110" s="123"/>
      <c r="AC110" s="123"/>
      <c r="AD110" s="123"/>
      <c r="AE110" s="123"/>
      <c r="AF110" s="123"/>
      <c r="AG110" s="123"/>
      <c r="AH110" s="123"/>
      <c r="AO110" s="123"/>
      <c r="AP110" s="93"/>
      <c r="AQ110" s="123"/>
      <c r="AR110" s="123"/>
      <c r="AS110" s="93"/>
      <c r="AT110" s="123"/>
      <c r="AU110" s="93"/>
      <c r="AV110" s="435"/>
      <c r="AW110" s="123"/>
      <c r="AX110" s="93"/>
      <c r="AY110" s="435"/>
      <c r="AZ110" s="123"/>
      <c r="BA110" s="127"/>
    </row>
    <row r="111" spans="1:53" x14ac:dyDescent="0.2">
      <c r="A111" s="294"/>
      <c r="B111" s="23"/>
      <c r="C111" s="127"/>
      <c r="D111" s="23"/>
      <c r="E111" s="127"/>
      <c r="F111" s="23"/>
      <c r="G111" s="127"/>
      <c r="H111" s="23"/>
      <c r="I111" s="122"/>
      <c r="J111" s="93"/>
      <c r="K111" s="122"/>
      <c r="L111" s="93"/>
      <c r="M111" s="122"/>
      <c r="N111" s="93"/>
      <c r="O111" s="122"/>
      <c r="Q111" s="123"/>
      <c r="R111" s="123"/>
      <c r="S111" s="131"/>
      <c r="T111" s="123"/>
      <c r="U111" s="123"/>
      <c r="V111" s="123"/>
      <c r="W111" s="123"/>
      <c r="X111" s="123"/>
      <c r="Y111" s="123"/>
      <c r="Z111" s="123"/>
      <c r="AA111" s="131"/>
      <c r="AB111" s="123"/>
      <c r="AC111" s="123"/>
      <c r="AD111" s="123"/>
      <c r="AE111" s="123"/>
      <c r="AF111" s="123"/>
      <c r="AG111" s="123"/>
      <c r="AH111" s="123"/>
      <c r="AO111" s="123"/>
      <c r="AP111" s="93"/>
      <c r="AQ111" s="123"/>
      <c r="AR111" s="123"/>
      <c r="AS111" s="93"/>
      <c r="AT111" s="123"/>
      <c r="AU111" s="93"/>
      <c r="AV111" s="435"/>
      <c r="AW111" s="123"/>
      <c r="AX111" s="93"/>
      <c r="AY111" s="435"/>
      <c r="AZ111" s="123"/>
      <c r="BA111" s="127"/>
    </row>
    <row r="112" spans="1:53" x14ac:dyDescent="0.2">
      <c r="A112" s="294"/>
      <c r="B112" s="23"/>
      <c r="C112" s="127"/>
      <c r="D112" s="23"/>
      <c r="E112" s="127"/>
      <c r="F112" s="23"/>
      <c r="G112" s="127"/>
      <c r="H112" s="23"/>
      <c r="I112" s="122"/>
      <c r="J112" s="93"/>
      <c r="K112" s="122"/>
      <c r="L112" s="93"/>
      <c r="M112" s="122"/>
      <c r="N112" s="93"/>
      <c r="O112" s="122"/>
      <c r="Q112" s="123"/>
      <c r="R112" s="123"/>
      <c r="S112" s="131"/>
      <c r="T112" s="123"/>
      <c r="U112" s="123"/>
      <c r="V112" s="123"/>
      <c r="W112" s="123"/>
      <c r="X112" s="123"/>
      <c r="Y112" s="123"/>
      <c r="Z112" s="123"/>
      <c r="AA112" s="131"/>
      <c r="AB112" s="123"/>
      <c r="AC112" s="123"/>
      <c r="AD112" s="123"/>
      <c r="AE112" s="123"/>
      <c r="AF112" s="123"/>
      <c r="AG112" s="123"/>
      <c r="AH112" s="123"/>
      <c r="AO112" s="123"/>
      <c r="AP112" s="93"/>
      <c r="AQ112" s="123"/>
      <c r="AR112" s="123"/>
      <c r="AS112" s="93"/>
      <c r="AT112" s="123"/>
      <c r="AU112" s="93"/>
      <c r="AV112" s="435"/>
      <c r="AW112" s="123"/>
      <c r="AX112" s="93"/>
      <c r="AY112" s="435"/>
      <c r="AZ112" s="123"/>
      <c r="BA112" s="127"/>
    </row>
    <row r="113" spans="1:53" x14ac:dyDescent="0.2">
      <c r="A113" s="294"/>
      <c r="B113" s="23"/>
      <c r="C113" s="127"/>
      <c r="D113" s="23"/>
      <c r="E113" s="127"/>
      <c r="F113" s="23"/>
      <c r="G113" s="127"/>
      <c r="H113" s="23"/>
      <c r="I113" s="122"/>
      <c r="J113" s="93"/>
      <c r="K113" s="122"/>
      <c r="L113" s="93"/>
      <c r="M113" s="122"/>
      <c r="N113" s="93"/>
      <c r="O113" s="122"/>
      <c r="Q113" s="123"/>
      <c r="R113" s="123"/>
      <c r="S113" s="131"/>
      <c r="T113" s="123"/>
      <c r="U113" s="123"/>
      <c r="V113" s="123"/>
      <c r="W113" s="123"/>
      <c r="X113" s="123"/>
      <c r="Y113" s="123"/>
      <c r="Z113" s="123"/>
      <c r="AA113" s="131"/>
      <c r="AB113" s="123"/>
      <c r="AC113" s="123"/>
      <c r="AD113" s="123"/>
      <c r="AE113" s="123"/>
      <c r="AF113" s="123"/>
      <c r="AG113" s="123"/>
      <c r="AH113" s="123"/>
      <c r="AO113" s="123"/>
      <c r="AP113" s="93"/>
      <c r="AQ113" s="123"/>
      <c r="AR113" s="123"/>
      <c r="AS113" s="93"/>
      <c r="AT113" s="123"/>
      <c r="AU113" s="93"/>
      <c r="AV113" s="435"/>
      <c r="AW113" s="123"/>
      <c r="AX113" s="93"/>
      <c r="AY113" s="435"/>
      <c r="AZ113" s="123"/>
      <c r="BA113" s="127"/>
    </row>
    <row r="114" spans="1:53" x14ac:dyDescent="0.2">
      <c r="A114" s="294"/>
      <c r="B114" s="23"/>
      <c r="C114" s="127"/>
      <c r="D114" s="23"/>
      <c r="E114" s="127"/>
      <c r="F114" s="23"/>
      <c r="G114" s="127"/>
      <c r="H114" s="23"/>
      <c r="I114" s="122"/>
      <c r="J114" s="93"/>
      <c r="K114" s="122"/>
      <c r="L114" s="93"/>
      <c r="M114" s="122"/>
      <c r="N114" s="93"/>
      <c r="O114" s="122"/>
      <c r="Q114" s="123"/>
      <c r="R114" s="123"/>
      <c r="S114" s="131"/>
      <c r="T114" s="123"/>
      <c r="U114" s="123"/>
      <c r="V114" s="123"/>
      <c r="W114" s="123"/>
      <c r="X114" s="123"/>
      <c r="Y114" s="123"/>
      <c r="Z114" s="123"/>
      <c r="AA114" s="131"/>
      <c r="AB114" s="123"/>
      <c r="AC114" s="123"/>
      <c r="AD114" s="123"/>
      <c r="AE114" s="123"/>
      <c r="AF114" s="123"/>
      <c r="AG114" s="123"/>
      <c r="AH114" s="123"/>
      <c r="AO114" s="123"/>
      <c r="AP114" s="93"/>
      <c r="AQ114" s="123"/>
      <c r="AR114" s="123"/>
      <c r="AS114" s="93"/>
      <c r="AT114" s="123"/>
      <c r="AU114" s="93"/>
      <c r="AV114" s="435"/>
      <c r="AW114" s="123"/>
      <c r="AX114" s="93"/>
      <c r="AY114" s="435"/>
      <c r="AZ114" s="123"/>
      <c r="BA114" s="127"/>
    </row>
    <row r="115" spans="1:53" x14ac:dyDescent="0.2">
      <c r="A115" s="294"/>
      <c r="B115" s="23"/>
      <c r="C115" s="127"/>
      <c r="D115" s="23"/>
      <c r="E115" s="127"/>
      <c r="F115" s="23"/>
      <c r="G115" s="127"/>
      <c r="H115" s="23"/>
      <c r="I115" s="122"/>
      <c r="J115" s="93"/>
      <c r="K115" s="122"/>
      <c r="L115" s="93"/>
      <c r="M115" s="122"/>
      <c r="N115" s="93"/>
      <c r="O115" s="122"/>
      <c r="Q115" s="123"/>
      <c r="R115" s="123"/>
      <c r="S115" s="131"/>
      <c r="T115" s="123"/>
      <c r="U115" s="123"/>
      <c r="V115" s="123"/>
      <c r="W115" s="123"/>
      <c r="X115" s="123"/>
      <c r="Y115" s="123"/>
      <c r="Z115" s="123"/>
      <c r="AA115" s="131"/>
      <c r="AB115" s="123"/>
      <c r="AC115" s="123"/>
      <c r="AD115" s="123"/>
      <c r="AE115" s="123"/>
      <c r="AF115" s="123"/>
      <c r="AG115" s="123"/>
      <c r="AH115" s="123"/>
      <c r="AO115" s="123"/>
      <c r="AP115" s="93"/>
      <c r="AQ115" s="123"/>
      <c r="AR115" s="123"/>
      <c r="AS115" s="93"/>
      <c r="AT115" s="123"/>
      <c r="AU115" s="93"/>
      <c r="AV115" s="435"/>
      <c r="AW115" s="123"/>
      <c r="AX115" s="93"/>
      <c r="AY115" s="435"/>
      <c r="AZ115" s="123"/>
      <c r="BA115" s="127"/>
    </row>
    <row r="116" spans="1:53" x14ac:dyDescent="0.2">
      <c r="A116" s="294"/>
      <c r="B116" s="23"/>
      <c r="C116" s="127"/>
      <c r="D116" s="23"/>
      <c r="E116" s="127"/>
      <c r="F116" s="23"/>
      <c r="G116" s="127"/>
      <c r="H116" s="23"/>
      <c r="I116" s="122"/>
      <c r="J116" s="93"/>
      <c r="K116" s="122"/>
      <c r="L116" s="93"/>
      <c r="M116" s="122"/>
      <c r="N116" s="93"/>
      <c r="O116" s="122"/>
      <c r="Q116" s="123"/>
      <c r="R116" s="123"/>
      <c r="S116" s="131"/>
      <c r="T116" s="123"/>
      <c r="U116" s="123"/>
      <c r="V116" s="123"/>
      <c r="W116" s="123"/>
      <c r="X116" s="123"/>
      <c r="Y116" s="123"/>
      <c r="Z116" s="123"/>
      <c r="AA116" s="131"/>
      <c r="AB116" s="123"/>
      <c r="AC116" s="123"/>
      <c r="AD116" s="123"/>
      <c r="AE116" s="123"/>
      <c r="AF116" s="123"/>
      <c r="AG116" s="123"/>
      <c r="AH116" s="123"/>
      <c r="AO116" s="123"/>
      <c r="AP116" s="93"/>
      <c r="AQ116" s="123"/>
      <c r="AR116" s="123"/>
      <c r="AS116" s="93"/>
      <c r="AT116" s="123"/>
      <c r="AU116" s="93"/>
      <c r="AV116" s="435"/>
      <c r="AW116" s="123"/>
      <c r="AX116" s="93"/>
      <c r="AY116" s="435"/>
      <c r="AZ116" s="123"/>
      <c r="BA116" s="127"/>
    </row>
    <row r="117" spans="1:53" x14ac:dyDescent="0.2">
      <c r="A117" s="294"/>
      <c r="B117" s="23"/>
      <c r="C117" s="127"/>
      <c r="D117" s="23"/>
      <c r="E117" s="127"/>
      <c r="F117" s="23"/>
      <c r="G117" s="127"/>
      <c r="H117" s="23"/>
      <c r="I117" s="122"/>
      <c r="J117" s="93"/>
      <c r="K117" s="122"/>
      <c r="L117" s="93"/>
      <c r="M117" s="122"/>
      <c r="N117" s="93"/>
      <c r="O117" s="122"/>
      <c r="Q117" s="123"/>
      <c r="R117" s="123"/>
      <c r="S117" s="131"/>
      <c r="T117" s="123"/>
      <c r="U117" s="123"/>
      <c r="V117" s="123"/>
      <c r="W117" s="123"/>
      <c r="X117" s="123"/>
      <c r="Y117" s="123"/>
      <c r="Z117" s="123"/>
      <c r="AA117" s="131"/>
      <c r="AB117" s="123"/>
      <c r="AC117" s="123"/>
      <c r="AD117" s="123"/>
      <c r="AE117" s="123"/>
      <c r="AF117" s="123"/>
      <c r="AG117" s="123"/>
      <c r="AH117" s="123"/>
      <c r="AO117" s="123"/>
      <c r="AP117" s="93"/>
      <c r="AQ117" s="123"/>
      <c r="AR117" s="123"/>
      <c r="AS117" s="93"/>
      <c r="AT117" s="123"/>
      <c r="AU117" s="93"/>
      <c r="AV117" s="435"/>
      <c r="AW117" s="123"/>
      <c r="AX117" s="93"/>
      <c r="AY117" s="435"/>
      <c r="AZ117" s="123"/>
      <c r="BA117" s="127"/>
    </row>
    <row r="118" spans="1:53" x14ac:dyDescent="0.2">
      <c r="A118" s="294"/>
      <c r="B118" s="23"/>
      <c r="C118" s="127"/>
      <c r="D118" s="23"/>
      <c r="E118" s="127"/>
      <c r="F118" s="23"/>
      <c r="G118" s="127"/>
      <c r="H118" s="23"/>
      <c r="I118" s="122"/>
      <c r="J118" s="93"/>
      <c r="K118" s="122"/>
      <c r="L118" s="93"/>
      <c r="M118" s="122"/>
      <c r="N118" s="93"/>
      <c r="O118" s="122"/>
      <c r="Q118" s="123"/>
      <c r="R118" s="123"/>
      <c r="S118" s="131"/>
      <c r="T118" s="123"/>
      <c r="U118" s="123"/>
      <c r="V118" s="123"/>
      <c r="W118" s="123"/>
      <c r="X118" s="123"/>
      <c r="Y118" s="123"/>
      <c r="Z118" s="123"/>
      <c r="AA118" s="131"/>
      <c r="AB118" s="123"/>
      <c r="AC118" s="123"/>
      <c r="AD118" s="123"/>
      <c r="AE118" s="123"/>
      <c r="AF118" s="123"/>
      <c r="AG118" s="123"/>
      <c r="AH118" s="123"/>
      <c r="AO118" s="123"/>
      <c r="AP118" s="93"/>
      <c r="AQ118" s="123"/>
      <c r="AR118" s="123"/>
      <c r="AS118" s="93"/>
      <c r="AT118" s="123"/>
      <c r="AU118" s="93"/>
      <c r="AV118" s="435"/>
      <c r="AW118" s="123"/>
      <c r="AX118" s="93"/>
      <c r="AY118" s="435"/>
      <c r="AZ118" s="123"/>
      <c r="BA118" s="127"/>
    </row>
    <row r="119" spans="1:53" x14ac:dyDescent="0.2">
      <c r="A119" s="294"/>
      <c r="B119" s="23"/>
      <c r="C119" s="127"/>
      <c r="D119" s="23"/>
      <c r="E119" s="127"/>
      <c r="F119" s="23"/>
      <c r="G119" s="127"/>
      <c r="H119" s="23"/>
      <c r="I119" s="122"/>
      <c r="J119" s="93"/>
      <c r="K119" s="122"/>
      <c r="L119" s="93"/>
      <c r="M119" s="122"/>
      <c r="N119" s="93"/>
      <c r="O119" s="122"/>
      <c r="Q119" s="123"/>
      <c r="R119" s="123"/>
      <c r="S119" s="131"/>
      <c r="T119" s="123"/>
      <c r="U119" s="123"/>
      <c r="V119" s="123"/>
      <c r="W119" s="123"/>
      <c r="X119" s="123"/>
      <c r="Y119" s="123"/>
      <c r="Z119" s="123"/>
      <c r="AA119" s="131"/>
      <c r="AB119" s="123"/>
      <c r="AC119" s="123"/>
      <c r="AD119" s="123"/>
      <c r="AE119" s="123"/>
      <c r="AF119" s="123"/>
      <c r="AG119" s="123"/>
      <c r="AH119" s="123"/>
      <c r="AO119" s="123"/>
      <c r="AP119" s="93"/>
      <c r="AQ119" s="123"/>
      <c r="AR119" s="123"/>
      <c r="AS119" s="93"/>
      <c r="AT119" s="123"/>
      <c r="AU119" s="93"/>
      <c r="AV119" s="435"/>
      <c r="AW119" s="123"/>
      <c r="AX119" s="93"/>
      <c r="AY119" s="435"/>
      <c r="AZ119" s="123"/>
      <c r="BA119" s="127"/>
    </row>
    <row r="120" spans="1:53" x14ac:dyDescent="0.2">
      <c r="A120" s="294"/>
      <c r="B120" s="23"/>
      <c r="C120" s="127"/>
      <c r="D120" s="23"/>
      <c r="E120" s="127"/>
      <c r="F120" s="23"/>
      <c r="G120" s="127"/>
      <c r="H120" s="23"/>
      <c r="I120" s="122"/>
      <c r="J120" s="93"/>
      <c r="K120" s="122"/>
      <c r="L120" s="93"/>
      <c r="M120" s="122"/>
      <c r="N120" s="93"/>
      <c r="O120" s="122"/>
      <c r="Q120" s="123"/>
      <c r="R120" s="123"/>
      <c r="S120" s="131"/>
      <c r="T120" s="123"/>
      <c r="U120" s="123"/>
      <c r="V120" s="123"/>
      <c r="W120" s="123"/>
      <c r="X120" s="123"/>
      <c r="Y120" s="123"/>
      <c r="Z120" s="123"/>
      <c r="AA120" s="131"/>
      <c r="AB120" s="123"/>
      <c r="AC120" s="123"/>
      <c r="AD120" s="123"/>
      <c r="AE120" s="123"/>
      <c r="AF120" s="123"/>
      <c r="AG120" s="123"/>
      <c r="AH120" s="123"/>
      <c r="AO120" s="123"/>
      <c r="AP120" s="93"/>
      <c r="AQ120" s="123"/>
      <c r="AR120" s="123"/>
      <c r="AS120" s="93"/>
      <c r="AT120" s="123"/>
      <c r="AU120" s="93"/>
      <c r="AV120" s="435"/>
      <c r="AW120" s="123"/>
      <c r="AX120" s="93"/>
      <c r="AY120" s="435"/>
      <c r="AZ120" s="123"/>
      <c r="BA120" s="127"/>
    </row>
    <row r="121" spans="1:53" x14ac:dyDescent="0.2">
      <c r="A121" s="294"/>
      <c r="B121" s="23"/>
      <c r="C121" s="127"/>
      <c r="D121" s="23"/>
      <c r="E121" s="127"/>
      <c r="F121" s="23"/>
      <c r="G121" s="127"/>
      <c r="H121" s="23"/>
      <c r="I121" s="122"/>
      <c r="J121" s="93"/>
      <c r="K121" s="122"/>
      <c r="L121" s="93"/>
      <c r="M121" s="122"/>
      <c r="N121" s="93"/>
      <c r="O121" s="122"/>
      <c r="Q121" s="123"/>
      <c r="R121" s="123"/>
      <c r="S121" s="131"/>
      <c r="T121" s="123"/>
      <c r="U121" s="123"/>
      <c r="V121" s="123"/>
      <c r="W121" s="123"/>
      <c r="X121" s="123"/>
      <c r="Y121" s="123"/>
      <c r="Z121" s="123"/>
      <c r="AA121" s="131"/>
      <c r="AB121" s="123"/>
      <c r="AC121" s="123"/>
      <c r="AD121" s="123"/>
      <c r="AE121" s="123"/>
      <c r="AF121" s="123"/>
      <c r="AG121" s="123"/>
      <c r="AH121" s="123"/>
      <c r="AO121" s="123"/>
      <c r="AP121" s="93"/>
      <c r="AQ121" s="123"/>
      <c r="AR121" s="123"/>
      <c r="AS121" s="93"/>
      <c r="AT121" s="123"/>
      <c r="AU121" s="93"/>
      <c r="AV121" s="435"/>
      <c r="AW121" s="123"/>
      <c r="AX121" s="93"/>
      <c r="AY121" s="435"/>
      <c r="AZ121" s="123"/>
      <c r="BA121" s="127"/>
    </row>
    <row r="122" spans="1:53" x14ac:dyDescent="0.2">
      <c r="A122" s="294"/>
      <c r="B122" s="23"/>
      <c r="C122" s="127"/>
      <c r="D122" s="23"/>
      <c r="E122" s="127"/>
      <c r="F122" s="23"/>
      <c r="G122" s="127"/>
      <c r="H122" s="23"/>
      <c r="I122" s="122"/>
      <c r="J122" s="93"/>
      <c r="K122" s="122"/>
      <c r="L122" s="93"/>
      <c r="M122" s="122"/>
      <c r="N122" s="93"/>
      <c r="O122" s="122"/>
      <c r="Q122" s="123"/>
      <c r="R122" s="123"/>
      <c r="S122" s="131"/>
      <c r="T122" s="123"/>
      <c r="U122" s="123"/>
      <c r="V122" s="123"/>
      <c r="W122" s="123"/>
      <c r="X122" s="123"/>
      <c r="Y122" s="123"/>
      <c r="Z122" s="123"/>
      <c r="AA122" s="131"/>
      <c r="AB122" s="123"/>
      <c r="AC122" s="123"/>
      <c r="AD122" s="123"/>
      <c r="AE122" s="123"/>
      <c r="AF122" s="123"/>
      <c r="AG122" s="123"/>
      <c r="AH122" s="123"/>
      <c r="AO122" s="123"/>
      <c r="AP122" s="93"/>
      <c r="AQ122" s="123"/>
      <c r="AR122" s="123"/>
      <c r="AS122" s="93"/>
      <c r="AT122" s="123"/>
      <c r="AU122" s="93"/>
      <c r="AV122" s="435"/>
      <c r="AW122" s="123"/>
      <c r="AX122" s="93"/>
      <c r="AY122" s="435"/>
      <c r="AZ122" s="123"/>
      <c r="BA122" s="127"/>
    </row>
    <row r="123" spans="1:53" x14ac:dyDescent="0.2">
      <c r="A123" s="294"/>
      <c r="B123" s="23"/>
      <c r="C123" s="127"/>
      <c r="D123" s="23"/>
      <c r="E123" s="127"/>
      <c r="F123" s="23"/>
      <c r="G123" s="127"/>
      <c r="H123" s="23"/>
      <c r="I123" s="122"/>
      <c r="J123" s="93"/>
      <c r="K123" s="122"/>
      <c r="L123" s="93"/>
      <c r="M123" s="122"/>
      <c r="N123" s="93"/>
      <c r="O123" s="122"/>
      <c r="Q123" s="123"/>
      <c r="R123" s="123"/>
      <c r="S123" s="131"/>
      <c r="T123" s="123"/>
      <c r="U123" s="123"/>
      <c r="V123" s="123"/>
      <c r="W123" s="123"/>
      <c r="X123" s="123"/>
      <c r="Y123" s="123"/>
      <c r="Z123" s="123"/>
      <c r="AA123" s="131"/>
      <c r="AB123" s="123"/>
      <c r="AC123" s="123"/>
      <c r="AD123" s="123"/>
      <c r="AE123" s="123"/>
      <c r="AF123" s="123"/>
      <c r="AG123" s="123"/>
      <c r="AH123" s="123"/>
      <c r="AO123" s="123"/>
      <c r="AP123" s="93"/>
      <c r="AQ123" s="123"/>
      <c r="AR123" s="123"/>
      <c r="AS123" s="93"/>
      <c r="AT123" s="123"/>
      <c r="AU123" s="93"/>
      <c r="AV123" s="435"/>
      <c r="AW123" s="123"/>
      <c r="AX123" s="93"/>
      <c r="AY123" s="435"/>
      <c r="AZ123" s="123"/>
      <c r="BA123" s="127"/>
    </row>
    <row r="124" spans="1:53" x14ac:dyDescent="0.2">
      <c r="A124" s="294"/>
      <c r="B124" s="23"/>
      <c r="C124" s="127"/>
      <c r="D124" s="23"/>
      <c r="E124" s="127"/>
      <c r="F124" s="23"/>
      <c r="G124" s="127"/>
      <c r="H124" s="23"/>
      <c r="I124" s="122"/>
      <c r="J124" s="93"/>
      <c r="K124" s="122"/>
      <c r="L124" s="93"/>
      <c r="M124" s="122"/>
      <c r="N124" s="93"/>
      <c r="O124" s="122"/>
      <c r="Q124" s="123"/>
      <c r="R124" s="123"/>
      <c r="S124" s="131"/>
      <c r="T124" s="123"/>
      <c r="U124" s="123"/>
      <c r="V124" s="123"/>
      <c r="W124" s="123"/>
      <c r="X124" s="123"/>
      <c r="Y124" s="123"/>
      <c r="Z124" s="123"/>
      <c r="AA124" s="131"/>
      <c r="AB124" s="123"/>
      <c r="AC124" s="123"/>
      <c r="AD124" s="123"/>
      <c r="AE124" s="123"/>
      <c r="AF124" s="123"/>
      <c r="AG124" s="123"/>
      <c r="AH124" s="123"/>
      <c r="AO124" s="123"/>
      <c r="AP124" s="93"/>
      <c r="AQ124" s="123"/>
      <c r="AR124" s="123"/>
      <c r="AS124" s="93"/>
      <c r="AT124" s="123"/>
      <c r="AU124" s="93"/>
      <c r="AV124" s="435"/>
      <c r="AW124" s="123"/>
      <c r="AX124" s="93"/>
      <c r="AY124" s="435"/>
      <c r="AZ124" s="123"/>
      <c r="BA124" s="127"/>
    </row>
    <row r="125" spans="1:53" x14ac:dyDescent="0.2">
      <c r="A125" s="294"/>
      <c r="B125" s="23"/>
      <c r="C125" s="127"/>
      <c r="D125" s="23"/>
      <c r="E125" s="127"/>
      <c r="F125" s="23"/>
      <c r="G125" s="127"/>
      <c r="H125" s="23"/>
      <c r="I125" s="122"/>
      <c r="J125" s="93"/>
      <c r="K125" s="122"/>
      <c r="L125" s="93"/>
      <c r="M125" s="122"/>
      <c r="N125" s="93"/>
      <c r="O125" s="122"/>
      <c r="Q125" s="123"/>
      <c r="R125" s="123"/>
      <c r="S125" s="131"/>
      <c r="T125" s="123"/>
      <c r="U125" s="123"/>
      <c r="V125" s="123"/>
      <c r="W125" s="123"/>
      <c r="X125" s="123"/>
      <c r="Y125" s="123"/>
      <c r="Z125" s="123"/>
      <c r="AA125" s="131"/>
      <c r="AB125" s="123"/>
      <c r="AC125" s="123"/>
      <c r="AD125" s="123"/>
      <c r="AE125" s="123"/>
      <c r="AF125" s="123"/>
      <c r="AG125" s="123"/>
      <c r="AH125" s="123"/>
      <c r="AO125" s="123"/>
      <c r="AP125" s="93"/>
      <c r="AQ125" s="123"/>
      <c r="AR125" s="123"/>
      <c r="AS125" s="93"/>
      <c r="AT125" s="123"/>
      <c r="AU125" s="93"/>
      <c r="AV125" s="435"/>
      <c r="AW125" s="123"/>
      <c r="AX125" s="93"/>
      <c r="AY125" s="435"/>
      <c r="AZ125" s="123"/>
      <c r="BA125" s="127"/>
    </row>
    <row r="126" spans="1:53" x14ac:dyDescent="0.2">
      <c r="A126" s="294"/>
      <c r="B126" s="23"/>
      <c r="C126" s="127"/>
      <c r="D126" s="23"/>
      <c r="E126" s="127"/>
      <c r="F126" s="23"/>
      <c r="G126" s="127"/>
      <c r="H126" s="23"/>
      <c r="I126" s="122"/>
      <c r="J126" s="93"/>
      <c r="K126" s="122"/>
      <c r="L126" s="93"/>
      <c r="M126" s="122"/>
      <c r="N126" s="93"/>
      <c r="O126" s="122"/>
      <c r="Q126" s="123"/>
      <c r="R126" s="123"/>
      <c r="S126" s="131"/>
      <c r="T126" s="123"/>
      <c r="U126" s="123"/>
      <c r="V126" s="123"/>
      <c r="W126" s="123"/>
      <c r="X126" s="123"/>
      <c r="Y126" s="123"/>
      <c r="Z126" s="123"/>
      <c r="AA126" s="131"/>
      <c r="AB126" s="123"/>
      <c r="AC126" s="123"/>
      <c r="AD126" s="123"/>
      <c r="AE126" s="123"/>
      <c r="AF126" s="123"/>
      <c r="AG126" s="123"/>
      <c r="AH126" s="123"/>
      <c r="AO126" s="123"/>
      <c r="AP126" s="93"/>
      <c r="AQ126" s="123"/>
      <c r="AR126" s="123"/>
      <c r="AS126" s="93"/>
      <c r="AT126" s="123"/>
      <c r="AU126" s="93"/>
      <c r="AV126" s="435"/>
      <c r="AW126" s="123"/>
      <c r="AX126" s="93"/>
      <c r="AY126" s="435"/>
      <c r="AZ126" s="123"/>
      <c r="BA126" s="127"/>
    </row>
    <row r="127" spans="1:53" x14ac:dyDescent="0.2">
      <c r="A127" s="294"/>
      <c r="B127" s="23"/>
      <c r="C127" s="127"/>
      <c r="D127" s="23"/>
      <c r="E127" s="127"/>
      <c r="F127" s="23"/>
      <c r="G127" s="127"/>
      <c r="H127" s="23"/>
      <c r="I127" s="122"/>
      <c r="J127" s="93"/>
      <c r="K127" s="122"/>
      <c r="L127" s="93"/>
      <c r="M127" s="122"/>
      <c r="N127" s="93"/>
      <c r="O127" s="122"/>
      <c r="Q127" s="123"/>
      <c r="R127" s="123"/>
      <c r="S127" s="131"/>
      <c r="T127" s="123"/>
      <c r="U127" s="123"/>
      <c r="V127" s="123"/>
      <c r="W127" s="123"/>
      <c r="X127" s="123"/>
      <c r="Y127" s="123"/>
      <c r="Z127" s="123"/>
      <c r="AA127" s="131"/>
      <c r="AB127" s="123"/>
      <c r="AC127" s="123"/>
      <c r="AD127" s="123"/>
      <c r="AE127" s="123"/>
      <c r="AF127" s="123"/>
      <c r="AG127" s="123"/>
      <c r="AH127" s="123"/>
      <c r="AO127" s="123"/>
      <c r="AP127" s="93"/>
      <c r="AQ127" s="123"/>
      <c r="AR127" s="123"/>
      <c r="AS127" s="93"/>
      <c r="AT127" s="123"/>
      <c r="AU127" s="93"/>
      <c r="AV127" s="435"/>
      <c r="AW127" s="123"/>
      <c r="AX127" s="93"/>
      <c r="AY127" s="435"/>
      <c r="AZ127" s="123"/>
      <c r="BA127" s="127"/>
    </row>
    <row r="128" spans="1:53" x14ac:dyDescent="0.2">
      <c r="A128" s="294"/>
      <c r="B128" s="23"/>
      <c r="C128" s="127"/>
      <c r="D128" s="23"/>
      <c r="E128" s="127"/>
      <c r="F128" s="23"/>
      <c r="G128" s="127"/>
      <c r="H128" s="23"/>
      <c r="I128" s="122"/>
      <c r="J128" s="93"/>
      <c r="K128" s="122"/>
      <c r="L128" s="93"/>
      <c r="M128" s="122"/>
      <c r="N128" s="93"/>
      <c r="O128" s="122"/>
      <c r="Q128" s="123"/>
      <c r="R128" s="123"/>
      <c r="S128" s="131"/>
      <c r="T128" s="123"/>
      <c r="U128" s="123"/>
      <c r="V128" s="123"/>
      <c r="W128" s="123"/>
      <c r="X128" s="123"/>
      <c r="Y128" s="123"/>
      <c r="Z128" s="123"/>
      <c r="AA128" s="131"/>
      <c r="AB128" s="123"/>
      <c r="AC128" s="123"/>
      <c r="AD128" s="123"/>
      <c r="AE128" s="123"/>
      <c r="AF128" s="123"/>
      <c r="AG128" s="123"/>
      <c r="AH128" s="123"/>
      <c r="AO128" s="123"/>
      <c r="AP128" s="93"/>
      <c r="AQ128" s="123"/>
      <c r="AR128" s="123"/>
      <c r="AS128" s="93"/>
      <c r="AT128" s="123"/>
      <c r="AU128" s="93"/>
      <c r="AV128" s="435"/>
      <c r="AW128" s="123"/>
      <c r="AX128" s="93"/>
      <c r="AY128" s="435"/>
      <c r="AZ128" s="123"/>
      <c r="BA128" s="127"/>
    </row>
    <row r="129" spans="1:53" x14ac:dyDescent="0.2">
      <c r="A129" s="294"/>
      <c r="B129" s="23"/>
      <c r="C129" s="127"/>
      <c r="D129" s="23"/>
      <c r="E129" s="127"/>
      <c r="F129" s="23"/>
      <c r="G129" s="127"/>
      <c r="H129" s="23"/>
      <c r="I129" s="122"/>
      <c r="J129" s="93"/>
      <c r="K129" s="122"/>
      <c r="L129" s="93"/>
      <c r="M129" s="122"/>
      <c r="N129" s="93"/>
      <c r="O129" s="122"/>
      <c r="Q129" s="123"/>
      <c r="R129" s="123"/>
      <c r="S129" s="131"/>
      <c r="T129" s="123"/>
      <c r="U129" s="123"/>
      <c r="V129" s="123"/>
      <c r="W129" s="123"/>
      <c r="X129" s="123"/>
      <c r="Y129" s="123"/>
      <c r="Z129" s="123"/>
      <c r="AA129" s="131"/>
      <c r="AB129" s="123"/>
      <c r="AC129" s="123"/>
      <c r="AD129" s="123"/>
      <c r="AE129" s="123"/>
      <c r="AF129" s="123"/>
      <c r="AG129" s="123"/>
      <c r="AH129" s="123"/>
      <c r="AO129" s="123"/>
      <c r="AP129" s="93"/>
      <c r="AQ129" s="123"/>
      <c r="AR129" s="123"/>
      <c r="AS129" s="93"/>
      <c r="AT129" s="123"/>
      <c r="AU129" s="93"/>
      <c r="AV129" s="435"/>
      <c r="AW129" s="123"/>
      <c r="AX129" s="93"/>
      <c r="AY129" s="435"/>
      <c r="AZ129" s="123"/>
      <c r="BA129" s="127"/>
    </row>
    <row r="130" spans="1:53" x14ac:dyDescent="0.2">
      <c r="A130" s="294"/>
      <c r="B130" s="23"/>
      <c r="C130" s="127"/>
      <c r="D130" s="23"/>
      <c r="E130" s="127"/>
      <c r="F130" s="23"/>
      <c r="G130" s="127"/>
      <c r="H130" s="23"/>
      <c r="I130" s="122"/>
      <c r="J130" s="93"/>
      <c r="K130" s="122"/>
      <c r="L130" s="93"/>
      <c r="M130" s="122"/>
      <c r="N130" s="93"/>
      <c r="O130" s="122"/>
      <c r="Q130" s="123"/>
      <c r="R130" s="123"/>
      <c r="S130" s="131"/>
      <c r="T130" s="123"/>
      <c r="U130" s="123"/>
      <c r="V130" s="123"/>
      <c r="W130" s="123"/>
      <c r="X130" s="123"/>
      <c r="Y130" s="123"/>
      <c r="Z130" s="123"/>
      <c r="AA130" s="131"/>
      <c r="AB130" s="123"/>
      <c r="AC130" s="123"/>
      <c r="AD130" s="123"/>
      <c r="AE130" s="123"/>
      <c r="AF130" s="123"/>
      <c r="AG130" s="123"/>
      <c r="AH130" s="123"/>
      <c r="AO130" s="123"/>
      <c r="AP130" s="93"/>
      <c r="AQ130" s="123"/>
      <c r="AR130" s="123"/>
      <c r="AS130" s="93"/>
      <c r="AT130" s="123"/>
      <c r="AU130" s="93"/>
      <c r="AV130" s="435"/>
      <c r="AW130" s="123"/>
      <c r="AX130" s="93"/>
      <c r="AY130" s="435"/>
      <c r="AZ130" s="123"/>
      <c r="BA130" s="127"/>
    </row>
    <row r="131" spans="1:53" x14ac:dyDescent="0.2">
      <c r="A131" s="294"/>
      <c r="B131" s="23"/>
      <c r="C131" s="127"/>
      <c r="D131" s="23"/>
      <c r="E131" s="127"/>
      <c r="F131" s="23"/>
      <c r="G131" s="127"/>
      <c r="H131" s="23"/>
      <c r="I131" s="122"/>
      <c r="J131" s="93"/>
      <c r="K131" s="122"/>
      <c r="L131" s="93"/>
      <c r="M131" s="122"/>
      <c r="N131" s="93"/>
      <c r="O131" s="122"/>
      <c r="Q131" s="123"/>
      <c r="R131" s="123"/>
      <c r="S131" s="131"/>
      <c r="T131" s="123"/>
      <c r="U131" s="123"/>
      <c r="V131" s="123"/>
      <c r="W131" s="123"/>
      <c r="X131" s="123"/>
      <c r="Y131" s="123"/>
      <c r="Z131" s="123"/>
      <c r="AA131" s="131"/>
      <c r="AB131" s="123"/>
      <c r="AC131" s="123"/>
      <c r="AD131" s="123"/>
      <c r="AE131" s="123"/>
      <c r="AF131" s="123"/>
      <c r="AG131" s="123"/>
      <c r="AH131" s="123"/>
      <c r="AO131" s="123"/>
      <c r="AP131" s="93"/>
      <c r="AQ131" s="123"/>
      <c r="AR131" s="123"/>
      <c r="AS131" s="93"/>
      <c r="AT131" s="123"/>
      <c r="AU131" s="93"/>
      <c r="AV131" s="435"/>
      <c r="AW131" s="123"/>
      <c r="AX131" s="93"/>
      <c r="AY131" s="435"/>
      <c r="AZ131" s="123"/>
      <c r="BA131" s="127"/>
    </row>
    <row r="132" spans="1:53" x14ac:dyDescent="0.2">
      <c r="A132" s="294"/>
      <c r="B132" s="23"/>
      <c r="C132" s="127"/>
      <c r="D132" s="23"/>
      <c r="E132" s="127"/>
      <c r="F132" s="23"/>
      <c r="G132" s="127"/>
      <c r="H132" s="23"/>
      <c r="I132" s="122"/>
      <c r="J132" s="93"/>
      <c r="K132" s="122"/>
      <c r="L132" s="93"/>
      <c r="M132" s="122"/>
      <c r="N132" s="93"/>
      <c r="O132" s="122"/>
      <c r="Q132" s="123"/>
      <c r="R132" s="123"/>
      <c r="S132" s="131"/>
      <c r="T132" s="123"/>
      <c r="U132" s="123"/>
      <c r="V132" s="123"/>
      <c r="W132" s="123"/>
      <c r="X132" s="123"/>
      <c r="Y132" s="123"/>
      <c r="Z132" s="123"/>
      <c r="AA132" s="131"/>
      <c r="AB132" s="123"/>
      <c r="AC132" s="123"/>
      <c r="AD132" s="123"/>
      <c r="AE132" s="123"/>
      <c r="AF132" s="123"/>
      <c r="AG132" s="123"/>
      <c r="AH132" s="123"/>
      <c r="AO132" s="123"/>
      <c r="AP132" s="93"/>
      <c r="AQ132" s="123"/>
      <c r="AR132" s="123"/>
      <c r="AS132" s="93"/>
      <c r="AT132" s="123"/>
      <c r="AU132" s="93"/>
      <c r="AV132" s="435"/>
      <c r="AW132" s="123"/>
      <c r="AX132" s="93"/>
      <c r="AY132" s="435"/>
      <c r="AZ132" s="123"/>
      <c r="BA132" s="127"/>
    </row>
    <row r="133" spans="1:53" x14ac:dyDescent="0.2">
      <c r="A133" s="294"/>
      <c r="B133" s="23"/>
      <c r="C133" s="127"/>
      <c r="D133" s="23"/>
      <c r="E133" s="127"/>
      <c r="F133" s="23"/>
      <c r="G133" s="127"/>
      <c r="H133" s="23"/>
      <c r="I133" s="122"/>
      <c r="J133" s="93"/>
      <c r="K133" s="122"/>
      <c r="L133" s="93"/>
      <c r="M133" s="122"/>
      <c r="N133" s="93"/>
      <c r="O133" s="122"/>
      <c r="Q133" s="123"/>
      <c r="R133" s="123"/>
      <c r="S133" s="131"/>
      <c r="T133" s="123"/>
      <c r="U133" s="123"/>
      <c r="V133" s="123"/>
      <c r="W133" s="123"/>
      <c r="X133" s="123"/>
      <c r="Y133" s="123"/>
      <c r="Z133" s="123"/>
      <c r="AA133" s="131"/>
      <c r="AB133" s="123"/>
      <c r="AC133" s="123"/>
      <c r="AD133" s="123"/>
      <c r="AE133" s="123"/>
      <c r="AF133" s="123"/>
      <c r="AG133" s="123"/>
      <c r="AH133" s="123"/>
      <c r="AO133" s="123"/>
      <c r="AP133" s="93"/>
      <c r="AQ133" s="123"/>
      <c r="AR133" s="123"/>
      <c r="AS133" s="93"/>
      <c r="AT133" s="123"/>
      <c r="AU133" s="93"/>
      <c r="AV133" s="435"/>
      <c r="AW133" s="123"/>
      <c r="AX133" s="93"/>
      <c r="AY133" s="435"/>
      <c r="AZ133" s="123"/>
      <c r="BA133" s="127"/>
    </row>
    <row r="134" spans="1:53" x14ac:dyDescent="0.2">
      <c r="A134" s="294"/>
      <c r="B134" s="23"/>
      <c r="C134" s="127"/>
      <c r="D134" s="23"/>
      <c r="E134" s="127"/>
      <c r="F134" s="23"/>
      <c r="G134" s="127"/>
      <c r="H134" s="23"/>
      <c r="I134" s="122"/>
      <c r="J134" s="93"/>
      <c r="K134" s="122"/>
      <c r="L134" s="93"/>
      <c r="M134" s="122"/>
      <c r="N134" s="93"/>
      <c r="O134" s="122"/>
      <c r="Q134" s="123"/>
      <c r="R134" s="123"/>
      <c r="S134" s="131"/>
      <c r="T134" s="123"/>
      <c r="U134" s="123"/>
      <c r="V134" s="123"/>
      <c r="W134" s="123"/>
      <c r="X134" s="123"/>
      <c r="Y134" s="123"/>
      <c r="Z134" s="123"/>
      <c r="AA134" s="131"/>
      <c r="AB134" s="123"/>
      <c r="AC134" s="123"/>
      <c r="AD134" s="123"/>
      <c r="AE134" s="123"/>
      <c r="AF134" s="123"/>
      <c r="AG134" s="123"/>
      <c r="AH134" s="123"/>
      <c r="AO134" s="123"/>
      <c r="AP134" s="93"/>
      <c r="AQ134" s="123"/>
      <c r="AR134" s="123"/>
      <c r="AS134" s="93"/>
      <c r="AT134" s="123"/>
      <c r="AU134" s="93"/>
      <c r="AV134" s="435"/>
      <c r="AW134" s="123"/>
      <c r="AX134" s="93"/>
      <c r="AY134" s="435"/>
      <c r="AZ134" s="123"/>
      <c r="BA134" s="127"/>
    </row>
    <row r="135" spans="1:53" x14ac:dyDescent="0.2">
      <c r="A135" s="294"/>
      <c r="B135" s="23"/>
      <c r="C135" s="127"/>
      <c r="D135" s="23"/>
      <c r="E135" s="127"/>
      <c r="F135" s="23"/>
      <c r="G135" s="127"/>
      <c r="H135" s="23"/>
      <c r="I135" s="122"/>
      <c r="J135" s="93"/>
      <c r="K135" s="122"/>
      <c r="L135" s="93"/>
      <c r="M135" s="122"/>
      <c r="N135" s="93"/>
      <c r="O135" s="122"/>
      <c r="Q135" s="123"/>
      <c r="R135" s="123"/>
      <c r="S135" s="131"/>
      <c r="T135" s="123"/>
      <c r="U135" s="123"/>
      <c r="V135" s="123"/>
      <c r="W135" s="123"/>
      <c r="X135" s="123"/>
      <c r="Y135" s="123"/>
      <c r="Z135" s="123"/>
      <c r="AA135" s="131"/>
      <c r="AB135" s="123"/>
      <c r="AC135" s="123"/>
      <c r="AD135" s="123"/>
      <c r="AE135" s="123"/>
      <c r="AF135" s="123"/>
      <c r="AG135" s="123"/>
      <c r="AH135" s="123"/>
      <c r="AO135" s="123"/>
      <c r="AP135" s="93"/>
      <c r="AQ135" s="123"/>
      <c r="AR135" s="123"/>
      <c r="AS135" s="93"/>
      <c r="AT135" s="123"/>
      <c r="AU135" s="93"/>
      <c r="AV135" s="435"/>
      <c r="AW135" s="123"/>
      <c r="AX135" s="93"/>
      <c r="AY135" s="435"/>
      <c r="AZ135" s="123"/>
      <c r="BA135" s="127"/>
    </row>
    <row r="136" spans="1:53" x14ac:dyDescent="0.2">
      <c r="A136" s="294"/>
      <c r="B136" s="23"/>
      <c r="C136" s="127"/>
      <c r="D136" s="23"/>
      <c r="E136" s="127"/>
      <c r="F136" s="23"/>
      <c r="G136" s="127"/>
      <c r="H136" s="23"/>
      <c r="I136" s="122"/>
      <c r="J136" s="93"/>
      <c r="K136" s="122"/>
      <c r="L136" s="93"/>
      <c r="M136" s="122"/>
      <c r="N136" s="93"/>
      <c r="O136" s="122"/>
      <c r="Q136" s="123"/>
      <c r="R136" s="123"/>
      <c r="S136" s="131"/>
      <c r="T136" s="123"/>
      <c r="U136" s="123"/>
      <c r="V136" s="123"/>
      <c r="W136" s="123"/>
      <c r="X136" s="123"/>
      <c r="Y136" s="123"/>
      <c r="Z136" s="123"/>
      <c r="AA136" s="131"/>
      <c r="AB136" s="123"/>
      <c r="AC136" s="123"/>
      <c r="AD136" s="123"/>
      <c r="AE136" s="123"/>
      <c r="AF136" s="123"/>
      <c r="AG136" s="123"/>
      <c r="AH136" s="123"/>
      <c r="AO136" s="123"/>
      <c r="AP136" s="93"/>
      <c r="AQ136" s="123"/>
      <c r="AR136" s="123"/>
      <c r="AS136" s="93"/>
      <c r="AT136" s="123"/>
      <c r="AU136" s="93"/>
      <c r="AV136" s="435"/>
      <c r="AW136" s="123"/>
      <c r="AX136" s="93"/>
      <c r="AY136" s="435"/>
      <c r="AZ136" s="123"/>
      <c r="BA136" s="127"/>
    </row>
    <row r="137" spans="1:53" x14ac:dyDescent="0.2">
      <c r="A137" s="294"/>
      <c r="B137" s="23"/>
      <c r="C137" s="127"/>
      <c r="D137" s="23"/>
      <c r="E137" s="127"/>
      <c r="F137" s="23"/>
      <c r="G137" s="127"/>
      <c r="H137" s="23"/>
      <c r="I137" s="122"/>
      <c r="J137" s="93"/>
      <c r="K137" s="122"/>
      <c r="L137" s="93"/>
      <c r="M137" s="122"/>
      <c r="N137" s="93"/>
      <c r="O137" s="122"/>
      <c r="Q137" s="123"/>
      <c r="R137" s="123"/>
      <c r="S137" s="131"/>
      <c r="T137" s="123"/>
      <c r="U137" s="123"/>
      <c r="V137" s="123"/>
      <c r="W137" s="123"/>
      <c r="X137" s="123"/>
      <c r="Y137" s="123"/>
      <c r="Z137" s="123"/>
      <c r="AA137" s="131"/>
      <c r="AB137" s="123"/>
      <c r="AC137" s="123"/>
      <c r="AD137" s="123"/>
      <c r="AE137" s="123"/>
      <c r="AF137" s="123"/>
      <c r="AG137" s="123"/>
      <c r="AH137" s="123"/>
      <c r="AO137" s="123"/>
      <c r="AP137" s="93"/>
      <c r="AQ137" s="123"/>
      <c r="AR137" s="123"/>
      <c r="AS137" s="93"/>
      <c r="AT137" s="123"/>
      <c r="AU137" s="93"/>
      <c r="AV137" s="435"/>
      <c r="AW137" s="123"/>
      <c r="AX137" s="93"/>
      <c r="AY137" s="435"/>
      <c r="AZ137" s="123"/>
      <c r="BA137" s="127"/>
    </row>
    <row r="138" spans="1:53" x14ac:dyDescent="0.2">
      <c r="A138" s="294"/>
      <c r="B138" s="23"/>
      <c r="C138" s="127"/>
      <c r="D138" s="23"/>
      <c r="E138" s="127"/>
      <c r="F138" s="23"/>
      <c r="G138" s="127"/>
      <c r="H138" s="23"/>
      <c r="I138" s="122"/>
      <c r="J138" s="93"/>
      <c r="K138" s="122"/>
      <c r="L138" s="93"/>
      <c r="M138" s="122"/>
      <c r="N138" s="93"/>
      <c r="O138" s="122"/>
      <c r="Q138" s="123"/>
      <c r="R138" s="123"/>
      <c r="S138" s="131"/>
      <c r="T138" s="123"/>
      <c r="U138" s="123"/>
      <c r="V138" s="123"/>
      <c r="W138" s="123"/>
      <c r="X138" s="123"/>
      <c r="Y138" s="123"/>
      <c r="Z138" s="123"/>
      <c r="AA138" s="131"/>
      <c r="AB138" s="123"/>
      <c r="AC138" s="123"/>
      <c r="AD138" s="123"/>
      <c r="AE138" s="123"/>
      <c r="AF138" s="123"/>
      <c r="AG138" s="123"/>
      <c r="AH138" s="123"/>
      <c r="AO138" s="123"/>
      <c r="AP138" s="93"/>
      <c r="AQ138" s="123"/>
      <c r="AR138" s="123"/>
      <c r="AS138" s="93"/>
      <c r="AT138" s="123"/>
      <c r="AU138" s="93"/>
      <c r="AV138" s="435"/>
      <c r="AW138" s="123"/>
      <c r="AX138" s="93"/>
      <c r="AY138" s="435"/>
      <c r="AZ138" s="123"/>
      <c r="BA138" s="127"/>
    </row>
    <row r="139" spans="1:53" x14ac:dyDescent="0.2">
      <c r="A139" s="294"/>
      <c r="B139" s="23"/>
      <c r="C139" s="127"/>
      <c r="D139" s="23"/>
      <c r="E139" s="127"/>
      <c r="F139" s="23"/>
      <c r="G139" s="127"/>
      <c r="H139" s="23"/>
      <c r="I139" s="122"/>
      <c r="J139" s="93"/>
      <c r="K139" s="122"/>
      <c r="L139" s="93"/>
      <c r="M139" s="122"/>
      <c r="N139" s="93"/>
      <c r="O139" s="122"/>
      <c r="Q139" s="123"/>
      <c r="R139" s="123"/>
      <c r="S139" s="131"/>
      <c r="T139" s="123"/>
      <c r="U139" s="123"/>
      <c r="V139" s="123"/>
      <c r="W139" s="123"/>
      <c r="X139" s="123"/>
      <c r="Y139" s="123"/>
      <c r="Z139" s="123"/>
      <c r="AA139" s="131"/>
      <c r="AB139" s="123"/>
      <c r="AC139" s="123"/>
      <c r="AD139" s="123"/>
      <c r="AE139" s="123"/>
      <c r="AF139" s="123"/>
      <c r="AG139" s="123"/>
      <c r="AH139" s="123"/>
      <c r="AO139" s="123"/>
      <c r="AP139" s="93"/>
      <c r="AQ139" s="123"/>
      <c r="AR139" s="123"/>
      <c r="AS139" s="93"/>
      <c r="AT139" s="123"/>
      <c r="AU139" s="93"/>
      <c r="AV139" s="435"/>
      <c r="AW139" s="123"/>
      <c r="AX139" s="93"/>
      <c r="AY139" s="435"/>
      <c r="AZ139" s="123"/>
      <c r="BA139" s="127"/>
    </row>
    <row r="140" spans="1:53" x14ac:dyDescent="0.2">
      <c r="A140" s="294"/>
      <c r="B140" s="23"/>
      <c r="C140" s="127"/>
      <c r="D140" s="23"/>
      <c r="E140" s="127"/>
      <c r="F140" s="23"/>
      <c r="G140" s="127"/>
      <c r="H140" s="23"/>
      <c r="I140" s="122"/>
      <c r="J140" s="93"/>
      <c r="K140" s="122"/>
      <c r="L140" s="93"/>
      <c r="M140" s="122"/>
      <c r="N140" s="93"/>
      <c r="O140" s="122"/>
      <c r="Q140" s="123"/>
      <c r="R140" s="123"/>
      <c r="S140" s="131"/>
      <c r="T140" s="123"/>
      <c r="U140" s="123"/>
      <c r="V140" s="123"/>
      <c r="W140" s="123"/>
      <c r="X140" s="123"/>
      <c r="Y140" s="123"/>
      <c r="Z140" s="123"/>
      <c r="AA140" s="131"/>
      <c r="AB140" s="123"/>
      <c r="AC140" s="123"/>
      <c r="AD140" s="123"/>
      <c r="AE140" s="123"/>
      <c r="AF140" s="123"/>
      <c r="AG140" s="123"/>
      <c r="AH140" s="123"/>
      <c r="AO140" s="123"/>
      <c r="AP140" s="93"/>
      <c r="AQ140" s="123"/>
      <c r="AR140" s="123"/>
      <c r="AS140" s="93"/>
      <c r="AT140" s="123"/>
      <c r="AU140" s="93"/>
      <c r="AV140" s="435"/>
      <c r="AW140" s="123"/>
      <c r="AX140" s="93"/>
      <c r="AY140" s="435"/>
      <c r="AZ140" s="123"/>
      <c r="BA140" s="127"/>
    </row>
    <row r="141" spans="1:53" x14ac:dyDescent="0.2">
      <c r="A141" s="294"/>
      <c r="B141" s="23"/>
      <c r="C141" s="127"/>
      <c r="D141" s="23"/>
      <c r="E141" s="127"/>
      <c r="F141" s="23"/>
      <c r="G141" s="127"/>
      <c r="H141" s="23"/>
      <c r="I141" s="122"/>
      <c r="J141" s="93"/>
      <c r="K141" s="122"/>
      <c r="L141" s="93"/>
      <c r="M141" s="122"/>
      <c r="N141" s="93"/>
      <c r="O141" s="122"/>
      <c r="Q141" s="123"/>
      <c r="R141" s="123"/>
      <c r="S141" s="131"/>
      <c r="T141" s="123"/>
      <c r="U141" s="123"/>
      <c r="V141" s="123"/>
      <c r="W141" s="123"/>
      <c r="X141" s="123"/>
      <c r="Y141" s="123"/>
      <c r="Z141" s="123"/>
      <c r="AA141" s="131"/>
      <c r="AB141" s="123"/>
      <c r="AC141" s="123"/>
      <c r="AD141" s="123"/>
      <c r="AE141" s="123"/>
      <c r="AF141" s="123"/>
      <c r="AG141" s="123"/>
      <c r="AH141" s="123"/>
      <c r="AO141" s="123"/>
      <c r="AP141" s="93"/>
      <c r="AQ141" s="123"/>
      <c r="AR141" s="123"/>
      <c r="AS141" s="93"/>
      <c r="AT141" s="123"/>
      <c r="AU141" s="93"/>
      <c r="AV141" s="435"/>
      <c r="AW141" s="123"/>
      <c r="AX141" s="93"/>
      <c r="AY141" s="435"/>
      <c r="AZ141" s="123"/>
      <c r="BA141" s="127"/>
    </row>
    <row r="142" spans="1:53" x14ac:dyDescent="0.2">
      <c r="A142" s="294"/>
      <c r="B142" s="23"/>
      <c r="C142" s="127"/>
      <c r="D142" s="23"/>
      <c r="E142" s="127"/>
      <c r="F142" s="23"/>
      <c r="G142" s="127"/>
      <c r="H142" s="23"/>
      <c r="I142" s="122"/>
      <c r="J142" s="93"/>
      <c r="K142" s="122"/>
      <c r="L142" s="93"/>
      <c r="M142" s="122"/>
      <c r="N142" s="93"/>
      <c r="O142" s="122"/>
      <c r="Q142" s="123"/>
      <c r="R142" s="123"/>
      <c r="S142" s="131"/>
      <c r="T142" s="123"/>
      <c r="U142" s="123"/>
      <c r="V142" s="123"/>
      <c r="W142" s="123"/>
      <c r="X142" s="123"/>
      <c r="Y142" s="123"/>
      <c r="Z142" s="123"/>
      <c r="AA142" s="131"/>
      <c r="AB142" s="123"/>
      <c r="AC142" s="123"/>
      <c r="AD142" s="123"/>
      <c r="AE142" s="123"/>
      <c r="AF142" s="123"/>
      <c r="AG142" s="123"/>
      <c r="AH142" s="123"/>
      <c r="AO142" s="123"/>
      <c r="AP142" s="93"/>
      <c r="AQ142" s="123"/>
      <c r="AR142" s="123"/>
      <c r="AS142" s="93"/>
      <c r="AT142" s="123"/>
      <c r="AU142" s="93"/>
      <c r="AV142" s="435"/>
      <c r="AW142" s="123"/>
      <c r="AX142" s="93"/>
      <c r="AY142" s="435"/>
      <c r="AZ142" s="123"/>
      <c r="BA142" s="127"/>
    </row>
    <row r="143" spans="1:53" x14ac:dyDescent="0.2">
      <c r="A143" s="294"/>
      <c r="B143" s="23"/>
      <c r="C143" s="127"/>
      <c r="D143" s="23"/>
      <c r="E143" s="127"/>
      <c r="F143" s="23"/>
      <c r="G143" s="127"/>
      <c r="H143" s="23"/>
      <c r="I143" s="122"/>
      <c r="J143" s="93"/>
      <c r="K143" s="122"/>
      <c r="L143" s="93"/>
      <c r="M143" s="122"/>
      <c r="N143" s="93"/>
      <c r="O143" s="122"/>
      <c r="Q143" s="123"/>
      <c r="R143" s="123"/>
      <c r="S143" s="131"/>
      <c r="T143" s="123"/>
      <c r="U143" s="123"/>
      <c r="V143" s="123"/>
      <c r="W143" s="123"/>
      <c r="X143" s="123"/>
      <c r="Y143" s="123"/>
      <c r="Z143" s="123"/>
      <c r="AA143" s="131"/>
      <c r="AB143" s="123"/>
      <c r="AC143" s="123"/>
      <c r="AD143" s="123"/>
      <c r="AE143" s="123"/>
      <c r="AF143" s="123"/>
      <c r="AG143" s="123"/>
      <c r="AH143" s="123"/>
      <c r="AO143" s="123"/>
      <c r="AP143" s="93"/>
      <c r="AQ143" s="123"/>
      <c r="AR143" s="123"/>
      <c r="AS143" s="93"/>
      <c r="AT143" s="123"/>
      <c r="AU143" s="93"/>
      <c r="AV143" s="435"/>
      <c r="AW143" s="123"/>
      <c r="AX143" s="93"/>
      <c r="AY143" s="435"/>
      <c r="AZ143" s="123"/>
      <c r="BA143" s="127"/>
    </row>
    <row r="144" spans="1:53" x14ac:dyDescent="0.2">
      <c r="A144" s="294"/>
      <c r="B144" s="23"/>
      <c r="C144" s="127"/>
      <c r="D144" s="23"/>
      <c r="E144" s="127"/>
      <c r="F144" s="23"/>
      <c r="G144" s="127"/>
      <c r="H144" s="23"/>
      <c r="I144" s="122"/>
      <c r="J144" s="93"/>
      <c r="K144" s="122"/>
      <c r="L144" s="93"/>
      <c r="M144" s="122"/>
      <c r="N144" s="93"/>
      <c r="O144" s="122"/>
      <c r="Q144" s="123"/>
      <c r="R144" s="123"/>
      <c r="S144" s="131"/>
      <c r="T144" s="123"/>
      <c r="U144" s="123"/>
      <c r="V144" s="123"/>
      <c r="W144" s="123"/>
      <c r="X144" s="123"/>
      <c r="Y144" s="123"/>
      <c r="Z144" s="123"/>
      <c r="AA144" s="131"/>
      <c r="AB144" s="123"/>
      <c r="AC144" s="123"/>
      <c r="AD144" s="123"/>
      <c r="AE144" s="123"/>
      <c r="AF144" s="123"/>
      <c r="AG144" s="123"/>
      <c r="AH144" s="123"/>
      <c r="AO144" s="123"/>
      <c r="AP144" s="93"/>
      <c r="AQ144" s="123"/>
      <c r="AR144" s="123"/>
      <c r="AS144" s="93"/>
      <c r="AT144" s="123"/>
      <c r="AU144" s="93"/>
      <c r="AV144" s="435"/>
      <c r="AW144" s="123"/>
      <c r="AX144" s="93"/>
      <c r="AY144" s="435"/>
      <c r="AZ144" s="123"/>
      <c r="BA144" s="127"/>
    </row>
    <row r="145" spans="1:53" x14ac:dyDescent="0.2">
      <c r="A145" s="294"/>
      <c r="B145" s="23"/>
      <c r="C145" s="127"/>
      <c r="D145" s="23"/>
      <c r="E145" s="127"/>
      <c r="F145" s="23"/>
      <c r="G145" s="127"/>
      <c r="H145" s="23"/>
      <c r="I145" s="122"/>
      <c r="J145" s="93"/>
      <c r="K145" s="122"/>
      <c r="L145" s="93"/>
      <c r="M145" s="122"/>
      <c r="N145" s="93"/>
      <c r="O145" s="122"/>
      <c r="Q145" s="123"/>
      <c r="R145" s="123"/>
      <c r="S145" s="131"/>
      <c r="T145" s="123"/>
      <c r="U145" s="123"/>
      <c r="V145" s="123"/>
      <c r="W145" s="123"/>
      <c r="X145" s="123"/>
      <c r="Y145" s="123"/>
      <c r="Z145" s="123"/>
      <c r="AA145" s="131"/>
      <c r="AB145" s="123"/>
      <c r="AC145" s="123"/>
      <c r="AD145" s="123"/>
      <c r="AE145" s="123"/>
      <c r="AF145" s="123"/>
      <c r="AG145" s="123"/>
      <c r="AH145" s="123"/>
      <c r="AO145" s="123"/>
      <c r="AP145" s="93"/>
      <c r="AQ145" s="123"/>
      <c r="AR145" s="123"/>
      <c r="AS145" s="93"/>
      <c r="AT145" s="123"/>
      <c r="AU145" s="93"/>
      <c r="AV145" s="435"/>
      <c r="AW145" s="123"/>
      <c r="AX145" s="93"/>
      <c r="AY145" s="435"/>
      <c r="AZ145" s="123"/>
      <c r="BA145" s="127"/>
    </row>
    <row r="146" spans="1:53" x14ac:dyDescent="0.2">
      <c r="A146" s="294"/>
      <c r="B146" s="23"/>
      <c r="C146" s="127"/>
      <c r="D146" s="23"/>
      <c r="E146" s="127"/>
      <c r="F146" s="23"/>
      <c r="G146" s="127"/>
      <c r="H146" s="23"/>
      <c r="I146" s="122"/>
      <c r="J146" s="93"/>
      <c r="K146" s="122"/>
      <c r="L146" s="93"/>
      <c r="M146" s="122"/>
      <c r="N146" s="93"/>
      <c r="O146" s="122"/>
      <c r="Q146" s="123"/>
      <c r="R146" s="123"/>
      <c r="S146" s="131"/>
      <c r="T146" s="123"/>
      <c r="U146" s="123"/>
      <c r="V146" s="123"/>
      <c r="W146" s="123"/>
      <c r="X146" s="123"/>
      <c r="Y146" s="123"/>
      <c r="Z146" s="123"/>
      <c r="AA146" s="131"/>
      <c r="AB146" s="123"/>
      <c r="AC146" s="123"/>
      <c r="AD146" s="123"/>
      <c r="AE146" s="123"/>
      <c r="AF146" s="123"/>
      <c r="AG146" s="123"/>
      <c r="AH146" s="123"/>
      <c r="AO146" s="123"/>
      <c r="AP146" s="93"/>
      <c r="AQ146" s="123"/>
      <c r="AR146" s="123"/>
      <c r="AS146" s="93"/>
      <c r="AT146" s="123"/>
      <c r="AU146" s="93"/>
      <c r="AV146" s="435"/>
      <c r="AW146" s="123"/>
      <c r="AX146" s="93"/>
      <c r="AY146" s="435"/>
      <c r="AZ146" s="123"/>
      <c r="BA146" s="127"/>
    </row>
    <row r="147" spans="1:53" x14ac:dyDescent="0.2">
      <c r="A147" s="294"/>
      <c r="B147" s="23"/>
      <c r="C147" s="127"/>
      <c r="D147" s="23"/>
      <c r="E147" s="127"/>
      <c r="F147" s="23"/>
      <c r="G147" s="127"/>
      <c r="H147" s="23"/>
      <c r="I147" s="122"/>
      <c r="J147" s="93"/>
      <c r="K147" s="122"/>
      <c r="L147" s="93"/>
      <c r="M147" s="122"/>
      <c r="N147" s="93"/>
      <c r="O147" s="122"/>
      <c r="Q147" s="123"/>
      <c r="R147" s="123"/>
      <c r="S147" s="131"/>
      <c r="T147" s="123"/>
      <c r="U147" s="123"/>
      <c r="V147" s="123"/>
      <c r="W147" s="123"/>
      <c r="X147" s="123"/>
      <c r="Y147" s="123"/>
      <c r="Z147" s="123"/>
      <c r="AA147" s="131"/>
      <c r="AB147" s="123"/>
      <c r="AC147" s="123"/>
      <c r="AD147" s="123"/>
      <c r="AE147" s="123"/>
      <c r="AF147" s="123"/>
      <c r="AG147" s="123"/>
      <c r="AH147" s="123"/>
      <c r="AO147" s="123"/>
      <c r="AP147" s="93"/>
      <c r="AQ147" s="123"/>
      <c r="AR147" s="123"/>
      <c r="AS147" s="93"/>
      <c r="AT147" s="123"/>
      <c r="AU147" s="93"/>
      <c r="AV147" s="435"/>
      <c r="AW147" s="123"/>
      <c r="AX147" s="93"/>
      <c r="AY147" s="435"/>
      <c r="AZ147" s="123"/>
      <c r="BA147" s="127"/>
    </row>
    <row r="148" spans="1:53" x14ac:dyDescent="0.2">
      <c r="A148" s="294"/>
      <c r="B148" s="23"/>
      <c r="C148" s="127"/>
      <c r="D148" s="23"/>
      <c r="E148" s="127"/>
      <c r="F148" s="23"/>
      <c r="G148" s="127"/>
      <c r="H148" s="23"/>
      <c r="I148" s="122"/>
      <c r="J148" s="93"/>
      <c r="K148" s="122"/>
      <c r="L148" s="93"/>
      <c r="M148" s="122"/>
      <c r="N148" s="93"/>
      <c r="O148" s="122"/>
      <c r="Q148" s="123"/>
      <c r="R148" s="123"/>
      <c r="S148" s="131"/>
      <c r="T148" s="123"/>
      <c r="U148" s="123"/>
      <c r="V148" s="123"/>
      <c r="W148" s="123"/>
      <c r="X148" s="123"/>
      <c r="Y148" s="123"/>
      <c r="Z148" s="123"/>
      <c r="AA148" s="131"/>
      <c r="AB148" s="123"/>
      <c r="AC148" s="123"/>
      <c r="AD148" s="123"/>
      <c r="AE148" s="123"/>
      <c r="AF148" s="123"/>
      <c r="AG148" s="123"/>
      <c r="AH148" s="123"/>
      <c r="AO148" s="123"/>
      <c r="AP148" s="93"/>
      <c r="AQ148" s="123"/>
      <c r="AR148" s="123"/>
      <c r="AS148" s="93"/>
      <c r="AT148" s="123"/>
      <c r="AU148" s="93"/>
      <c r="AV148" s="435"/>
      <c r="AW148" s="123"/>
      <c r="AX148" s="93"/>
      <c r="AY148" s="435"/>
      <c r="AZ148" s="123"/>
      <c r="BA148" s="127"/>
    </row>
    <row r="149" spans="1:53" x14ac:dyDescent="0.2">
      <c r="A149" s="294"/>
      <c r="B149" s="23"/>
      <c r="C149" s="127"/>
      <c r="D149" s="23"/>
      <c r="E149" s="127"/>
      <c r="F149" s="23"/>
      <c r="G149" s="127"/>
      <c r="H149" s="23"/>
      <c r="I149" s="122"/>
      <c r="J149" s="93"/>
      <c r="K149" s="122"/>
      <c r="L149" s="93"/>
      <c r="M149" s="122"/>
      <c r="N149" s="93"/>
      <c r="O149" s="122"/>
      <c r="Q149" s="123"/>
      <c r="R149" s="123"/>
      <c r="S149" s="131"/>
      <c r="T149" s="123"/>
      <c r="U149" s="123"/>
      <c r="V149" s="123"/>
      <c r="W149" s="123"/>
      <c r="X149" s="123"/>
      <c r="Y149" s="123"/>
      <c r="Z149" s="123"/>
      <c r="AA149" s="131"/>
      <c r="AB149" s="123"/>
      <c r="AC149" s="123"/>
      <c r="AD149" s="123"/>
      <c r="AE149" s="123"/>
      <c r="AF149" s="123"/>
      <c r="AG149" s="123"/>
      <c r="AH149" s="123"/>
      <c r="AO149" s="123"/>
      <c r="AP149" s="93"/>
      <c r="AQ149" s="123"/>
      <c r="AR149" s="123"/>
      <c r="AS149" s="93"/>
      <c r="AT149" s="123"/>
      <c r="AU149" s="93"/>
      <c r="AV149" s="435"/>
      <c r="AW149" s="123"/>
      <c r="AX149" s="93"/>
      <c r="AY149" s="435"/>
      <c r="AZ149" s="123"/>
      <c r="BA149" s="127"/>
    </row>
    <row r="150" spans="1:53" x14ac:dyDescent="0.2">
      <c r="A150" s="294"/>
      <c r="B150" s="23"/>
      <c r="C150" s="127"/>
      <c r="D150" s="23"/>
      <c r="E150" s="127"/>
      <c r="F150" s="23"/>
      <c r="G150" s="127"/>
      <c r="H150" s="23"/>
      <c r="I150" s="122"/>
      <c r="J150" s="93"/>
      <c r="K150" s="122"/>
      <c r="L150" s="93"/>
      <c r="M150" s="122"/>
      <c r="N150" s="93"/>
      <c r="O150" s="122"/>
      <c r="Q150" s="123"/>
      <c r="R150" s="123"/>
      <c r="S150" s="131"/>
      <c r="T150" s="123"/>
      <c r="U150" s="123"/>
      <c r="V150" s="123"/>
      <c r="W150" s="123"/>
      <c r="X150" s="123"/>
      <c r="Y150" s="123"/>
      <c r="Z150" s="123"/>
      <c r="AA150" s="131"/>
      <c r="AB150" s="123"/>
      <c r="AC150" s="123"/>
      <c r="AD150" s="123"/>
      <c r="AE150" s="123"/>
      <c r="AF150" s="123"/>
      <c r="AG150" s="123"/>
      <c r="AH150" s="123"/>
      <c r="AO150" s="123"/>
      <c r="AP150" s="93"/>
      <c r="AQ150" s="123"/>
      <c r="AR150" s="123"/>
      <c r="AS150" s="93"/>
      <c r="AT150" s="123"/>
      <c r="AU150" s="93"/>
      <c r="AV150" s="435"/>
      <c r="AW150" s="123"/>
      <c r="AX150" s="93"/>
      <c r="AY150" s="435"/>
      <c r="AZ150" s="123"/>
      <c r="BA150" s="127"/>
    </row>
    <row r="151" spans="1:53" x14ac:dyDescent="0.2">
      <c r="A151" s="294"/>
      <c r="B151" s="23"/>
      <c r="C151" s="127"/>
      <c r="D151" s="23"/>
      <c r="E151" s="127"/>
      <c r="F151" s="23"/>
      <c r="G151" s="127"/>
      <c r="H151" s="23"/>
      <c r="I151" s="122"/>
      <c r="J151" s="93"/>
      <c r="K151" s="122"/>
      <c r="L151" s="93"/>
      <c r="M151" s="122"/>
      <c r="N151" s="93"/>
      <c r="O151" s="122"/>
      <c r="Q151" s="123"/>
      <c r="R151" s="123"/>
      <c r="S151" s="131"/>
      <c r="T151" s="123"/>
      <c r="U151" s="123"/>
      <c r="V151" s="123"/>
      <c r="W151" s="123"/>
      <c r="X151" s="123"/>
      <c r="Y151" s="123"/>
      <c r="Z151" s="123"/>
      <c r="AA151" s="131"/>
      <c r="AB151" s="123"/>
      <c r="AC151" s="123"/>
      <c r="AD151" s="123"/>
      <c r="AE151" s="123"/>
      <c r="AF151" s="123"/>
      <c r="AG151" s="123"/>
      <c r="AH151" s="123"/>
      <c r="AO151" s="123"/>
      <c r="AP151" s="93"/>
      <c r="AQ151" s="123"/>
      <c r="AR151" s="123"/>
      <c r="AS151" s="93"/>
      <c r="AT151" s="123"/>
      <c r="AU151" s="93"/>
      <c r="AV151" s="435"/>
      <c r="AW151" s="123"/>
      <c r="AX151" s="93"/>
      <c r="AY151" s="435"/>
      <c r="AZ151" s="123"/>
      <c r="BA151" s="127"/>
    </row>
    <row r="152" spans="1:53" x14ac:dyDescent="0.2">
      <c r="A152" s="294"/>
      <c r="B152" s="23"/>
      <c r="C152" s="127"/>
      <c r="D152" s="23"/>
      <c r="E152" s="127"/>
      <c r="F152" s="23"/>
      <c r="G152" s="127"/>
      <c r="H152" s="23"/>
      <c r="I152" s="122"/>
      <c r="J152" s="93"/>
      <c r="K152" s="122"/>
      <c r="L152" s="93"/>
      <c r="M152" s="122"/>
      <c r="N152" s="93"/>
      <c r="O152" s="122"/>
      <c r="Q152" s="123"/>
      <c r="R152" s="123"/>
      <c r="S152" s="131"/>
      <c r="T152" s="123"/>
      <c r="U152" s="123"/>
      <c r="V152" s="123"/>
      <c r="W152" s="123"/>
      <c r="X152" s="123"/>
      <c r="Y152" s="123"/>
      <c r="Z152" s="123"/>
      <c r="AA152" s="131"/>
      <c r="AB152" s="123"/>
      <c r="AC152" s="123"/>
      <c r="AD152" s="123"/>
      <c r="AE152" s="123"/>
      <c r="AF152" s="123"/>
      <c r="AG152" s="123"/>
      <c r="AH152" s="123"/>
      <c r="AO152" s="123"/>
      <c r="AP152" s="93"/>
      <c r="AQ152" s="123"/>
      <c r="AR152" s="123"/>
      <c r="AS152" s="93"/>
      <c r="AT152" s="123"/>
      <c r="AU152" s="93"/>
      <c r="AV152" s="435"/>
      <c r="AW152" s="123"/>
      <c r="AX152" s="93"/>
      <c r="AY152" s="435"/>
      <c r="AZ152" s="123"/>
      <c r="BA152" s="127"/>
    </row>
    <row r="153" spans="1:53" x14ac:dyDescent="0.2">
      <c r="A153" s="294"/>
      <c r="B153" s="23"/>
      <c r="C153" s="127"/>
      <c r="D153" s="23"/>
      <c r="E153" s="127"/>
      <c r="F153" s="23"/>
      <c r="G153" s="127"/>
      <c r="H153" s="23"/>
      <c r="I153" s="122"/>
      <c r="J153" s="93"/>
      <c r="K153" s="122"/>
      <c r="L153" s="93"/>
      <c r="M153" s="122"/>
      <c r="N153" s="93"/>
      <c r="O153" s="122"/>
      <c r="Q153" s="123"/>
      <c r="R153" s="123"/>
      <c r="S153" s="131"/>
      <c r="T153" s="123"/>
      <c r="U153" s="123"/>
      <c r="V153" s="123"/>
      <c r="W153" s="123"/>
      <c r="X153" s="123"/>
      <c r="Y153" s="123"/>
      <c r="Z153" s="123"/>
      <c r="AA153" s="131"/>
      <c r="AB153" s="123"/>
      <c r="AC153" s="123"/>
      <c r="AD153" s="123"/>
      <c r="AE153" s="123"/>
      <c r="AF153" s="123"/>
      <c r="AG153" s="123"/>
      <c r="AH153" s="123"/>
      <c r="AO153" s="123"/>
      <c r="AP153" s="93"/>
      <c r="AQ153" s="123"/>
      <c r="AR153" s="123"/>
      <c r="AS153" s="93"/>
      <c r="AT153" s="123"/>
      <c r="AU153" s="93"/>
      <c r="AV153" s="435"/>
      <c r="AW153" s="123"/>
      <c r="AX153" s="93"/>
      <c r="AY153" s="435"/>
      <c r="AZ153" s="123"/>
      <c r="BA153" s="127"/>
    </row>
    <row r="154" spans="1:53" x14ac:dyDescent="0.2">
      <c r="A154" s="294"/>
      <c r="B154" s="23"/>
      <c r="C154" s="127"/>
      <c r="D154" s="23"/>
      <c r="E154" s="127"/>
      <c r="F154" s="23"/>
      <c r="G154" s="127"/>
      <c r="H154" s="23"/>
      <c r="I154" s="122"/>
      <c r="J154" s="93"/>
      <c r="K154" s="122"/>
      <c r="L154" s="93"/>
      <c r="M154" s="122"/>
      <c r="N154" s="93"/>
      <c r="O154" s="122"/>
      <c r="Q154" s="123"/>
      <c r="R154" s="123"/>
      <c r="S154" s="131"/>
      <c r="T154" s="123"/>
      <c r="U154" s="123"/>
      <c r="V154" s="123"/>
      <c r="W154" s="123"/>
      <c r="X154" s="123"/>
      <c r="Y154" s="123"/>
      <c r="Z154" s="123"/>
      <c r="AA154" s="131"/>
      <c r="AB154" s="123"/>
      <c r="AC154" s="123"/>
      <c r="AD154" s="123"/>
      <c r="AE154" s="123"/>
      <c r="AF154" s="123"/>
      <c r="AG154" s="123"/>
      <c r="AH154" s="123"/>
      <c r="AO154" s="123"/>
      <c r="AP154" s="93"/>
      <c r="AQ154" s="123"/>
      <c r="AR154" s="123"/>
      <c r="AS154" s="93"/>
      <c r="AT154" s="123"/>
      <c r="AU154" s="93"/>
      <c r="AV154" s="435"/>
      <c r="AW154" s="123"/>
      <c r="AX154" s="93"/>
      <c r="AY154" s="435"/>
      <c r="AZ154" s="123"/>
      <c r="BA154" s="127"/>
    </row>
    <row r="155" spans="1:53" x14ac:dyDescent="0.2">
      <c r="A155" s="294"/>
      <c r="B155" s="23"/>
      <c r="C155" s="127"/>
      <c r="D155" s="23"/>
      <c r="E155" s="127"/>
      <c r="F155" s="23"/>
      <c r="G155" s="127"/>
      <c r="H155" s="23"/>
      <c r="I155" s="122"/>
      <c r="J155" s="93"/>
      <c r="K155" s="122"/>
      <c r="L155" s="93"/>
      <c r="M155" s="122"/>
      <c r="N155" s="93"/>
      <c r="O155" s="122"/>
      <c r="Q155" s="123"/>
      <c r="R155" s="123"/>
      <c r="S155" s="131"/>
      <c r="T155" s="123"/>
      <c r="U155" s="123"/>
      <c r="V155" s="123"/>
      <c r="W155" s="123"/>
      <c r="X155" s="123"/>
      <c r="Y155" s="123"/>
      <c r="Z155" s="123"/>
      <c r="AA155" s="131"/>
      <c r="AB155" s="123"/>
      <c r="AC155" s="123"/>
      <c r="AD155" s="123"/>
      <c r="AE155" s="123"/>
      <c r="AF155" s="123"/>
      <c r="AG155" s="123"/>
      <c r="AH155" s="123"/>
      <c r="AO155" s="123"/>
      <c r="AP155" s="93"/>
      <c r="AQ155" s="123"/>
      <c r="AR155" s="123"/>
      <c r="AS155" s="93"/>
      <c r="AT155" s="123"/>
      <c r="AU155" s="93"/>
      <c r="AV155" s="435"/>
      <c r="AW155" s="123"/>
      <c r="AX155" s="93"/>
      <c r="AY155" s="435"/>
      <c r="AZ155" s="123"/>
      <c r="BA155" s="127"/>
    </row>
    <row r="156" spans="1:53" x14ac:dyDescent="0.2">
      <c r="A156" s="294"/>
      <c r="B156" s="23"/>
      <c r="C156" s="127"/>
      <c r="D156" s="23"/>
      <c r="E156" s="127"/>
      <c r="F156" s="23"/>
      <c r="G156" s="127"/>
      <c r="H156" s="23"/>
      <c r="I156" s="122"/>
      <c r="J156" s="93"/>
      <c r="K156" s="122"/>
      <c r="L156" s="93"/>
      <c r="M156" s="122"/>
      <c r="N156" s="93"/>
      <c r="O156" s="122"/>
      <c r="Q156" s="123"/>
      <c r="R156" s="123"/>
      <c r="S156" s="131"/>
      <c r="T156" s="123"/>
      <c r="U156" s="123"/>
      <c r="V156" s="123"/>
      <c r="W156" s="123"/>
      <c r="X156" s="123"/>
      <c r="Y156" s="123"/>
      <c r="Z156" s="123"/>
      <c r="AA156" s="131"/>
      <c r="AB156" s="123"/>
      <c r="AC156" s="123"/>
      <c r="AD156" s="123"/>
      <c r="AE156" s="123"/>
      <c r="AF156" s="123"/>
      <c r="AG156" s="123"/>
      <c r="AH156" s="123"/>
      <c r="AO156" s="123"/>
      <c r="AP156" s="93"/>
      <c r="AQ156" s="123"/>
      <c r="AR156" s="123"/>
      <c r="AS156" s="93"/>
      <c r="AT156" s="123"/>
      <c r="AU156" s="93"/>
      <c r="AV156" s="435"/>
      <c r="AW156" s="123"/>
      <c r="AX156" s="93"/>
      <c r="AY156" s="435"/>
      <c r="AZ156" s="123"/>
      <c r="BA156" s="127"/>
    </row>
    <row r="157" spans="1:53" x14ac:dyDescent="0.2">
      <c r="A157" s="294"/>
      <c r="B157" s="23"/>
      <c r="C157" s="127"/>
      <c r="D157" s="23"/>
      <c r="E157" s="127"/>
      <c r="F157" s="23"/>
      <c r="G157" s="127"/>
      <c r="H157" s="23"/>
      <c r="I157" s="122"/>
      <c r="J157" s="93"/>
      <c r="K157" s="122"/>
      <c r="L157" s="93"/>
      <c r="M157" s="122"/>
      <c r="N157" s="93"/>
      <c r="O157" s="122"/>
      <c r="Q157" s="123"/>
      <c r="R157" s="123"/>
      <c r="S157" s="131"/>
      <c r="T157" s="123"/>
      <c r="U157" s="123"/>
      <c r="V157" s="123"/>
      <c r="W157" s="123"/>
      <c r="X157" s="123"/>
      <c r="Y157" s="123"/>
      <c r="Z157" s="123"/>
      <c r="AA157" s="131"/>
      <c r="AB157" s="123"/>
      <c r="AC157" s="123"/>
      <c r="AD157" s="123"/>
      <c r="AE157" s="123"/>
      <c r="AF157" s="123"/>
      <c r="AG157" s="123"/>
      <c r="AH157" s="123"/>
      <c r="AO157" s="123"/>
      <c r="AP157" s="93"/>
      <c r="AQ157" s="123"/>
      <c r="AR157" s="123"/>
      <c r="AS157" s="93"/>
      <c r="AT157" s="123"/>
      <c r="AU157" s="93"/>
      <c r="AV157" s="435"/>
      <c r="AW157" s="123"/>
      <c r="AX157" s="93"/>
      <c r="AY157" s="435"/>
      <c r="AZ157" s="123"/>
      <c r="BA157" s="127"/>
    </row>
    <row r="158" spans="1:53" x14ac:dyDescent="0.2">
      <c r="A158" s="294"/>
      <c r="B158" s="23"/>
      <c r="C158" s="127"/>
      <c r="D158" s="23"/>
      <c r="E158" s="127"/>
      <c r="F158" s="23"/>
      <c r="G158" s="127"/>
      <c r="H158" s="23"/>
      <c r="I158" s="122"/>
      <c r="J158" s="93"/>
      <c r="K158" s="122"/>
      <c r="L158" s="93"/>
      <c r="M158" s="122"/>
      <c r="N158" s="93"/>
      <c r="O158" s="122"/>
      <c r="Q158" s="123"/>
      <c r="R158" s="123"/>
      <c r="S158" s="131"/>
      <c r="T158" s="123"/>
      <c r="U158" s="123"/>
      <c r="V158" s="123"/>
      <c r="W158" s="123"/>
      <c r="X158" s="123"/>
      <c r="Y158" s="123"/>
      <c r="Z158" s="123"/>
      <c r="AA158" s="131"/>
      <c r="AB158" s="123"/>
      <c r="AC158" s="123"/>
      <c r="AD158" s="123"/>
      <c r="AE158" s="123"/>
      <c r="AF158" s="123"/>
      <c r="AG158" s="123"/>
      <c r="AH158" s="123"/>
      <c r="AO158" s="123"/>
      <c r="AP158" s="93"/>
      <c r="AQ158" s="123"/>
      <c r="AR158" s="123"/>
      <c r="AS158" s="93"/>
      <c r="AT158" s="123"/>
      <c r="AU158" s="93"/>
      <c r="AV158" s="435"/>
      <c r="AW158" s="123"/>
      <c r="AX158" s="93"/>
      <c r="AY158" s="435"/>
      <c r="AZ158" s="123"/>
      <c r="BA158" s="127"/>
    </row>
    <row r="159" spans="1:53" x14ac:dyDescent="0.2">
      <c r="A159" s="294"/>
      <c r="B159" s="23"/>
      <c r="C159" s="127"/>
      <c r="D159" s="23"/>
      <c r="E159" s="127"/>
      <c r="F159" s="23"/>
      <c r="G159" s="127"/>
      <c r="H159" s="23"/>
      <c r="I159" s="122"/>
      <c r="J159" s="93"/>
      <c r="K159" s="122"/>
      <c r="L159" s="93"/>
      <c r="M159" s="122"/>
      <c r="N159" s="93"/>
      <c r="O159" s="122"/>
      <c r="Q159" s="123"/>
      <c r="R159" s="123"/>
      <c r="S159" s="131"/>
      <c r="T159" s="123"/>
      <c r="U159" s="123"/>
      <c r="V159" s="123"/>
      <c r="W159" s="123"/>
      <c r="X159" s="123"/>
      <c r="Y159" s="123"/>
      <c r="Z159" s="123"/>
      <c r="AA159" s="131"/>
      <c r="AB159" s="123"/>
      <c r="AC159" s="123"/>
      <c r="AD159" s="123"/>
      <c r="AE159" s="123"/>
      <c r="AF159" s="123"/>
      <c r="AG159" s="123"/>
      <c r="AH159" s="123"/>
      <c r="AO159" s="123"/>
      <c r="AP159" s="93"/>
      <c r="AQ159" s="123"/>
      <c r="AR159" s="123"/>
      <c r="AS159" s="93"/>
      <c r="AT159" s="123"/>
      <c r="AU159" s="93"/>
      <c r="AV159" s="435"/>
      <c r="AW159" s="123"/>
      <c r="AX159" s="93"/>
      <c r="AY159" s="435"/>
      <c r="AZ159" s="123"/>
      <c r="BA159" s="127"/>
    </row>
    <row r="160" spans="1:53" x14ac:dyDescent="0.2">
      <c r="A160" s="294"/>
      <c r="B160" s="23"/>
      <c r="C160" s="127"/>
      <c r="D160" s="23"/>
      <c r="E160" s="127"/>
      <c r="F160" s="23"/>
      <c r="G160" s="127"/>
      <c r="H160" s="23"/>
      <c r="I160" s="122"/>
      <c r="J160" s="93"/>
      <c r="K160" s="122"/>
      <c r="L160" s="93"/>
      <c r="M160" s="122"/>
      <c r="N160" s="93"/>
      <c r="O160" s="122"/>
      <c r="Q160" s="123"/>
      <c r="R160" s="123"/>
      <c r="S160" s="131"/>
      <c r="T160" s="123"/>
      <c r="U160" s="123"/>
      <c r="V160" s="123"/>
      <c r="W160" s="123"/>
      <c r="X160" s="123"/>
      <c r="Y160" s="123"/>
      <c r="Z160" s="123"/>
      <c r="AA160" s="131"/>
      <c r="AB160" s="123"/>
      <c r="AC160" s="123"/>
      <c r="AD160" s="123"/>
      <c r="AE160" s="123"/>
      <c r="AF160" s="123"/>
      <c r="AG160" s="123"/>
      <c r="AH160" s="123"/>
      <c r="AO160" s="123"/>
      <c r="AP160" s="93"/>
      <c r="AQ160" s="123"/>
      <c r="AR160" s="123"/>
      <c r="AS160" s="93"/>
      <c r="AT160" s="123"/>
      <c r="AU160" s="93"/>
      <c r="AV160" s="435"/>
      <c r="AW160" s="123"/>
      <c r="AX160" s="93"/>
      <c r="AY160" s="435"/>
      <c r="AZ160" s="123"/>
      <c r="BA160" s="127"/>
    </row>
    <row r="161" spans="1:53" x14ac:dyDescent="0.2">
      <c r="A161" s="294"/>
      <c r="B161" s="23"/>
      <c r="C161" s="127"/>
      <c r="D161" s="23"/>
      <c r="E161" s="127"/>
      <c r="F161" s="23"/>
      <c r="G161" s="127"/>
      <c r="H161" s="23"/>
      <c r="I161" s="122"/>
      <c r="J161" s="93"/>
      <c r="K161" s="122"/>
      <c r="L161" s="93"/>
      <c r="M161" s="122"/>
      <c r="N161" s="93"/>
      <c r="O161" s="122"/>
      <c r="Q161" s="123"/>
      <c r="R161" s="123"/>
      <c r="S161" s="131"/>
      <c r="T161" s="123"/>
      <c r="U161" s="123"/>
      <c r="V161" s="123"/>
      <c r="W161" s="123"/>
      <c r="X161" s="123"/>
      <c r="Y161" s="123"/>
      <c r="Z161" s="123"/>
      <c r="AA161" s="131"/>
      <c r="AB161" s="123"/>
      <c r="AC161" s="123"/>
      <c r="AD161" s="123"/>
      <c r="AE161" s="123"/>
      <c r="AF161" s="123"/>
      <c r="AG161" s="123"/>
      <c r="AH161" s="123"/>
      <c r="AO161" s="123"/>
      <c r="AP161" s="93"/>
      <c r="AQ161" s="123"/>
      <c r="AR161" s="123"/>
      <c r="AS161" s="93"/>
      <c r="AT161" s="123"/>
      <c r="AU161" s="93"/>
      <c r="AV161" s="435"/>
      <c r="AW161" s="123"/>
      <c r="AX161" s="93"/>
      <c r="AY161" s="435"/>
      <c r="AZ161" s="123"/>
      <c r="BA161" s="127"/>
    </row>
    <row r="162" spans="1:53" x14ac:dyDescent="0.2">
      <c r="A162" s="294"/>
      <c r="B162" s="23"/>
      <c r="C162" s="127"/>
      <c r="D162" s="23"/>
      <c r="E162" s="127"/>
      <c r="F162" s="23"/>
      <c r="G162" s="127"/>
      <c r="H162" s="23"/>
      <c r="I162" s="122"/>
      <c r="J162" s="93"/>
      <c r="K162" s="122"/>
      <c r="L162" s="93"/>
      <c r="M162" s="122"/>
      <c r="N162" s="93"/>
      <c r="O162" s="122"/>
      <c r="Q162" s="123"/>
      <c r="R162" s="123"/>
      <c r="S162" s="131"/>
      <c r="T162" s="123"/>
      <c r="U162" s="123"/>
      <c r="V162" s="123"/>
      <c r="W162" s="123"/>
      <c r="X162" s="123"/>
      <c r="Y162" s="123"/>
      <c r="Z162" s="123"/>
      <c r="AA162" s="131"/>
      <c r="AB162" s="123"/>
      <c r="AC162" s="123"/>
      <c r="AD162" s="123"/>
      <c r="AE162" s="123"/>
      <c r="AF162" s="123"/>
      <c r="AG162" s="123"/>
      <c r="AH162" s="123"/>
      <c r="AO162" s="123"/>
      <c r="AP162" s="93"/>
      <c r="AQ162" s="123"/>
      <c r="AR162" s="123"/>
      <c r="AS162" s="93"/>
      <c r="AT162" s="123"/>
      <c r="AU162" s="93"/>
      <c r="AV162" s="435"/>
      <c r="AW162" s="123"/>
      <c r="AX162" s="93"/>
      <c r="AY162" s="435"/>
      <c r="AZ162" s="123"/>
      <c r="BA162" s="127"/>
    </row>
    <row r="163" spans="1:53" x14ac:dyDescent="0.2">
      <c r="A163" s="294"/>
      <c r="B163" s="23"/>
      <c r="C163" s="127"/>
      <c r="D163" s="23"/>
      <c r="E163" s="127"/>
      <c r="F163" s="23"/>
      <c r="G163" s="127"/>
      <c r="H163" s="23"/>
      <c r="I163" s="122"/>
      <c r="J163" s="93"/>
      <c r="K163" s="122"/>
      <c r="L163" s="93"/>
      <c r="M163" s="122"/>
      <c r="N163" s="93"/>
      <c r="O163" s="122"/>
      <c r="Q163" s="123"/>
      <c r="R163" s="123"/>
      <c r="S163" s="131"/>
      <c r="T163" s="123"/>
      <c r="U163" s="123"/>
      <c r="V163" s="123"/>
      <c r="W163" s="123"/>
      <c r="X163" s="123"/>
      <c r="Y163" s="123"/>
      <c r="Z163" s="123"/>
      <c r="AA163" s="131"/>
      <c r="AB163" s="123"/>
      <c r="AC163" s="123"/>
      <c r="AD163" s="123"/>
      <c r="AE163" s="123"/>
      <c r="AF163" s="123"/>
      <c r="AG163" s="123"/>
      <c r="AH163" s="123"/>
      <c r="AO163" s="123"/>
      <c r="AP163" s="93"/>
      <c r="AQ163" s="123"/>
      <c r="AR163" s="123"/>
      <c r="AS163" s="93"/>
      <c r="AT163" s="123"/>
      <c r="AU163" s="93"/>
      <c r="AV163" s="435"/>
      <c r="AW163" s="123"/>
      <c r="AX163" s="93"/>
      <c r="AY163" s="435"/>
      <c r="AZ163" s="123"/>
      <c r="BA163" s="127"/>
    </row>
    <row r="164" spans="1:53" x14ac:dyDescent="0.2">
      <c r="A164" s="294"/>
      <c r="B164" s="23"/>
      <c r="C164" s="127"/>
      <c r="D164" s="23"/>
      <c r="E164" s="127"/>
      <c r="F164" s="23"/>
      <c r="G164" s="127"/>
      <c r="H164" s="23"/>
      <c r="I164" s="122"/>
      <c r="J164" s="93"/>
      <c r="K164" s="122"/>
      <c r="L164" s="93"/>
      <c r="M164" s="122"/>
      <c r="N164" s="93"/>
      <c r="O164" s="122"/>
      <c r="Q164" s="123"/>
      <c r="R164" s="123"/>
      <c r="S164" s="131"/>
      <c r="T164" s="123"/>
      <c r="U164" s="123"/>
      <c r="V164" s="123"/>
      <c r="W164" s="123"/>
      <c r="X164" s="123"/>
      <c r="Y164" s="123"/>
      <c r="Z164" s="123"/>
      <c r="AA164" s="131"/>
      <c r="AB164" s="123"/>
      <c r="AC164" s="123"/>
      <c r="AD164" s="123"/>
      <c r="AE164" s="123"/>
      <c r="AF164" s="123"/>
      <c r="AG164" s="123"/>
      <c r="AH164" s="123"/>
      <c r="AO164" s="123"/>
      <c r="AP164" s="93"/>
      <c r="AQ164" s="123"/>
      <c r="AR164" s="123"/>
      <c r="AS164" s="93"/>
      <c r="AT164" s="123"/>
      <c r="AU164" s="93"/>
      <c r="AV164" s="435"/>
      <c r="AW164" s="123"/>
      <c r="AX164" s="93"/>
      <c r="AY164" s="435"/>
      <c r="AZ164" s="123"/>
      <c r="BA164" s="127"/>
    </row>
    <row r="165" spans="1:53" x14ac:dyDescent="0.2">
      <c r="A165" s="294"/>
      <c r="B165" s="23"/>
      <c r="C165" s="127"/>
      <c r="D165" s="23"/>
      <c r="E165" s="127"/>
      <c r="F165" s="23"/>
      <c r="G165" s="127"/>
      <c r="H165" s="23"/>
      <c r="I165" s="122"/>
      <c r="J165" s="93"/>
      <c r="K165" s="122"/>
      <c r="L165" s="93"/>
      <c r="M165" s="122"/>
      <c r="N165" s="93"/>
      <c r="O165" s="122"/>
      <c r="Q165" s="123"/>
      <c r="R165" s="123"/>
      <c r="S165" s="131"/>
      <c r="T165" s="123"/>
      <c r="U165" s="123"/>
      <c r="V165" s="123"/>
      <c r="W165" s="123"/>
      <c r="X165" s="123"/>
      <c r="Y165" s="123"/>
      <c r="Z165" s="123"/>
      <c r="AA165" s="131"/>
      <c r="AB165" s="123"/>
      <c r="AC165" s="123"/>
      <c r="AD165" s="123"/>
      <c r="AE165" s="123"/>
      <c r="AF165" s="123"/>
      <c r="AG165" s="123"/>
      <c r="AH165" s="123"/>
      <c r="AO165" s="123"/>
      <c r="AP165" s="93"/>
      <c r="AQ165" s="123"/>
      <c r="AR165" s="123"/>
      <c r="AS165" s="93"/>
      <c r="AT165" s="123"/>
      <c r="AU165" s="93"/>
      <c r="AV165" s="435"/>
      <c r="AW165" s="123"/>
      <c r="AX165" s="93"/>
      <c r="AY165" s="435"/>
      <c r="AZ165" s="123"/>
      <c r="BA165" s="127"/>
    </row>
    <row r="166" spans="1:53" x14ac:dyDescent="0.2">
      <c r="A166" s="294"/>
      <c r="B166" s="23"/>
      <c r="C166" s="127"/>
      <c r="D166" s="23"/>
      <c r="E166" s="127"/>
      <c r="F166" s="23"/>
      <c r="G166" s="127"/>
      <c r="H166" s="23"/>
      <c r="I166" s="122"/>
      <c r="J166" s="93"/>
      <c r="K166" s="122"/>
      <c r="L166" s="93"/>
      <c r="M166" s="122"/>
      <c r="N166" s="93"/>
      <c r="O166" s="122"/>
      <c r="Q166" s="123"/>
      <c r="R166" s="123"/>
      <c r="S166" s="131"/>
      <c r="T166" s="123"/>
      <c r="U166" s="123"/>
      <c r="V166" s="123"/>
      <c r="W166" s="123"/>
      <c r="X166" s="123"/>
      <c r="Y166" s="123"/>
      <c r="Z166" s="123"/>
      <c r="AA166" s="131"/>
      <c r="AB166" s="123"/>
      <c r="AC166" s="123"/>
      <c r="AD166" s="123"/>
      <c r="AE166" s="123"/>
      <c r="AF166" s="123"/>
      <c r="AG166" s="123"/>
      <c r="AH166" s="123"/>
      <c r="AO166" s="123"/>
      <c r="AP166" s="93"/>
      <c r="AQ166" s="123"/>
      <c r="AR166" s="123"/>
      <c r="AS166" s="93"/>
      <c r="AT166" s="123"/>
      <c r="AU166" s="93"/>
      <c r="AV166" s="435"/>
      <c r="AW166" s="123"/>
      <c r="AX166" s="93"/>
      <c r="AY166" s="435"/>
      <c r="AZ166" s="123"/>
      <c r="BA166" s="127"/>
    </row>
    <row r="167" spans="1:53" x14ac:dyDescent="0.2">
      <c r="A167" s="294"/>
      <c r="B167" s="23"/>
      <c r="C167" s="127"/>
      <c r="D167" s="23"/>
      <c r="E167" s="127"/>
      <c r="F167" s="23"/>
      <c r="G167" s="127"/>
      <c r="H167" s="23"/>
      <c r="I167" s="122"/>
      <c r="J167" s="93"/>
      <c r="K167" s="122"/>
      <c r="L167" s="93"/>
      <c r="M167" s="122"/>
      <c r="N167" s="93"/>
      <c r="O167" s="122"/>
      <c r="Q167" s="123"/>
      <c r="R167" s="123"/>
      <c r="S167" s="131"/>
      <c r="T167" s="123"/>
      <c r="U167" s="123"/>
      <c r="V167" s="123"/>
      <c r="W167" s="123"/>
      <c r="X167" s="123"/>
      <c r="Y167" s="123"/>
      <c r="Z167" s="123"/>
      <c r="AA167" s="131"/>
      <c r="AB167" s="123"/>
      <c r="AC167" s="123"/>
      <c r="AD167" s="123"/>
      <c r="AE167" s="123"/>
      <c r="AF167" s="123"/>
      <c r="AG167" s="123"/>
      <c r="AH167" s="123"/>
      <c r="AO167" s="123"/>
      <c r="AP167" s="93"/>
      <c r="AQ167" s="123"/>
      <c r="AR167" s="123"/>
      <c r="AS167" s="93"/>
      <c r="AT167" s="123"/>
      <c r="AU167" s="93"/>
      <c r="AV167" s="435"/>
      <c r="AW167" s="123"/>
      <c r="AX167" s="93"/>
      <c r="AY167" s="435"/>
      <c r="AZ167" s="123"/>
      <c r="BA167" s="127"/>
    </row>
    <row r="168" spans="1:53" x14ac:dyDescent="0.2">
      <c r="A168" s="294"/>
      <c r="B168" s="23"/>
      <c r="C168" s="127"/>
      <c r="D168" s="23"/>
      <c r="E168" s="127"/>
      <c r="F168" s="23"/>
      <c r="G168" s="127"/>
      <c r="H168" s="23"/>
      <c r="I168" s="122"/>
      <c r="J168" s="93"/>
      <c r="K168" s="122"/>
      <c r="L168" s="93"/>
      <c r="M168" s="122"/>
      <c r="N168" s="93"/>
      <c r="O168" s="122"/>
      <c r="Q168" s="123"/>
      <c r="R168" s="123"/>
      <c r="S168" s="131"/>
      <c r="T168" s="123"/>
      <c r="U168" s="123"/>
      <c r="V168" s="123"/>
      <c r="W168" s="123"/>
      <c r="X168" s="123"/>
      <c r="Y168" s="123"/>
      <c r="Z168" s="123"/>
      <c r="AA168" s="131"/>
      <c r="AB168" s="123"/>
      <c r="AC168" s="123"/>
      <c r="AD168" s="123"/>
      <c r="AE168" s="123"/>
      <c r="AF168" s="123"/>
      <c r="AG168" s="123"/>
      <c r="AH168" s="123"/>
      <c r="AO168" s="123"/>
      <c r="AP168" s="93"/>
      <c r="AQ168" s="123"/>
      <c r="AR168" s="123"/>
      <c r="AS168" s="93"/>
      <c r="AT168" s="123"/>
      <c r="AU168" s="93"/>
      <c r="AV168" s="435"/>
      <c r="AW168" s="123"/>
      <c r="AX168" s="93"/>
      <c r="AY168" s="435"/>
      <c r="AZ168" s="123"/>
      <c r="BA168" s="127"/>
    </row>
  </sheetData>
  <mergeCells count="1">
    <mergeCell ref="A90:C90"/>
  </mergeCells>
  <phoneticPr fontId="3" type="noConversion"/>
  <pageMargins left="0.3" right="0.17" top="0.91" bottom="0.37" header="0.42" footer="0.21"/>
  <pageSetup scale="58" orientation="landscape" r:id="rId1"/>
  <headerFooter alignWithMargins="0">
    <oddHeader>&amp;L&amp;"Arial,Bold"&amp;12Department of Public Safety&amp;R&amp;"Arial,Bold"&amp;12Justice System Appropriations Subcommittee</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W247"/>
  <sheetViews>
    <sheetView view="pageBreakPreview" topLeftCell="A32" zoomScale="60" zoomScaleNormal="80" workbookViewId="0">
      <selection activeCell="AY41" sqref="AY41"/>
    </sheetView>
  </sheetViews>
  <sheetFormatPr defaultColWidth="9.140625" defaultRowHeight="46.15" customHeight="1" x14ac:dyDescent="0.2"/>
  <cols>
    <col min="1" max="1" width="14.85546875" style="77" customWidth="1"/>
    <col min="2" max="2" width="0.7109375" style="77" customWidth="1"/>
    <col min="3" max="3" width="17.140625" style="78" customWidth="1"/>
    <col min="4" max="4" width="1.140625" style="77" customWidth="1"/>
    <col min="5" max="5" width="26" style="79" customWidth="1"/>
    <col min="6" max="6" width="1" style="80" customWidth="1"/>
    <col min="7" max="7" width="26.28515625" style="79" customWidth="1"/>
    <col min="8" max="8" width="1" style="80" customWidth="1"/>
    <col min="9" max="9" width="12" style="80" customWidth="1"/>
    <col min="10" max="10" width="1.28515625" style="21" customWidth="1"/>
    <col min="11" max="11" width="13.42578125" style="24" customWidth="1"/>
    <col min="12" max="12" width="2" style="21" customWidth="1"/>
    <col min="13" max="13" width="11.28515625" style="21" customWidth="1"/>
    <col min="14" max="14" width="2.42578125" style="21" customWidth="1"/>
    <col min="15" max="15" width="9.42578125" style="77" bestFit="1" customWidth="1"/>
    <col min="16" max="16" width="21.140625" style="138" customWidth="1"/>
    <col min="17" max="17" width="13.140625" style="21" hidden="1" customWidth="1"/>
    <col min="18" max="18" width="0.85546875" style="21" hidden="1" customWidth="1"/>
    <col min="19" max="19" width="12.42578125" style="50" hidden="1" customWidth="1"/>
    <col min="20" max="20" width="0.85546875" style="21" hidden="1" customWidth="1"/>
    <col min="21" max="21" width="10.28515625" style="127" hidden="1" customWidth="1"/>
    <col min="22" max="22" width="1.140625" style="21" hidden="1" customWidth="1"/>
    <col min="23" max="23" width="10.7109375" style="127" hidden="1" customWidth="1"/>
    <col min="24" max="24" width="0.85546875" style="21" customWidth="1"/>
    <col min="25" max="25" width="13.140625" style="127" hidden="1" customWidth="1"/>
    <col min="26" max="26" width="0.85546875" style="127" hidden="1" customWidth="1"/>
    <col min="27" max="27" width="12.42578125" style="63" hidden="1" customWidth="1"/>
    <col min="28" max="28" width="0.85546875" style="127" hidden="1" customWidth="1"/>
    <col min="29" max="29" width="10.28515625" style="127" hidden="1" customWidth="1"/>
    <col min="30" max="30" width="1.140625" style="127" hidden="1" customWidth="1"/>
    <col min="31" max="31" width="10.7109375" style="127" hidden="1" customWidth="1"/>
    <col min="32" max="32" width="10.28515625" style="127" hidden="1" customWidth="1"/>
    <col min="33" max="33" width="1.140625" style="127" hidden="1" customWidth="1"/>
    <col min="34" max="34" width="10.7109375" style="127" hidden="1" customWidth="1"/>
    <col min="35" max="35" width="10.28515625" style="127" hidden="1" customWidth="1"/>
    <col min="36" max="36" width="1.140625" style="127" hidden="1" customWidth="1"/>
    <col min="37" max="37" width="13" style="127" hidden="1" customWidth="1"/>
    <col min="38" max="38" width="10.28515625" style="127" hidden="1" customWidth="1"/>
    <col min="39" max="39" width="1.140625" style="127" hidden="1" customWidth="1"/>
    <col min="40" max="40" width="12.7109375" style="127" hidden="1" customWidth="1"/>
    <col min="41" max="41" width="1.5703125" style="21" customWidth="1"/>
    <col min="42" max="42" width="9.42578125" style="21" customWidth="1"/>
    <col min="43" max="43" width="12.7109375" style="127" bestFit="1" customWidth="1"/>
    <col min="44" max="44" width="1.5703125" style="21" customWidth="1"/>
    <col min="45" max="45" width="9.42578125" style="21" customWidth="1"/>
    <col min="46" max="46" width="12.7109375" style="127" bestFit="1" customWidth="1"/>
    <col min="47" max="47" width="18.85546875" style="121" customWidth="1"/>
    <col min="48" max="1531" width="9.140625" style="22"/>
    <col min="1532" max="16384" width="9.140625" style="21"/>
  </cols>
  <sheetData>
    <row r="1" spans="1:47" ht="51" x14ac:dyDescent="0.2">
      <c r="A1" s="82" t="s">
        <v>9</v>
      </c>
      <c r="B1" s="82"/>
      <c r="C1" s="82" t="s">
        <v>39</v>
      </c>
      <c r="D1" s="82"/>
      <c r="E1" s="82" t="s">
        <v>0</v>
      </c>
      <c r="F1" s="82"/>
      <c r="G1" s="82" t="s">
        <v>1</v>
      </c>
      <c r="H1" s="82"/>
      <c r="I1" s="84" t="s">
        <v>4</v>
      </c>
      <c r="J1" s="82"/>
      <c r="K1" s="82" t="s">
        <v>2</v>
      </c>
      <c r="L1" s="82"/>
      <c r="M1" s="82" t="s">
        <v>7</v>
      </c>
      <c r="N1" s="82"/>
      <c r="O1" s="84" t="s">
        <v>8</v>
      </c>
      <c r="P1" s="184" t="s">
        <v>23</v>
      </c>
      <c r="Q1" s="85" t="s">
        <v>5</v>
      </c>
      <c r="R1" s="82"/>
      <c r="S1" s="84" t="s">
        <v>6</v>
      </c>
      <c r="T1" s="82"/>
      <c r="U1" s="113" t="s">
        <v>500</v>
      </c>
      <c r="V1" s="82"/>
      <c r="W1" s="118" t="s">
        <v>501</v>
      </c>
      <c r="X1" s="82"/>
      <c r="Y1" s="185" t="s">
        <v>613</v>
      </c>
      <c r="Z1" s="184"/>
      <c r="AA1" s="118" t="s">
        <v>614</v>
      </c>
      <c r="AB1" s="184"/>
      <c r="AC1" s="113" t="s">
        <v>615</v>
      </c>
      <c r="AD1" s="184"/>
      <c r="AE1" s="118" t="s">
        <v>616</v>
      </c>
      <c r="AF1" s="113" t="s">
        <v>617</v>
      </c>
      <c r="AG1" s="184"/>
      <c r="AH1" s="118" t="s">
        <v>618</v>
      </c>
      <c r="AI1" s="113" t="s">
        <v>698</v>
      </c>
      <c r="AJ1" s="184"/>
      <c r="AK1" s="118" t="s">
        <v>699</v>
      </c>
      <c r="AL1" s="113" t="s">
        <v>700</v>
      </c>
      <c r="AM1" s="184"/>
      <c r="AN1" s="118" t="s">
        <v>701</v>
      </c>
      <c r="AO1" s="181"/>
      <c r="AP1" s="113" t="s">
        <v>772</v>
      </c>
      <c r="AQ1" s="118" t="s">
        <v>773</v>
      </c>
      <c r="AR1" s="181"/>
      <c r="AS1" s="113" t="s">
        <v>774</v>
      </c>
      <c r="AT1" s="118" t="s">
        <v>775</v>
      </c>
      <c r="AU1" s="195" t="s">
        <v>706</v>
      </c>
    </row>
    <row r="2" spans="1:47" ht="67.150000000000006" customHeight="1" x14ac:dyDescent="0.2">
      <c r="A2" s="262" t="s">
        <v>465</v>
      </c>
      <c r="B2" s="121"/>
      <c r="C2" s="141" t="s">
        <v>498</v>
      </c>
      <c r="D2" s="123"/>
      <c r="E2" s="124" t="s">
        <v>466</v>
      </c>
      <c r="F2" s="122"/>
      <c r="G2" s="124" t="s">
        <v>471</v>
      </c>
      <c r="H2" s="122"/>
      <c r="I2" s="110" t="s">
        <v>761</v>
      </c>
      <c r="J2" s="123"/>
      <c r="K2" s="122" t="s">
        <v>467</v>
      </c>
      <c r="L2" s="123"/>
      <c r="M2" s="141" t="s">
        <v>497</v>
      </c>
      <c r="N2" s="123"/>
      <c r="O2" s="123">
        <v>2016</v>
      </c>
      <c r="P2" s="140" t="s">
        <v>680</v>
      </c>
      <c r="Q2" s="143">
        <v>197</v>
      </c>
      <c r="R2" s="123"/>
      <c r="S2" s="105">
        <f>197*4000</f>
        <v>788000</v>
      </c>
      <c r="T2" s="123"/>
      <c r="U2" s="295">
        <v>160</v>
      </c>
      <c r="V2" s="123"/>
      <c r="W2" s="296">
        <f>160*4606</f>
        <v>736960</v>
      </c>
      <c r="X2" s="123"/>
      <c r="Y2" s="297">
        <v>159</v>
      </c>
      <c r="Z2" s="123"/>
      <c r="AA2" s="105">
        <f>(158*5000)+(1*275)</f>
        <v>790275</v>
      </c>
      <c r="AB2" s="123"/>
      <c r="AC2" s="295">
        <v>181</v>
      </c>
      <c r="AD2" s="123"/>
      <c r="AE2" s="296">
        <f>181*5000</f>
        <v>905000</v>
      </c>
      <c r="AF2" s="295">
        <v>172</v>
      </c>
      <c r="AG2" s="123"/>
      <c r="AH2" s="296">
        <f>(169*5374.09)+(3*300)</f>
        <v>909121.21000000008</v>
      </c>
      <c r="AI2" s="143">
        <v>230</v>
      </c>
      <c r="AJ2" s="123"/>
      <c r="AK2" s="298">
        <v>1632915</v>
      </c>
      <c r="AL2" s="143">
        <v>220</v>
      </c>
      <c r="AM2" s="123"/>
      <c r="AN2" s="298">
        <v>1336065</v>
      </c>
      <c r="AO2" s="255"/>
      <c r="AP2" s="468"/>
      <c r="AQ2" s="482">
        <v>1529897</v>
      </c>
      <c r="AR2" s="255"/>
      <c r="AS2" s="255"/>
      <c r="AT2" s="487">
        <v>1505920</v>
      </c>
      <c r="AU2" s="474" t="s">
        <v>713</v>
      </c>
    </row>
    <row r="3" spans="1:47" ht="58.9" customHeight="1" x14ac:dyDescent="0.2">
      <c r="A3" s="261" t="s">
        <v>468</v>
      </c>
      <c r="B3" s="87"/>
      <c r="C3" s="88" t="s">
        <v>498</v>
      </c>
      <c r="D3" s="125"/>
      <c r="E3" s="89" t="s">
        <v>469</v>
      </c>
      <c r="F3" s="88"/>
      <c r="G3" s="89" t="s">
        <v>470</v>
      </c>
      <c r="H3" s="88"/>
      <c r="I3" s="111" t="s">
        <v>762</v>
      </c>
      <c r="J3" s="125"/>
      <c r="K3" s="88" t="s">
        <v>120</v>
      </c>
      <c r="L3" s="125"/>
      <c r="M3" s="88" t="s">
        <v>497</v>
      </c>
      <c r="N3" s="125"/>
      <c r="O3" s="125">
        <v>2016</v>
      </c>
      <c r="P3" s="129" t="s">
        <v>680</v>
      </c>
      <c r="Q3" s="125">
        <v>13</v>
      </c>
      <c r="R3" s="125"/>
      <c r="S3" s="106">
        <f>13*850</f>
        <v>11050</v>
      </c>
      <c r="T3" s="125"/>
      <c r="U3" s="115">
        <v>10</v>
      </c>
      <c r="V3" s="125"/>
      <c r="W3" s="119">
        <f>(4*500)+(6*850)</f>
        <v>7100</v>
      </c>
      <c r="X3" s="125"/>
      <c r="Y3" s="186">
        <v>18</v>
      </c>
      <c r="Z3" s="125"/>
      <c r="AA3" s="106">
        <f>(7*500)+(4*850)+(7*250)</f>
        <v>8650</v>
      </c>
      <c r="AB3" s="125"/>
      <c r="AC3" s="115">
        <v>15</v>
      </c>
      <c r="AD3" s="125"/>
      <c r="AE3" s="119">
        <f>(3*850)+(5*550)+(6*250)</f>
        <v>6800</v>
      </c>
      <c r="AF3" s="115">
        <v>17</v>
      </c>
      <c r="AG3" s="125"/>
      <c r="AH3" s="119">
        <f>(2*950)+(2*850)+(4*600)+(4*500)+(5*250)</f>
        <v>9250</v>
      </c>
      <c r="AI3" s="88">
        <v>3</v>
      </c>
      <c r="AJ3" s="125"/>
      <c r="AK3" s="106">
        <v>2550</v>
      </c>
      <c r="AL3" s="88">
        <v>2</v>
      </c>
      <c r="AM3" s="125"/>
      <c r="AN3" s="106">
        <v>1700</v>
      </c>
      <c r="AO3" s="255"/>
      <c r="AP3" s="468"/>
      <c r="AQ3" s="482">
        <v>1000</v>
      </c>
      <c r="AR3" s="255"/>
      <c r="AS3" s="255"/>
      <c r="AT3" s="487">
        <v>9600</v>
      </c>
      <c r="AU3" s="474" t="s">
        <v>713</v>
      </c>
    </row>
    <row r="4" spans="1:47" ht="46.15" customHeight="1" x14ac:dyDescent="0.2">
      <c r="A4" s="261" t="s">
        <v>468</v>
      </c>
      <c r="B4" s="87"/>
      <c r="C4" s="88" t="s">
        <v>498</v>
      </c>
      <c r="D4" s="125"/>
      <c r="E4" s="89" t="s">
        <v>507</v>
      </c>
      <c r="F4" s="88"/>
      <c r="G4" s="89" t="s">
        <v>476</v>
      </c>
      <c r="H4" s="88"/>
      <c r="I4" s="111">
        <v>135</v>
      </c>
      <c r="J4" s="125"/>
      <c r="K4" s="88" t="s">
        <v>110</v>
      </c>
      <c r="L4" s="125"/>
      <c r="M4" s="88" t="s">
        <v>497</v>
      </c>
      <c r="N4" s="125"/>
      <c r="O4" s="125">
        <v>2016</v>
      </c>
      <c r="P4" s="129" t="s">
        <v>680</v>
      </c>
      <c r="Q4" s="125">
        <v>29</v>
      </c>
      <c r="R4" s="125"/>
      <c r="S4" s="106">
        <f>29*135</f>
        <v>3915</v>
      </c>
      <c r="T4" s="125"/>
      <c r="U4" s="115">
        <v>0</v>
      </c>
      <c r="V4" s="125"/>
      <c r="W4" s="119">
        <v>0</v>
      </c>
      <c r="X4" s="125"/>
      <c r="Y4" s="186">
        <v>40</v>
      </c>
      <c r="Z4" s="125"/>
      <c r="AA4" s="106">
        <f>40*135</f>
        <v>5400</v>
      </c>
      <c r="AB4" s="125"/>
      <c r="AC4" s="115">
        <v>0</v>
      </c>
      <c r="AD4" s="125"/>
      <c r="AE4" s="119">
        <v>0</v>
      </c>
      <c r="AF4" s="115">
        <v>0</v>
      </c>
      <c r="AG4" s="125"/>
      <c r="AH4" s="119">
        <v>0</v>
      </c>
      <c r="AI4" s="88">
        <v>0</v>
      </c>
      <c r="AJ4" s="125"/>
      <c r="AK4" s="106"/>
      <c r="AL4" s="88">
        <v>0</v>
      </c>
      <c r="AM4" s="125"/>
      <c r="AN4" s="106"/>
      <c r="AO4" s="255"/>
      <c r="AP4" s="468"/>
      <c r="AQ4" s="482"/>
      <c r="AR4" s="255"/>
      <c r="AS4" s="255"/>
      <c r="AT4" s="487"/>
      <c r="AU4" s="474" t="s">
        <v>713</v>
      </c>
    </row>
    <row r="5" spans="1:47" ht="46.15" customHeight="1" x14ac:dyDescent="0.2">
      <c r="A5" s="261" t="s">
        <v>468</v>
      </c>
      <c r="B5" s="87"/>
      <c r="C5" s="88" t="s">
        <v>498</v>
      </c>
      <c r="D5" s="125"/>
      <c r="E5" s="89" t="s">
        <v>508</v>
      </c>
      <c r="F5" s="88"/>
      <c r="G5" s="89" t="s">
        <v>476</v>
      </c>
      <c r="H5" s="88"/>
      <c r="I5" s="111">
        <v>100</v>
      </c>
      <c r="J5" s="125"/>
      <c r="K5" s="88" t="s">
        <v>110</v>
      </c>
      <c r="L5" s="125"/>
      <c r="M5" s="88" t="s">
        <v>497</v>
      </c>
      <c r="N5" s="125"/>
      <c r="O5" s="125">
        <v>2016</v>
      </c>
      <c r="P5" s="129" t="s">
        <v>680</v>
      </c>
      <c r="Q5" s="125">
        <v>11</v>
      </c>
      <c r="R5" s="125"/>
      <c r="S5" s="106">
        <f>11*100</f>
        <v>1100</v>
      </c>
      <c r="T5" s="125"/>
      <c r="U5" s="115">
        <v>0</v>
      </c>
      <c r="V5" s="125"/>
      <c r="W5" s="119">
        <v>0</v>
      </c>
      <c r="X5" s="125"/>
      <c r="Y5" s="186">
        <v>0</v>
      </c>
      <c r="Z5" s="125">
        <v>0</v>
      </c>
      <c r="AA5" s="106">
        <v>0</v>
      </c>
      <c r="AB5" s="125"/>
      <c r="AC5" s="115">
        <v>0</v>
      </c>
      <c r="AD5" s="125"/>
      <c r="AE5" s="119">
        <v>0</v>
      </c>
      <c r="AF5" s="115">
        <v>0</v>
      </c>
      <c r="AG5" s="125"/>
      <c r="AH5" s="119">
        <v>0</v>
      </c>
      <c r="AI5" s="88">
        <v>0</v>
      </c>
      <c r="AJ5" s="125"/>
      <c r="AK5" s="106"/>
      <c r="AL5" s="88">
        <v>0</v>
      </c>
      <c r="AM5" s="125"/>
      <c r="AN5" s="106"/>
      <c r="AO5" s="255"/>
      <c r="AP5" s="468"/>
      <c r="AQ5" s="482"/>
      <c r="AR5" s="255"/>
      <c r="AS5" s="255"/>
      <c r="AT5" s="487"/>
      <c r="AU5" s="474" t="s">
        <v>713</v>
      </c>
    </row>
    <row r="6" spans="1:47" ht="46.15" customHeight="1" x14ac:dyDescent="0.2">
      <c r="A6" s="261" t="s">
        <v>468</v>
      </c>
      <c r="B6" s="87"/>
      <c r="C6" s="88" t="s">
        <v>498</v>
      </c>
      <c r="D6" s="125"/>
      <c r="E6" s="89" t="s">
        <v>509</v>
      </c>
      <c r="F6" s="88"/>
      <c r="G6" s="89" t="s">
        <v>476</v>
      </c>
      <c r="H6" s="88"/>
      <c r="I6" s="111" t="s">
        <v>757</v>
      </c>
      <c r="J6" s="125"/>
      <c r="K6" s="88" t="s">
        <v>110</v>
      </c>
      <c r="L6" s="125"/>
      <c r="M6" s="88" t="s">
        <v>497</v>
      </c>
      <c r="N6" s="125"/>
      <c r="O6" s="125">
        <v>2016</v>
      </c>
      <c r="P6" s="129" t="s">
        <v>680</v>
      </c>
      <c r="Q6" s="125">
        <v>7</v>
      </c>
      <c r="R6" s="125"/>
      <c r="S6" s="106">
        <f>7*170</f>
        <v>1190</v>
      </c>
      <c r="T6" s="125"/>
      <c r="U6" s="115">
        <v>0</v>
      </c>
      <c r="V6" s="125"/>
      <c r="W6" s="119">
        <v>0</v>
      </c>
      <c r="X6" s="125"/>
      <c r="Y6" s="186">
        <v>14</v>
      </c>
      <c r="Z6" s="125"/>
      <c r="AA6" s="106">
        <f>14*180</f>
        <v>2520</v>
      </c>
      <c r="AB6" s="125"/>
      <c r="AC6" s="115">
        <v>0</v>
      </c>
      <c r="AD6" s="125"/>
      <c r="AE6" s="119">
        <v>0</v>
      </c>
      <c r="AF6" s="115">
        <v>0</v>
      </c>
      <c r="AG6" s="125"/>
      <c r="AH6" s="119">
        <v>0</v>
      </c>
      <c r="AI6" s="88">
        <v>12</v>
      </c>
      <c r="AJ6" s="125"/>
      <c r="AK6" s="106">
        <v>3000</v>
      </c>
      <c r="AL6" s="88">
        <v>9</v>
      </c>
      <c r="AM6" s="125">
        <v>2250</v>
      </c>
      <c r="AN6" s="106">
        <v>2250</v>
      </c>
      <c r="AO6" s="299"/>
      <c r="AP6" s="469"/>
      <c r="AQ6" s="483"/>
      <c r="AR6" s="299"/>
      <c r="AS6" s="299"/>
      <c r="AT6" s="488"/>
      <c r="AU6" s="475" t="s">
        <v>713</v>
      </c>
    </row>
    <row r="7" spans="1:47" ht="46.15" customHeight="1" x14ac:dyDescent="0.2">
      <c r="A7" s="261" t="s">
        <v>468</v>
      </c>
      <c r="B7" s="87"/>
      <c r="C7" s="88" t="s">
        <v>498</v>
      </c>
      <c r="D7" s="125"/>
      <c r="E7" s="89" t="s">
        <v>510</v>
      </c>
      <c r="F7" s="88"/>
      <c r="G7" s="89" t="s">
        <v>476</v>
      </c>
      <c r="H7" s="88"/>
      <c r="I7" s="111">
        <v>275</v>
      </c>
      <c r="J7" s="125"/>
      <c r="K7" s="88" t="s">
        <v>110</v>
      </c>
      <c r="L7" s="125"/>
      <c r="M7" s="88" t="s">
        <v>497</v>
      </c>
      <c r="N7" s="125"/>
      <c r="O7" s="125">
        <v>2016</v>
      </c>
      <c r="P7" s="129" t="s">
        <v>680</v>
      </c>
      <c r="Q7" s="125">
        <v>6</v>
      </c>
      <c r="R7" s="125"/>
      <c r="S7" s="106">
        <f>6*275</f>
        <v>1650</v>
      </c>
      <c r="T7" s="125"/>
      <c r="U7" s="115">
        <v>0</v>
      </c>
      <c r="V7" s="125"/>
      <c r="W7" s="119">
        <v>0</v>
      </c>
      <c r="X7" s="125"/>
      <c r="Y7" s="186">
        <v>0</v>
      </c>
      <c r="Z7" s="125"/>
      <c r="AA7" s="106">
        <v>0</v>
      </c>
      <c r="AB7" s="125"/>
      <c r="AC7" s="115">
        <v>8</v>
      </c>
      <c r="AD7" s="125"/>
      <c r="AE7" s="119">
        <f>8*275</f>
        <v>2200</v>
      </c>
      <c r="AF7" s="115">
        <v>10</v>
      </c>
      <c r="AG7" s="125"/>
      <c r="AH7" s="119">
        <f>10*275</f>
        <v>2750</v>
      </c>
      <c r="AI7" s="88">
        <v>0</v>
      </c>
      <c r="AJ7" s="125"/>
      <c r="AK7" s="106"/>
      <c r="AL7" s="88">
        <v>2</v>
      </c>
      <c r="AM7" s="125">
        <v>550</v>
      </c>
      <c r="AN7" s="106">
        <v>550</v>
      </c>
      <c r="AO7" s="255"/>
      <c r="AP7" s="468"/>
      <c r="AQ7" s="482">
        <v>860</v>
      </c>
      <c r="AR7" s="255"/>
      <c r="AS7" s="255"/>
      <c r="AT7" s="487">
        <v>700</v>
      </c>
      <c r="AU7" s="474" t="s">
        <v>713</v>
      </c>
    </row>
    <row r="8" spans="1:47" ht="46.15" customHeight="1" x14ac:dyDescent="0.2">
      <c r="A8" s="261" t="s">
        <v>468</v>
      </c>
      <c r="B8" s="87"/>
      <c r="C8" s="88" t="s">
        <v>498</v>
      </c>
      <c r="D8" s="125"/>
      <c r="E8" s="89" t="s">
        <v>472</v>
      </c>
      <c r="F8" s="88"/>
      <c r="G8" s="89" t="s">
        <v>476</v>
      </c>
      <c r="H8" s="88"/>
      <c r="I8" s="111">
        <v>130</v>
      </c>
      <c r="J8" s="125"/>
      <c r="K8" s="88" t="s">
        <v>110</v>
      </c>
      <c r="L8" s="125"/>
      <c r="M8" s="88" t="s">
        <v>497</v>
      </c>
      <c r="N8" s="125"/>
      <c r="O8" s="125">
        <v>2016</v>
      </c>
      <c r="P8" s="129" t="s">
        <v>680</v>
      </c>
      <c r="Q8" s="125">
        <v>14</v>
      </c>
      <c r="R8" s="125"/>
      <c r="S8" s="106">
        <f>14*130</f>
        <v>1820</v>
      </c>
      <c r="T8" s="125"/>
      <c r="U8" s="114">
        <v>11</v>
      </c>
      <c r="V8" s="125"/>
      <c r="W8" s="119">
        <f>11*130</f>
        <v>1430</v>
      </c>
      <c r="X8" s="125"/>
      <c r="Y8" s="186">
        <v>0</v>
      </c>
      <c r="Z8" s="125"/>
      <c r="AA8" s="106">
        <v>0</v>
      </c>
      <c r="AB8" s="125"/>
      <c r="AC8" s="114">
        <v>0</v>
      </c>
      <c r="AD8" s="125"/>
      <c r="AE8" s="119">
        <v>0</v>
      </c>
      <c r="AF8" s="114">
        <v>0</v>
      </c>
      <c r="AG8" s="125"/>
      <c r="AH8" s="119">
        <v>0</v>
      </c>
      <c r="AI8" s="125">
        <v>0</v>
      </c>
      <c r="AJ8" s="125"/>
      <c r="AK8" s="106">
        <v>0</v>
      </c>
      <c r="AL8" s="125">
        <v>0</v>
      </c>
      <c r="AM8" s="125"/>
      <c r="AN8" s="106"/>
      <c r="AP8" s="470"/>
      <c r="AQ8" s="484"/>
      <c r="AT8" s="489"/>
      <c r="AU8" s="476" t="s">
        <v>713</v>
      </c>
    </row>
    <row r="9" spans="1:47" ht="46.15" customHeight="1" x14ac:dyDescent="0.2">
      <c r="A9" s="261" t="s">
        <v>468</v>
      </c>
      <c r="B9" s="87"/>
      <c r="C9" s="88" t="s">
        <v>498</v>
      </c>
      <c r="D9" s="125"/>
      <c r="E9" s="89" t="s">
        <v>511</v>
      </c>
      <c r="F9" s="88"/>
      <c r="G9" s="89" t="s">
        <v>476</v>
      </c>
      <c r="H9" s="88"/>
      <c r="I9" s="111">
        <v>170</v>
      </c>
      <c r="J9" s="125"/>
      <c r="K9" s="88" t="s">
        <v>110</v>
      </c>
      <c r="L9" s="125"/>
      <c r="M9" s="88" t="s">
        <v>497</v>
      </c>
      <c r="N9" s="125"/>
      <c r="O9" s="125">
        <v>2016</v>
      </c>
      <c r="P9" s="129" t="s">
        <v>680</v>
      </c>
      <c r="Q9" s="125">
        <v>4</v>
      </c>
      <c r="R9" s="125"/>
      <c r="S9" s="106">
        <f>4*170</f>
        <v>680</v>
      </c>
      <c r="T9" s="125"/>
      <c r="U9" s="114">
        <v>0</v>
      </c>
      <c r="V9" s="125"/>
      <c r="W9" s="119">
        <v>0</v>
      </c>
      <c r="X9" s="125"/>
      <c r="Y9" s="186">
        <v>0</v>
      </c>
      <c r="Z9" s="125"/>
      <c r="AA9" s="106">
        <v>0</v>
      </c>
      <c r="AB9" s="125"/>
      <c r="AC9" s="114">
        <v>0</v>
      </c>
      <c r="AD9" s="125"/>
      <c r="AE9" s="119">
        <v>0</v>
      </c>
      <c r="AF9" s="114">
        <v>0</v>
      </c>
      <c r="AG9" s="125"/>
      <c r="AH9" s="119">
        <v>0</v>
      </c>
      <c r="AI9" s="125">
        <v>0</v>
      </c>
      <c r="AJ9" s="125"/>
      <c r="AK9" s="106"/>
      <c r="AL9" s="125">
        <v>0</v>
      </c>
      <c r="AM9" s="125"/>
      <c r="AN9" s="106"/>
      <c r="AO9" s="255"/>
      <c r="AP9" s="468"/>
      <c r="AQ9" s="482"/>
      <c r="AR9" s="255"/>
      <c r="AS9" s="255"/>
      <c r="AT9" s="487"/>
      <c r="AU9" s="474" t="s">
        <v>713</v>
      </c>
    </row>
    <row r="10" spans="1:47" ht="46.15" customHeight="1" x14ac:dyDescent="0.2">
      <c r="A10" s="261" t="s">
        <v>468</v>
      </c>
      <c r="B10" s="87"/>
      <c r="C10" s="88" t="s">
        <v>498</v>
      </c>
      <c r="D10" s="125"/>
      <c r="E10" s="89" t="s">
        <v>512</v>
      </c>
      <c r="F10" s="88"/>
      <c r="G10" s="89" t="s">
        <v>476</v>
      </c>
      <c r="H10" s="88"/>
      <c r="I10" s="111">
        <v>275</v>
      </c>
      <c r="J10" s="125"/>
      <c r="K10" s="88" t="s">
        <v>110</v>
      </c>
      <c r="L10" s="125"/>
      <c r="M10" s="88" t="s">
        <v>497</v>
      </c>
      <c r="N10" s="125"/>
      <c r="O10" s="125">
        <v>2016</v>
      </c>
      <c r="P10" s="129" t="s">
        <v>680</v>
      </c>
      <c r="Q10" s="125">
        <v>29</v>
      </c>
      <c r="R10" s="125"/>
      <c r="S10" s="106">
        <f>29*275</f>
        <v>7975</v>
      </c>
      <c r="T10" s="125"/>
      <c r="U10" s="114">
        <v>28</v>
      </c>
      <c r="V10" s="125"/>
      <c r="W10" s="119">
        <f>28*275</f>
        <v>7700</v>
      </c>
      <c r="X10" s="125"/>
      <c r="Y10" s="186">
        <v>30</v>
      </c>
      <c r="Z10" s="125"/>
      <c r="AA10" s="106">
        <f>30*275</f>
        <v>8250</v>
      </c>
      <c r="AB10" s="125"/>
      <c r="AC10" s="114">
        <v>30</v>
      </c>
      <c r="AD10" s="125"/>
      <c r="AE10" s="119">
        <f>30*300</f>
        <v>9000</v>
      </c>
      <c r="AF10" s="114">
        <v>44</v>
      </c>
      <c r="AG10" s="125"/>
      <c r="AH10" s="119">
        <f>(34*275)+(10*300)</f>
        <v>12350</v>
      </c>
      <c r="AI10" s="125">
        <v>70</v>
      </c>
      <c r="AJ10" s="125"/>
      <c r="AK10" s="106">
        <v>28000</v>
      </c>
      <c r="AL10" s="125">
        <v>27</v>
      </c>
      <c r="AM10" s="125"/>
      <c r="AN10" s="106">
        <v>10800</v>
      </c>
      <c r="AP10" s="470"/>
      <c r="AQ10" s="484">
        <v>13775</v>
      </c>
      <c r="AT10" s="489">
        <v>8500</v>
      </c>
      <c r="AU10" s="476" t="s">
        <v>713</v>
      </c>
    </row>
    <row r="11" spans="1:47" ht="46.15" customHeight="1" x14ac:dyDescent="0.2">
      <c r="A11" s="261" t="s">
        <v>468</v>
      </c>
      <c r="B11" s="87"/>
      <c r="C11" s="88" t="s">
        <v>498</v>
      </c>
      <c r="D11" s="125"/>
      <c r="E11" s="89" t="s">
        <v>513</v>
      </c>
      <c r="F11" s="88"/>
      <c r="G11" s="89" t="s">
        <v>476</v>
      </c>
      <c r="H11" s="88"/>
      <c r="I11" s="111" t="s">
        <v>758</v>
      </c>
      <c r="J11" s="125"/>
      <c r="K11" s="88" t="s">
        <v>110</v>
      </c>
      <c r="L11" s="125"/>
      <c r="M11" s="88" t="s">
        <v>497</v>
      </c>
      <c r="N11" s="125"/>
      <c r="O11" s="125">
        <v>2016</v>
      </c>
      <c r="P11" s="129" t="s">
        <v>680</v>
      </c>
      <c r="Q11" s="125">
        <v>43</v>
      </c>
      <c r="R11" s="125"/>
      <c r="S11" s="106">
        <f>43*550</f>
        <v>23650</v>
      </c>
      <c r="T11" s="125"/>
      <c r="U11" s="114">
        <v>48</v>
      </c>
      <c r="V11" s="125"/>
      <c r="W11" s="119">
        <f>48*550</f>
        <v>26400</v>
      </c>
      <c r="X11" s="125"/>
      <c r="Y11" s="186">
        <v>41</v>
      </c>
      <c r="Z11" s="125"/>
      <c r="AA11" s="106">
        <f>41*575</f>
        <v>23575</v>
      </c>
      <c r="AB11" s="125"/>
      <c r="AC11" s="114">
        <v>94</v>
      </c>
      <c r="AD11" s="125"/>
      <c r="AE11" s="119">
        <f>94*575</f>
        <v>54050</v>
      </c>
      <c r="AF11" s="114">
        <v>33</v>
      </c>
      <c r="AG11" s="125"/>
      <c r="AH11" s="119">
        <f>33*575</f>
        <v>18975</v>
      </c>
      <c r="AI11" s="125">
        <v>43</v>
      </c>
      <c r="AJ11" s="125"/>
      <c r="AK11" s="106">
        <v>24725</v>
      </c>
      <c r="AL11" s="125">
        <v>49</v>
      </c>
      <c r="AM11" s="125"/>
      <c r="AN11" s="106">
        <v>28175</v>
      </c>
      <c r="AO11" s="255"/>
      <c r="AP11" s="468"/>
      <c r="AQ11" s="482">
        <v>36480</v>
      </c>
      <c r="AR11" s="255"/>
      <c r="AS11" s="255"/>
      <c r="AT11" s="487">
        <v>15255</v>
      </c>
      <c r="AU11" s="474" t="s">
        <v>713</v>
      </c>
    </row>
    <row r="12" spans="1:47" ht="46.15" customHeight="1" x14ac:dyDescent="0.2">
      <c r="A12" s="261"/>
      <c r="B12" s="87"/>
      <c r="C12" s="88"/>
      <c r="D12" s="125"/>
      <c r="E12" s="89" t="s">
        <v>638</v>
      </c>
      <c r="F12" s="88"/>
      <c r="G12" s="89" t="s">
        <v>476</v>
      </c>
      <c r="H12" s="88"/>
      <c r="I12" s="111">
        <v>695</v>
      </c>
      <c r="J12" s="125"/>
      <c r="K12" s="88" t="s">
        <v>110</v>
      </c>
      <c r="L12" s="125"/>
      <c r="M12" s="88" t="s">
        <v>497</v>
      </c>
      <c r="N12" s="125"/>
      <c r="O12" s="125">
        <v>2016</v>
      </c>
      <c r="P12" s="129" t="s">
        <v>680</v>
      </c>
      <c r="Q12" s="125">
        <v>0</v>
      </c>
      <c r="R12" s="125"/>
      <c r="S12" s="106">
        <v>0</v>
      </c>
      <c r="T12" s="125"/>
      <c r="U12" s="114">
        <v>0</v>
      </c>
      <c r="V12" s="125"/>
      <c r="W12" s="119">
        <v>0</v>
      </c>
      <c r="X12" s="125"/>
      <c r="Y12" s="186">
        <v>0</v>
      </c>
      <c r="Z12" s="125"/>
      <c r="AA12" s="106">
        <v>0</v>
      </c>
      <c r="AB12" s="125"/>
      <c r="AC12" s="114">
        <v>28</v>
      </c>
      <c r="AD12" s="125"/>
      <c r="AE12" s="119">
        <f>28*695</f>
        <v>19460</v>
      </c>
      <c r="AF12" s="114">
        <v>0</v>
      </c>
      <c r="AG12" s="125"/>
      <c r="AH12" s="119">
        <v>0</v>
      </c>
      <c r="AI12" s="125">
        <v>0</v>
      </c>
      <c r="AJ12" s="125"/>
      <c r="AK12" s="106"/>
      <c r="AL12" s="125">
        <v>0</v>
      </c>
      <c r="AM12" s="125"/>
      <c r="AN12" s="106"/>
      <c r="AP12" s="470"/>
      <c r="AQ12" s="484"/>
      <c r="AT12" s="489"/>
      <c r="AU12" s="476" t="s">
        <v>713</v>
      </c>
    </row>
    <row r="13" spans="1:47" ht="46.15" customHeight="1" x14ac:dyDescent="0.2">
      <c r="A13" s="261" t="s">
        <v>468</v>
      </c>
      <c r="B13" s="87"/>
      <c r="C13" s="88" t="s">
        <v>498</v>
      </c>
      <c r="D13" s="125"/>
      <c r="E13" s="89" t="s">
        <v>514</v>
      </c>
      <c r="F13" s="88"/>
      <c r="G13" s="89" t="s">
        <v>476</v>
      </c>
      <c r="H13" s="88"/>
      <c r="I13" s="111" t="s">
        <v>515</v>
      </c>
      <c r="J13" s="125"/>
      <c r="K13" s="88" t="s">
        <v>110</v>
      </c>
      <c r="L13" s="125"/>
      <c r="M13" s="88" t="s">
        <v>497</v>
      </c>
      <c r="N13" s="125"/>
      <c r="O13" s="125">
        <v>2016</v>
      </c>
      <c r="P13" s="129" t="s">
        <v>680</v>
      </c>
      <c r="Q13" s="125">
        <v>0</v>
      </c>
      <c r="R13" s="125"/>
      <c r="S13" s="106">
        <v>0</v>
      </c>
      <c r="T13" s="125"/>
      <c r="U13" s="114">
        <v>50</v>
      </c>
      <c r="V13" s="125"/>
      <c r="W13" s="119">
        <f>50*275</f>
        <v>13750</v>
      </c>
      <c r="X13" s="125"/>
      <c r="Y13" s="186">
        <v>46</v>
      </c>
      <c r="Z13" s="125"/>
      <c r="AA13" s="106">
        <f>46*200</f>
        <v>9200</v>
      </c>
      <c r="AB13" s="125"/>
      <c r="AC13" s="114">
        <v>48</v>
      </c>
      <c r="AD13" s="125"/>
      <c r="AE13" s="119">
        <f>48*400</f>
        <v>19200</v>
      </c>
      <c r="AF13" s="114">
        <v>49</v>
      </c>
      <c r="AG13" s="125"/>
      <c r="AH13" s="119">
        <f>49*400</f>
        <v>19600</v>
      </c>
      <c r="AI13" s="125">
        <v>77</v>
      </c>
      <c r="AJ13" s="125"/>
      <c r="AK13" s="106">
        <v>30800</v>
      </c>
      <c r="AL13" s="125">
        <v>20</v>
      </c>
      <c r="AM13" s="125"/>
      <c r="AN13" s="106">
        <v>8000</v>
      </c>
      <c r="AO13" s="255"/>
      <c r="AP13" s="468"/>
      <c r="AQ13" s="482">
        <f>5435+8525</f>
        <v>13960</v>
      </c>
      <c r="AR13" s="255"/>
      <c r="AS13" s="255"/>
      <c r="AT13" s="487">
        <v>19065</v>
      </c>
      <c r="AU13" s="474" t="s">
        <v>713</v>
      </c>
    </row>
    <row r="14" spans="1:47" ht="46.15" customHeight="1" x14ac:dyDescent="0.2">
      <c r="A14" s="261" t="s">
        <v>468</v>
      </c>
      <c r="B14" s="87"/>
      <c r="C14" s="88" t="s">
        <v>498</v>
      </c>
      <c r="D14" s="125"/>
      <c r="E14" s="89" t="s">
        <v>516</v>
      </c>
      <c r="F14" s="88"/>
      <c r="G14" s="89" t="s">
        <v>476</v>
      </c>
      <c r="H14" s="88"/>
      <c r="I14" s="111">
        <v>475</v>
      </c>
      <c r="J14" s="125"/>
      <c r="K14" s="88" t="s">
        <v>110</v>
      </c>
      <c r="L14" s="125"/>
      <c r="M14" s="88" t="s">
        <v>497</v>
      </c>
      <c r="N14" s="125"/>
      <c r="O14" s="125">
        <v>2016</v>
      </c>
      <c r="P14" s="129" t="s">
        <v>680</v>
      </c>
      <c r="Q14" s="125">
        <v>12</v>
      </c>
      <c r="R14" s="125"/>
      <c r="S14" s="106">
        <f>12*475</f>
        <v>5700</v>
      </c>
      <c r="T14" s="125"/>
      <c r="U14" s="114">
        <v>0</v>
      </c>
      <c r="V14" s="125"/>
      <c r="W14" s="119">
        <v>0</v>
      </c>
      <c r="X14" s="125"/>
      <c r="Y14" s="186">
        <v>8</v>
      </c>
      <c r="Z14" s="125"/>
      <c r="AA14" s="106">
        <f>8*475</f>
        <v>3800</v>
      </c>
      <c r="AB14" s="125"/>
      <c r="AC14" s="114">
        <v>0</v>
      </c>
      <c r="AD14" s="125"/>
      <c r="AE14" s="119">
        <v>0</v>
      </c>
      <c r="AF14" s="114">
        <v>16</v>
      </c>
      <c r="AG14" s="125"/>
      <c r="AH14" s="119">
        <f>16*475</f>
        <v>7600</v>
      </c>
      <c r="AI14" s="125">
        <v>10</v>
      </c>
      <c r="AJ14" s="125"/>
      <c r="AK14" s="106">
        <v>4750</v>
      </c>
      <c r="AL14" s="125">
        <v>11</v>
      </c>
      <c r="AM14" s="125"/>
      <c r="AN14" s="106">
        <v>5225</v>
      </c>
      <c r="AP14" s="470"/>
      <c r="AQ14" s="484">
        <v>4020</v>
      </c>
      <c r="AT14" s="489">
        <v>4175</v>
      </c>
      <c r="AU14" s="476" t="s">
        <v>713</v>
      </c>
    </row>
    <row r="15" spans="1:47" ht="46.15" customHeight="1" x14ac:dyDescent="0.2">
      <c r="A15" s="261" t="s">
        <v>468</v>
      </c>
      <c r="B15" s="87"/>
      <c r="C15" s="88" t="s">
        <v>498</v>
      </c>
      <c r="D15" s="125"/>
      <c r="E15" s="89" t="s">
        <v>517</v>
      </c>
      <c r="F15" s="88"/>
      <c r="G15" s="89" t="s">
        <v>476</v>
      </c>
      <c r="H15" s="88"/>
      <c r="I15" s="111">
        <v>150</v>
      </c>
      <c r="J15" s="125"/>
      <c r="K15" s="88" t="s">
        <v>110</v>
      </c>
      <c r="L15" s="125"/>
      <c r="M15" s="88" t="s">
        <v>497</v>
      </c>
      <c r="N15" s="125"/>
      <c r="O15" s="125">
        <v>2016</v>
      </c>
      <c r="P15" s="129" t="s">
        <v>680</v>
      </c>
      <c r="Q15" s="125">
        <v>12</v>
      </c>
      <c r="R15" s="125"/>
      <c r="S15" s="106">
        <f>12*150</f>
        <v>1800</v>
      </c>
      <c r="T15" s="125"/>
      <c r="U15" s="114">
        <v>11</v>
      </c>
      <c r="V15" s="125"/>
      <c r="W15" s="119">
        <f>11*150</f>
        <v>1650</v>
      </c>
      <c r="X15" s="125"/>
      <c r="Y15" s="186">
        <v>0</v>
      </c>
      <c r="Z15" s="125"/>
      <c r="AA15" s="106">
        <v>0</v>
      </c>
      <c r="AB15" s="125"/>
      <c r="AC15" s="114">
        <v>14</v>
      </c>
      <c r="AD15" s="125"/>
      <c r="AE15" s="119">
        <f>14*150</f>
        <v>2100</v>
      </c>
      <c r="AF15" s="114">
        <v>11</v>
      </c>
      <c r="AG15" s="125"/>
      <c r="AH15" s="119">
        <f>11*150</f>
        <v>1650</v>
      </c>
      <c r="AI15" s="125">
        <v>17</v>
      </c>
      <c r="AJ15" s="125"/>
      <c r="AK15" s="106">
        <v>2550</v>
      </c>
      <c r="AL15" s="125">
        <v>0</v>
      </c>
      <c r="AM15" s="125"/>
      <c r="AN15" s="106"/>
      <c r="AO15" s="255"/>
      <c r="AP15" s="468"/>
      <c r="AQ15" s="482">
        <v>600</v>
      </c>
      <c r="AR15" s="255"/>
      <c r="AS15" s="255"/>
      <c r="AT15" s="487">
        <v>1000</v>
      </c>
      <c r="AU15" s="474" t="s">
        <v>713</v>
      </c>
    </row>
    <row r="16" spans="1:47" ht="46.15" customHeight="1" x14ac:dyDescent="0.2">
      <c r="A16" s="261" t="s">
        <v>468</v>
      </c>
      <c r="B16" s="87"/>
      <c r="C16" s="88" t="s">
        <v>498</v>
      </c>
      <c r="D16" s="125"/>
      <c r="E16" s="89" t="s">
        <v>518</v>
      </c>
      <c r="F16" s="88"/>
      <c r="G16" s="89" t="s">
        <v>476</v>
      </c>
      <c r="H16" s="88"/>
      <c r="I16" s="111">
        <v>150</v>
      </c>
      <c r="J16" s="125"/>
      <c r="K16" s="88" t="s">
        <v>110</v>
      </c>
      <c r="L16" s="125"/>
      <c r="M16" s="88" t="s">
        <v>497</v>
      </c>
      <c r="N16" s="125"/>
      <c r="O16" s="125">
        <v>2016</v>
      </c>
      <c r="P16" s="129" t="s">
        <v>680</v>
      </c>
      <c r="Q16" s="125">
        <v>1</v>
      </c>
      <c r="R16" s="125"/>
      <c r="S16" s="106">
        <f>1*150</f>
        <v>150</v>
      </c>
      <c r="T16" s="125"/>
      <c r="U16" s="114">
        <v>0</v>
      </c>
      <c r="V16" s="125"/>
      <c r="W16" s="119">
        <v>0</v>
      </c>
      <c r="X16" s="125"/>
      <c r="Y16" s="186">
        <v>0</v>
      </c>
      <c r="Z16" s="125"/>
      <c r="AA16" s="106">
        <v>0</v>
      </c>
      <c r="AB16" s="125"/>
      <c r="AC16" s="114">
        <v>0</v>
      </c>
      <c r="AD16" s="125"/>
      <c r="AE16" s="119">
        <v>0</v>
      </c>
      <c r="AF16" s="114">
        <v>0</v>
      </c>
      <c r="AG16" s="125"/>
      <c r="AH16" s="119">
        <v>0</v>
      </c>
      <c r="AI16" s="125">
        <v>0</v>
      </c>
      <c r="AJ16" s="125"/>
      <c r="AK16" s="106">
        <v>0</v>
      </c>
      <c r="AL16" s="125">
        <v>0</v>
      </c>
      <c r="AM16" s="125"/>
      <c r="AN16" s="106"/>
      <c r="AP16" s="470"/>
      <c r="AQ16" s="484"/>
      <c r="AT16" s="489"/>
      <c r="AU16" s="476" t="s">
        <v>713</v>
      </c>
    </row>
    <row r="17" spans="1:47" ht="46.15" customHeight="1" x14ac:dyDescent="0.2">
      <c r="A17" s="261" t="s">
        <v>468</v>
      </c>
      <c r="B17" s="87"/>
      <c r="C17" s="88" t="s">
        <v>498</v>
      </c>
      <c r="D17" s="125"/>
      <c r="E17" s="89" t="s">
        <v>519</v>
      </c>
      <c r="F17" s="88"/>
      <c r="G17" s="89" t="s">
        <v>476</v>
      </c>
      <c r="H17" s="88"/>
      <c r="I17" s="111" t="s">
        <v>759</v>
      </c>
      <c r="J17" s="125"/>
      <c r="K17" s="88" t="s">
        <v>110</v>
      </c>
      <c r="L17" s="125"/>
      <c r="M17" s="88" t="s">
        <v>497</v>
      </c>
      <c r="N17" s="125"/>
      <c r="O17" s="125">
        <v>2016</v>
      </c>
      <c r="P17" s="129" t="s">
        <v>680</v>
      </c>
      <c r="Q17" s="125">
        <v>15</v>
      </c>
      <c r="R17" s="125"/>
      <c r="S17" s="106">
        <f>15*475</f>
        <v>7125</v>
      </c>
      <c r="T17" s="125"/>
      <c r="U17" s="114">
        <v>26</v>
      </c>
      <c r="V17" s="125"/>
      <c r="W17" s="119">
        <f>26*475</f>
        <v>12350</v>
      </c>
      <c r="X17" s="125"/>
      <c r="Y17" s="186">
        <v>29</v>
      </c>
      <c r="Z17" s="125"/>
      <c r="AA17" s="106">
        <f>29*475</f>
        <v>13775</v>
      </c>
      <c r="AB17" s="125"/>
      <c r="AC17" s="114">
        <v>13</v>
      </c>
      <c r="AD17" s="125"/>
      <c r="AE17" s="119">
        <f>13*475</f>
        <v>6175</v>
      </c>
      <c r="AF17" s="114">
        <v>20</v>
      </c>
      <c r="AG17" s="125"/>
      <c r="AH17" s="119">
        <f>20*475</f>
        <v>9500</v>
      </c>
      <c r="AI17" s="125">
        <v>16</v>
      </c>
      <c r="AJ17" s="125"/>
      <c r="AK17" s="106">
        <v>8000</v>
      </c>
      <c r="AL17" s="125">
        <v>16</v>
      </c>
      <c r="AM17" s="125"/>
      <c r="AN17" s="106">
        <v>8000</v>
      </c>
      <c r="AO17" s="255"/>
      <c r="AP17" s="468"/>
      <c r="AQ17" s="482">
        <v>5345</v>
      </c>
      <c r="AR17" s="255"/>
      <c r="AS17" s="255"/>
      <c r="AT17" s="487">
        <v>5400</v>
      </c>
      <c r="AU17" s="477" t="s">
        <v>713</v>
      </c>
    </row>
    <row r="18" spans="1:47" ht="46.15" customHeight="1" x14ac:dyDescent="0.2">
      <c r="A18" s="261" t="s">
        <v>468</v>
      </c>
      <c r="B18" s="87"/>
      <c r="C18" s="88" t="s">
        <v>498</v>
      </c>
      <c r="D18" s="125"/>
      <c r="E18" s="89" t="s">
        <v>520</v>
      </c>
      <c r="F18" s="88"/>
      <c r="G18" s="89" t="s">
        <v>476</v>
      </c>
      <c r="H18" s="88"/>
      <c r="I18" s="111" t="s">
        <v>521</v>
      </c>
      <c r="J18" s="125"/>
      <c r="K18" s="88" t="s">
        <v>110</v>
      </c>
      <c r="L18" s="125"/>
      <c r="M18" s="88" t="s">
        <v>497</v>
      </c>
      <c r="N18" s="125"/>
      <c r="O18" s="125">
        <v>2016</v>
      </c>
      <c r="P18" s="129" t="s">
        <v>680</v>
      </c>
      <c r="Q18" s="125">
        <v>0</v>
      </c>
      <c r="R18" s="125"/>
      <c r="S18" s="106">
        <v>0</v>
      </c>
      <c r="T18" s="125"/>
      <c r="U18" s="114">
        <v>0</v>
      </c>
      <c r="V18" s="125"/>
      <c r="W18" s="119">
        <v>0</v>
      </c>
      <c r="X18" s="125"/>
      <c r="Y18" s="186">
        <v>0</v>
      </c>
      <c r="Z18" s="125"/>
      <c r="AA18" s="106" t="s">
        <v>637</v>
      </c>
      <c r="AB18" s="125"/>
      <c r="AC18" s="114">
        <v>0</v>
      </c>
      <c r="AD18" s="125"/>
      <c r="AE18" s="119">
        <v>0</v>
      </c>
      <c r="AF18" s="114">
        <v>0</v>
      </c>
      <c r="AG18" s="125"/>
      <c r="AH18" s="119">
        <v>0</v>
      </c>
      <c r="AI18" s="125">
        <v>1</v>
      </c>
      <c r="AJ18" s="125"/>
      <c r="AK18" s="106"/>
      <c r="AL18" s="125">
        <v>0</v>
      </c>
      <c r="AM18" s="125"/>
      <c r="AN18" s="106"/>
      <c r="AP18" s="470"/>
      <c r="AQ18" s="484"/>
      <c r="AT18" s="489"/>
      <c r="AU18" s="478" t="s">
        <v>713</v>
      </c>
    </row>
    <row r="19" spans="1:47" ht="46.15" customHeight="1" x14ac:dyDescent="0.2">
      <c r="A19" s="261" t="s">
        <v>468</v>
      </c>
      <c r="B19" s="87"/>
      <c r="C19" s="88" t="s">
        <v>498</v>
      </c>
      <c r="D19" s="125"/>
      <c r="E19" s="89" t="s">
        <v>522</v>
      </c>
      <c r="F19" s="88"/>
      <c r="G19" s="89" t="s">
        <v>476</v>
      </c>
      <c r="H19" s="88"/>
      <c r="I19" s="111" t="s">
        <v>521</v>
      </c>
      <c r="J19" s="125"/>
      <c r="K19" s="88" t="s">
        <v>110</v>
      </c>
      <c r="L19" s="125"/>
      <c r="M19" s="88" t="s">
        <v>497</v>
      </c>
      <c r="N19" s="125"/>
      <c r="O19" s="125">
        <v>2016</v>
      </c>
      <c r="P19" s="129" t="s">
        <v>680</v>
      </c>
      <c r="Q19" s="125">
        <v>0</v>
      </c>
      <c r="R19" s="125"/>
      <c r="S19" s="106">
        <v>0</v>
      </c>
      <c r="T19" s="125"/>
      <c r="U19" s="114">
        <v>0</v>
      </c>
      <c r="V19" s="125"/>
      <c r="W19" s="119">
        <v>0</v>
      </c>
      <c r="X19" s="125"/>
      <c r="Y19" s="186">
        <v>0</v>
      </c>
      <c r="Z19" s="125"/>
      <c r="AA19" s="106" t="s">
        <v>637</v>
      </c>
      <c r="AB19" s="125"/>
      <c r="AC19" s="114">
        <v>0</v>
      </c>
      <c r="AD19" s="125"/>
      <c r="AE19" s="119">
        <v>0</v>
      </c>
      <c r="AF19" s="114">
        <v>0</v>
      </c>
      <c r="AG19" s="125"/>
      <c r="AH19" s="119">
        <v>0</v>
      </c>
      <c r="AI19" s="125">
        <v>0</v>
      </c>
      <c r="AJ19" s="125"/>
      <c r="AK19" s="106"/>
      <c r="AL19" s="125">
        <v>0</v>
      </c>
      <c r="AM19" s="125"/>
      <c r="AN19" s="106"/>
      <c r="AO19" s="255"/>
      <c r="AP19" s="468"/>
      <c r="AQ19" s="482"/>
      <c r="AR19" s="255"/>
      <c r="AS19" s="255"/>
      <c r="AT19" s="487"/>
      <c r="AU19" s="477" t="s">
        <v>713</v>
      </c>
    </row>
    <row r="20" spans="1:47" ht="46.15" customHeight="1" x14ac:dyDescent="0.2">
      <c r="A20" s="261" t="s">
        <v>468</v>
      </c>
      <c r="B20" s="87"/>
      <c r="C20" s="88" t="s">
        <v>498</v>
      </c>
      <c r="D20" s="125"/>
      <c r="E20" s="89" t="s">
        <v>639</v>
      </c>
      <c r="F20" s="88"/>
      <c r="G20" s="89" t="s">
        <v>476</v>
      </c>
      <c r="H20" s="88"/>
      <c r="I20" s="111" t="s">
        <v>523</v>
      </c>
      <c r="J20" s="125"/>
      <c r="K20" s="88" t="s">
        <v>110</v>
      </c>
      <c r="L20" s="125"/>
      <c r="M20" s="88" t="s">
        <v>497</v>
      </c>
      <c r="N20" s="125"/>
      <c r="O20" s="125">
        <v>2016</v>
      </c>
      <c r="P20" s="129" t="s">
        <v>680</v>
      </c>
      <c r="Q20" s="125">
        <v>1</v>
      </c>
      <c r="R20" s="125"/>
      <c r="S20" s="106">
        <f>1*275</f>
        <v>275</v>
      </c>
      <c r="T20" s="125"/>
      <c r="U20" s="114">
        <v>6</v>
      </c>
      <c r="V20" s="125"/>
      <c r="W20" s="119">
        <f>6*15</f>
        <v>90</v>
      </c>
      <c r="X20" s="125"/>
      <c r="Y20" s="186">
        <v>5</v>
      </c>
      <c r="Z20" s="125"/>
      <c r="AA20" s="106">
        <f>5*15</f>
        <v>75</v>
      </c>
      <c r="AB20" s="125"/>
      <c r="AC20" s="114">
        <v>19</v>
      </c>
      <c r="AD20" s="125"/>
      <c r="AE20" s="119">
        <f>19*15</f>
        <v>285</v>
      </c>
      <c r="AF20" s="114">
        <v>7</v>
      </c>
      <c r="AG20" s="125"/>
      <c r="AH20" s="119">
        <f>7*15</f>
        <v>105</v>
      </c>
      <c r="AI20" s="125">
        <v>0</v>
      </c>
      <c r="AJ20" s="125"/>
      <c r="AK20" s="106"/>
      <c r="AL20" s="125">
        <v>4</v>
      </c>
      <c r="AM20" s="125"/>
      <c r="AN20" s="106">
        <v>60</v>
      </c>
      <c r="AP20" s="470"/>
      <c r="AQ20" s="484">
        <f>905+570</f>
        <v>1475</v>
      </c>
      <c r="AT20" s="489">
        <f>9925+3825</f>
        <v>13750</v>
      </c>
      <c r="AU20" s="478" t="s">
        <v>713</v>
      </c>
    </row>
    <row r="21" spans="1:47" ht="46.15" customHeight="1" x14ac:dyDescent="0.2">
      <c r="A21" s="261" t="s">
        <v>468</v>
      </c>
      <c r="B21" s="87"/>
      <c r="C21" s="88" t="s">
        <v>498</v>
      </c>
      <c r="D21" s="125"/>
      <c r="E21" s="89" t="s">
        <v>640</v>
      </c>
      <c r="F21" s="88"/>
      <c r="G21" s="89" t="s">
        <v>476</v>
      </c>
      <c r="H21" s="88"/>
      <c r="I21" s="111">
        <v>100</v>
      </c>
      <c r="J21" s="125"/>
      <c r="K21" s="88" t="s">
        <v>110</v>
      </c>
      <c r="L21" s="125"/>
      <c r="M21" s="88" t="s">
        <v>497</v>
      </c>
      <c r="N21" s="125"/>
      <c r="O21" s="125">
        <v>2016</v>
      </c>
      <c r="P21" s="129" t="s">
        <v>680</v>
      </c>
      <c r="Q21" s="125">
        <v>12</v>
      </c>
      <c r="R21" s="125"/>
      <c r="S21" s="106">
        <f>12*100</f>
        <v>1200</v>
      </c>
      <c r="T21" s="125"/>
      <c r="U21" s="114">
        <v>7</v>
      </c>
      <c r="V21" s="125"/>
      <c r="W21" s="119">
        <f>7*100</f>
        <v>700</v>
      </c>
      <c r="X21" s="125"/>
      <c r="Y21" s="187">
        <v>11</v>
      </c>
      <c r="Z21" s="125"/>
      <c r="AA21" s="106">
        <f>11*15</f>
        <v>165</v>
      </c>
      <c r="AB21" s="125"/>
      <c r="AC21" s="114">
        <v>8</v>
      </c>
      <c r="AD21" s="125"/>
      <c r="AE21" s="119">
        <f>8*15</f>
        <v>120</v>
      </c>
      <c r="AF21" s="114">
        <v>0</v>
      </c>
      <c r="AG21" s="125"/>
      <c r="AH21" s="119">
        <v>0</v>
      </c>
      <c r="AI21" s="125">
        <v>0</v>
      </c>
      <c r="AJ21" s="125"/>
      <c r="AK21" s="106"/>
      <c r="AL21" s="125">
        <v>0</v>
      </c>
      <c r="AM21" s="125"/>
      <c r="AN21" s="106"/>
      <c r="AO21" s="255"/>
      <c r="AP21" s="468"/>
      <c r="AQ21" s="482"/>
      <c r="AR21" s="255"/>
      <c r="AS21" s="255"/>
      <c r="AT21" s="487"/>
      <c r="AU21" s="477" t="s">
        <v>713</v>
      </c>
    </row>
    <row r="22" spans="1:47" ht="46.15" customHeight="1" x14ac:dyDescent="0.2">
      <c r="A22" s="261" t="s">
        <v>468</v>
      </c>
      <c r="B22" s="87"/>
      <c r="C22" s="88" t="s">
        <v>498</v>
      </c>
      <c r="D22" s="125"/>
      <c r="E22" s="89" t="s">
        <v>524</v>
      </c>
      <c r="F22" s="88"/>
      <c r="G22" s="89" t="s">
        <v>476</v>
      </c>
      <c r="H22" s="88"/>
      <c r="I22" s="111" t="s">
        <v>763</v>
      </c>
      <c r="J22" s="125"/>
      <c r="K22" s="88" t="s">
        <v>110</v>
      </c>
      <c r="L22" s="125"/>
      <c r="M22" s="88" t="s">
        <v>497</v>
      </c>
      <c r="N22" s="125"/>
      <c r="O22" s="125">
        <v>2016</v>
      </c>
      <c r="P22" s="129" t="s">
        <v>680</v>
      </c>
      <c r="Q22" s="125">
        <v>59</v>
      </c>
      <c r="R22" s="125"/>
      <c r="S22" s="106">
        <f>59*95</f>
        <v>5605</v>
      </c>
      <c r="T22" s="125"/>
      <c r="U22" s="114">
        <v>0</v>
      </c>
      <c r="V22" s="125"/>
      <c r="W22" s="119">
        <v>0</v>
      </c>
      <c r="X22" s="125"/>
      <c r="Y22" s="187">
        <v>53</v>
      </c>
      <c r="Z22" s="125"/>
      <c r="AA22" s="106">
        <f>53*95</f>
        <v>5035</v>
      </c>
      <c r="AB22" s="125"/>
      <c r="AC22" s="114">
        <v>49</v>
      </c>
      <c r="AD22" s="125"/>
      <c r="AE22" s="119">
        <f>49*125</f>
        <v>6125</v>
      </c>
      <c r="AF22" s="114">
        <v>29</v>
      </c>
      <c r="AG22" s="125"/>
      <c r="AH22" s="119">
        <f>29*125</f>
        <v>3625</v>
      </c>
      <c r="AI22" s="125">
        <v>40</v>
      </c>
      <c r="AJ22" s="125"/>
      <c r="AK22" s="106">
        <v>5000</v>
      </c>
      <c r="AL22" s="125">
        <v>9</v>
      </c>
      <c r="AM22" s="125"/>
      <c r="AN22" s="106">
        <v>1125</v>
      </c>
      <c r="AP22" s="470">
        <v>7</v>
      </c>
      <c r="AQ22" s="484">
        <v>775</v>
      </c>
      <c r="AT22" s="489">
        <v>200</v>
      </c>
      <c r="AU22" s="478" t="s">
        <v>713</v>
      </c>
    </row>
    <row r="23" spans="1:47" ht="46.15" customHeight="1" x14ac:dyDescent="0.2">
      <c r="A23" s="261" t="s">
        <v>468</v>
      </c>
      <c r="B23" s="87"/>
      <c r="C23" s="88" t="s">
        <v>498</v>
      </c>
      <c r="D23" s="125"/>
      <c r="E23" s="89" t="s">
        <v>525</v>
      </c>
      <c r="F23" s="88"/>
      <c r="G23" s="89" t="s">
        <v>476</v>
      </c>
      <c r="H23" s="88"/>
      <c r="I23" s="111">
        <v>90</v>
      </c>
      <c r="J23" s="125"/>
      <c r="K23" s="88" t="s">
        <v>110</v>
      </c>
      <c r="L23" s="125"/>
      <c r="M23" s="88" t="s">
        <v>497</v>
      </c>
      <c r="N23" s="125"/>
      <c r="O23" s="125">
        <v>2016</v>
      </c>
      <c r="P23" s="129" t="s">
        <v>680</v>
      </c>
      <c r="Q23" s="125">
        <v>13</v>
      </c>
      <c r="R23" s="125"/>
      <c r="S23" s="106">
        <f>13*90</f>
        <v>1170</v>
      </c>
      <c r="T23" s="125"/>
      <c r="U23" s="114">
        <v>0</v>
      </c>
      <c r="V23" s="125"/>
      <c r="W23" s="119">
        <v>0</v>
      </c>
      <c r="X23" s="125"/>
      <c r="Y23" s="187">
        <v>0</v>
      </c>
      <c r="Z23" s="125"/>
      <c r="AA23" s="106">
        <v>0</v>
      </c>
      <c r="AB23" s="125"/>
      <c r="AC23" s="114">
        <v>0</v>
      </c>
      <c r="AD23" s="125"/>
      <c r="AE23" s="119">
        <v>0</v>
      </c>
      <c r="AF23" s="114">
        <v>0</v>
      </c>
      <c r="AG23" s="125"/>
      <c r="AH23" s="119">
        <v>0</v>
      </c>
      <c r="AI23" s="125">
        <v>0</v>
      </c>
      <c r="AJ23" s="125"/>
      <c r="AK23" s="106"/>
      <c r="AL23" s="125">
        <v>0</v>
      </c>
      <c r="AM23" s="125"/>
      <c r="AN23" s="106"/>
      <c r="AO23" s="255"/>
      <c r="AP23" s="468"/>
      <c r="AQ23" s="482"/>
      <c r="AR23" s="255"/>
      <c r="AS23" s="255"/>
      <c r="AT23" s="487"/>
      <c r="AU23" s="477" t="s">
        <v>713</v>
      </c>
    </row>
    <row r="24" spans="1:47" ht="46.15" customHeight="1" x14ac:dyDescent="0.2">
      <c r="A24" s="261" t="s">
        <v>468</v>
      </c>
      <c r="B24" s="87"/>
      <c r="C24" s="88" t="s">
        <v>498</v>
      </c>
      <c r="D24" s="125"/>
      <c r="E24" s="89" t="s">
        <v>526</v>
      </c>
      <c r="F24" s="88"/>
      <c r="G24" s="89" t="s">
        <v>476</v>
      </c>
      <c r="H24" s="88"/>
      <c r="I24" s="111">
        <v>85</v>
      </c>
      <c r="J24" s="125"/>
      <c r="K24" s="88" t="s">
        <v>110</v>
      </c>
      <c r="L24" s="125"/>
      <c r="M24" s="88" t="s">
        <v>497</v>
      </c>
      <c r="N24" s="125"/>
      <c r="O24" s="125">
        <v>2016</v>
      </c>
      <c r="P24" s="129" t="s">
        <v>680</v>
      </c>
      <c r="Q24" s="125">
        <v>19</v>
      </c>
      <c r="R24" s="125"/>
      <c r="S24" s="106">
        <f>19*80</f>
        <v>1520</v>
      </c>
      <c r="T24" s="125"/>
      <c r="U24" s="114">
        <v>0</v>
      </c>
      <c r="V24" s="125"/>
      <c r="W24" s="119">
        <v>0</v>
      </c>
      <c r="X24" s="125"/>
      <c r="Y24" s="187">
        <v>0</v>
      </c>
      <c r="Z24" s="125"/>
      <c r="AA24" s="106">
        <v>0</v>
      </c>
      <c r="AB24" s="125"/>
      <c r="AC24" s="114">
        <v>13</v>
      </c>
      <c r="AD24" s="125"/>
      <c r="AE24" s="119">
        <f>13*85</f>
        <v>1105</v>
      </c>
      <c r="AF24" s="114">
        <v>0</v>
      </c>
      <c r="AG24" s="125"/>
      <c r="AH24" s="119">
        <v>0</v>
      </c>
      <c r="AI24" s="125">
        <v>15</v>
      </c>
      <c r="AJ24" s="125"/>
      <c r="AK24" s="106">
        <v>1275</v>
      </c>
      <c r="AL24" s="125"/>
      <c r="AM24" s="125"/>
      <c r="AN24" s="106"/>
      <c r="AP24" s="470"/>
      <c r="AQ24" s="484"/>
      <c r="AT24" s="489">
        <v>900</v>
      </c>
      <c r="AU24" s="478" t="s">
        <v>713</v>
      </c>
    </row>
    <row r="25" spans="1:47" ht="46.15" customHeight="1" x14ac:dyDescent="0.2">
      <c r="A25" s="261" t="s">
        <v>468</v>
      </c>
      <c r="B25" s="87"/>
      <c r="C25" s="88" t="s">
        <v>498</v>
      </c>
      <c r="D25" s="125"/>
      <c r="E25" s="89" t="s">
        <v>527</v>
      </c>
      <c r="F25" s="88"/>
      <c r="G25" s="89" t="s">
        <v>476</v>
      </c>
      <c r="H25" s="88"/>
      <c r="I25" s="111">
        <v>125</v>
      </c>
      <c r="J25" s="125"/>
      <c r="K25" s="88" t="s">
        <v>110</v>
      </c>
      <c r="L25" s="125"/>
      <c r="M25" s="88" t="s">
        <v>497</v>
      </c>
      <c r="N25" s="125"/>
      <c r="O25" s="125">
        <v>2016</v>
      </c>
      <c r="P25" s="129" t="s">
        <v>680</v>
      </c>
      <c r="Q25" s="125">
        <v>24</v>
      </c>
      <c r="R25" s="125"/>
      <c r="S25" s="106">
        <f>24*160</f>
        <v>3840</v>
      </c>
      <c r="T25" s="125"/>
      <c r="U25" s="114">
        <v>0</v>
      </c>
      <c r="V25" s="125"/>
      <c r="W25" s="119">
        <v>0</v>
      </c>
      <c r="X25" s="125"/>
      <c r="Y25" s="191">
        <v>20</v>
      </c>
      <c r="Z25" s="125"/>
      <c r="AA25" s="106">
        <f>20*160</f>
        <v>3200</v>
      </c>
      <c r="AB25" s="125"/>
      <c r="AC25" s="114">
        <v>8</v>
      </c>
      <c r="AD25" s="125"/>
      <c r="AE25" s="119">
        <f>8*125</f>
        <v>1000</v>
      </c>
      <c r="AF25" s="114">
        <v>18</v>
      </c>
      <c r="AG25" s="125"/>
      <c r="AH25" s="119">
        <f>18*125</f>
        <v>2250</v>
      </c>
      <c r="AI25" s="125">
        <v>12</v>
      </c>
      <c r="AJ25" s="125"/>
      <c r="AK25" s="106">
        <v>1500</v>
      </c>
      <c r="AL25" s="125">
        <v>14</v>
      </c>
      <c r="AM25" s="125"/>
      <c r="AN25" s="106">
        <v>1750</v>
      </c>
      <c r="AO25" s="255"/>
      <c r="AP25" s="468"/>
      <c r="AQ25" s="482"/>
      <c r="AR25" s="255"/>
      <c r="AS25" s="255"/>
      <c r="AT25" s="487"/>
      <c r="AU25" s="477" t="s">
        <v>713</v>
      </c>
    </row>
    <row r="26" spans="1:47" ht="46.15" customHeight="1" x14ac:dyDescent="0.2">
      <c r="A26" s="261" t="s">
        <v>468</v>
      </c>
      <c r="B26" s="87"/>
      <c r="C26" s="88" t="s">
        <v>498</v>
      </c>
      <c r="D26" s="125"/>
      <c r="E26" s="89" t="s">
        <v>529</v>
      </c>
      <c r="F26" s="88"/>
      <c r="G26" s="89" t="s">
        <v>476</v>
      </c>
      <c r="H26" s="88"/>
      <c r="I26" s="111">
        <v>95</v>
      </c>
      <c r="J26" s="125"/>
      <c r="K26" s="88" t="s">
        <v>110</v>
      </c>
      <c r="L26" s="125"/>
      <c r="M26" s="88" t="s">
        <v>497</v>
      </c>
      <c r="N26" s="125"/>
      <c r="O26" s="125">
        <v>2011</v>
      </c>
      <c r="P26" s="129" t="s">
        <v>680</v>
      </c>
      <c r="Q26" s="125">
        <v>0</v>
      </c>
      <c r="R26" s="125"/>
      <c r="S26" s="106">
        <v>0</v>
      </c>
      <c r="T26" s="125"/>
      <c r="U26" s="114">
        <v>8</v>
      </c>
      <c r="V26" s="125"/>
      <c r="W26" s="119">
        <f>8*95</f>
        <v>760</v>
      </c>
      <c r="X26" s="125"/>
      <c r="Y26" s="187">
        <v>8</v>
      </c>
      <c r="Z26" s="125"/>
      <c r="AA26" s="106">
        <f>8*130</f>
        <v>1040</v>
      </c>
      <c r="AB26" s="125"/>
      <c r="AC26" s="114">
        <v>0</v>
      </c>
      <c r="AD26" s="125"/>
      <c r="AE26" s="119">
        <v>0</v>
      </c>
      <c r="AF26" s="114">
        <v>0</v>
      </c>
      <c r="AG26" s="125"/>
      <c r="AH26" s="119">
        <v>0</v>
      </c>
      <c r="AI26" s="125">
        <v>0</v>
      </c>
      <c r="AJ26" s="125"/>
      <c r="AK26" s="106">
        <v>0</v>
      </c>
      <c r="AL26" s="125"/>
      <c r="AM26" s="125"/>
      <c r="AN26" s="106"/>
      <c r="AP26" s="470"/>
      <c r="AQ26" s="484"/>
      <c r="AT26" s="489"/>
      <c r="AU26" s="478" t="s">
        <v>713</v>
      </c>
    </row>
    <row r="27" spans="1:47" ht="46.15" customHeight="1" x14ac:dyDescent="0.2">
      <c r="A27" s="261" t="s">
        <v>468</v>
      </c>
      <c r="B27" s="87"/>
      <c r="C27" s="88" t="s">
        <v>498</v>
      </c>
      <c r="D27" s="125"/>
      <c r="E27" s="89" t="s">
        <v>528</v>
      </c>
      <c r="F27" s="88"/>
      <c r="G27" s="89" t="s">
        <v>476</v>
      </c>
      <c r="H27" s="88"/>
      <c r="I27" s="111">
        <v>125</v>
      </c>
      <c r="J27" s="125"/>
      <c r="K27" s="88" t="s">
        <v>110</v>
      </c>
      <c r="L27" s="125"/>
      <c r="M27" s="88" t="s">
        <v>497</v>
      </c>
      <c r="N27" s="125"/>
      <c r="O27" s="125">
        <v>2011</v>
      </c>
      <c r="P27" s="129" t="s">
        <v>680</v>
      </c>
      <c r="Q27" s="125">
        <v>13</v>
      </c>
      <c r="R27" s="125"/>
      <c r="S27" s="106">
        <f>13*125</f>
        <v>1625</v>
      </c>
      <c r="T27" s="125"/>
      <c r="U27" s="114">
        <v>0</v>
      </c>
      <c r="V27" s="125"/>
      <c r="W27" s="119">
        <v>0</v>
      </c>
      <c r="X27" s="125"/>
      <c r="Y27" s="187">
        <v>0</v>
      </c>
      <c r="Z27" s="125"/>
      <c r="AA27" s="106">
        <v>0</v>
      </c>
      <c r="AB27" s="125"/>
      <c r="AC27" s="114">
        <v>0</v>
      </c>
      <c r="AD27" s="125"/>
      <c r="AE27" s="119">
        <v>0</v>
      </c>
      <c r="AF27" s="114">
        <v>0</v>
      </c>
      <c r="AG27" s="125"/>
      <c r="AH27" s="119">
        <v>0</v>
      </c>
      <c r="AI27" s="125">
        <v>0</v>
      </c>
      <c r="AJ27" s="125"/>
      <c r="AK27" s="106">
        <v>0</v>
      </c>
      <c r="AL27" s="125"/>
      <c r="AM27" s="125"/>
      <c r="AN27" s="106"/>
      <c r="AO27" s="255"/>
      <c r="AP27" s="468"/>
      <c r="AQ27" s="482"/>
      <c r="AR27" s="255"/>
      <c r="AS27" s="255"/>
      <c r="AT27" s="487"/>
      <c r="AU27" s="477" t="s">
        <v>713</v>
      </c>
    </row>
    <row r="28" spans="1:47" ht="46.15" customHeight="1" x14ac:dyDescent="0.2">
      <c r="A28" s="261" t="s">
        <v>468</v>
      </c>
      <c r="B28" s="87"/>
      <c r="C28" s="88" t="s">
        <v>498</v>
      </c>
      <c r="D28" s="125"/>
      <c r="E28" s="89" t="s">
        <v>473</v>
      </c>
      <c r="F28" s="88"/>
      <c r="G28" s="89" t="s">
        <v>476</v>
      </c>
      <c r="H28" s="88"/>
      <c r="I28" s="111">
        <v>125</v>
      </c>
      <c r="J28" s="125"/>
      <c r="K28" s="88" t="s">
        <v>110</v>
      </c>
      <c r="L28" s="125"/>
      <c r="M28" s="88" t="s">
        <v>497</v>
      </c>
      <c r="N28" s="125"/>
      <c r="O28" s="125">
        <v>2016</v>
      </c>
      <c r="P28" s="129" t="s">
        <v>680</v>
      </c>
      <c r="Q28" s="125">
        <v>71</v>
      </c>
      <c r="R28" s="125"/>
      <c r="S28" s="106">
        <f>71*125</f>
        <v>8875</v>
      </c>
      <c r="T28" s="125"/>
      <c r="U28" s="114">
        <v>50</v>
      </c>
      <c r="V28" s="125"/>
      <c r="W28" s="119">
        <f>50*125</f>
        <v>6250</v>
      </c>
      <c r="X28" s="125"/>
      <c r="Y28" s="187">
        <v>84</v>
      </c>
      <c r="Z28" s="125"/>
      <c r="AA28" s="106">
        <f>84*125</f>
        <v>10500</v>
      </c>
      <c r="AB28" s="125"/>
      <c r="AC28" s="114">
        <v>87</v>
      </c>
      <c r="AD28" s="125"/>
      <c r="AE28" s="119">
        <f>87*125</f>
        <v>10875</v>
      </c>
      <c r="AF28" s="114">
        <v>58</v>
      </c>
      <c r="AG28" s="125"/>
      <c r="AH28" s="119">
        <f>58*125</f>
        <v>7250</v>
      </c>
      <c r="AI28" s="125">
        <v>89</v>
      </c>
      <c r="AJ28" s="125"/>
      <c r="AK28" s="106">
        <v>11125</v>
      </c>
      <c r="AL28" s="125">
        <v>34</v>
      </c>
      <c r="AM28" s="125"/>
      <c r="AN28" s="106">
        <v>4250</v>
      </c>
      <c r="AP28" s="470"/>
      <c r="AQ28" s="484">
        <v>3250</v>
      </c>
      <c r="AT28" s="489">
        <f>1550+1850</f>
        <v>3400</v>
      </c>
      <c r="AU28" s="478" t="s">
        <v>713</v>
      </c>
    </row>
    <row r="29" spans="1:47" ht="46.15" customHeight="1" x14ac:dyDescent="0.2">
      <c r="A29" s="261" t="s">
        <v>468</v>
      </c>
      <c r="B29" s="87"/>
      <c r="C29" s="88" t="s">
        <v>498</v>
      </c>
      <c r="D29" s="125"/>
      <c r="E29" s="89" t="s">
        <v>474</v>
      </c>
      <c r="F29" s="88"/>
      <c r="G29" s="89" t="s">
        <v>476</v>
      </c>
      <c r="H29" s="88"/>
      <c r="I29" s="111">
        <v>150</v>
      </c>
      <c r="J29" s="125"/>
      <c r="K29" s="88" t="s">
        <v>110</v>
      </c>
      <c r="L29" s="125"/>
      <c r="M29" s="88" t="s">
        <v>497</v>
      </c>
      <c r="N29" s="125"/>
      <c r="O29" s="125">
        <v>2016</v>
      </c>
      <c r="P29" s="129" t="s">
        <v>680</v>
      </c>
      <c r="Q29" s="125">
        <v>45</v>
      </c>
      <c r="R29" s="125"/>
      <c r="S29" s="106">
        <f>45*225</f>
        <v>10125</v>
      </c>
      <c r="T29" s="125"/>
      <c r="U29" s="114">
        <v>260</v>
      </c>
      <c r="V29" s="125"/>
      <c r="W29" s="119">
        <f>260*225</f>
        <v>58500</v>
      </c>
      <c r="X29" s="125"/>
      <c r="Y29" s="187">
        <v>211</v>
      </c>
      <c r="Z29" s="125"/>
      <c r="AA29" s="106">
        <f>211*200</f>
        <v>42200</v>
      </c>
      <c r="AB29" s="125"/>
      <c r="AC29" s="114">
        <v>130</v>
      </c>
      <c r="AD29" s="125"/>
      <c r="AE29" s="119">
        <f>130*150</f>
        <v>19500</v>
      </c>
      <c r="AF29" s="114">
        <v>206</v>
      </c>
      <c r="AG29" s="125"/>
      <c r="AH29" s="119">
        <f>206*150</f>
        <v>30900</v>
      </c>
      <c r="AI29" s="125">
        <v>190</v>
      </c>
      <c r="AJ29" s="125"/>
      <c r="AK29" s="106">
        <v>28500</v>
      </c>
      <c r="AL29" s="125">
        <v>243</v>
      </c>
      <c r="AM29" s="125"/>
      <c r="AN29" s="106">
        <v>36450</v>
      </c>
      <c r="AO29" s="255"/>
      <c r="AP29" s="469"/>
      <c r="AQ29" s="483">
        <v>20850</v>
      </c>
      <c r="AR29" s="299"/>
      <c r="AS29" s="299"/>
      <c r="AT29" s="488">
        <v>17600</v>
      </c>
      <c r="AU29" s="494" t="s">
        <v>713</v>
      </c>
    </row>
    <row r="30" spans="1:47" ht="46.15" customHeight="1" x14ac:dyDescent="0.2">
      <c r="A30" s="261" t="s">
        <v>468</v>
      </c>
      <c r="B30" s="87"/>
      <c r="C30" s="88" t="s">
        <v>498</v>
      </c>
      <c r="D30" s="125"/>
      <c r="E30" s="89" t="s">
        <v>475</v>
      </c>
      <c r="F30" s="88"/>
      <c r="G30" s="89" t="s">
        <v>476</v>
      </c>
      <c r="H30" s="88"/>
      <c r="I30" s="111">
        <v>175</v>
      </c>
      <c r="J30" s="125"/>
      <c r="K30" s="88" t="s">
        <v>110</v>
      </c>
      <c r="L30" s="125"/>
      <c r="M30" s="88" t="s">
        <v>497</v>
      </c>
      <c r="N30" s="125"/>
      <c r="O30" s="125">
        <v>2016</v>
      </c>
      <c r="P30" s="129" t="s">
        <v>680</v>
      </c>
      <c r="Q30" s="125">
        <v>40</v>
      </c>
      <c r="R30" s="125"/>
      <c r="S30" s="106">
        <f>40*240</f>
        <v>9600</v>
      </c>
      <c r="T30" s="125"/>
      <c r="U30" s="114">
        <v>102</v>
      </c>
      <c r="V30" s="125"/>
      <c r="W30" s="119">
        <f>102*240</f>
        <v>24480</v>
      </c>
      <c r="X30" s="125"/>
      <c r="Y30" s="187">
        <v>67</v>
      </c>
      <c r="Z30" s="125"/>
      <c r="AA30" s="106">
        <f>67*200</f>
        <v>13400</v>
      </c>
      <c r="AB30" s="125"/>
      <c r="AC30" s="114">
        <v>82</v>
      </c>
      <c r="AD30" s="125"/>
      <c r="AE30" s="119">
        <f>82*175</f>
        <v>14350</v>
      </c>
      <c r="AF30" s="114">
        <v>90</v>
      </c>
      <c r="AG30" s="125"/>
      <c r="AH30" s="119">
        <f>90*175</f>
        <v>15750</v>
      </c>
      <c r="AI30" s="125">
        <v>96</v>
      </c>
      <c r="AJ30" s="125"/>
      <c r="AK30" s="106">
        <v>16800</v>
      </c>
      <c r="AL30" s="125">
        <v>119</v>
      </c>
      <c r="AM30" s="125"/>
      <c r="AN30" s="106">
        <v>20825</v>
      </c>
      <c r="AO30" s="255"/>
      <c r="AP30" s="468"/>
      <c r="AQ30" s="482">
        <v>8700</v>
      </c>
      <c r="AR30" s="255"/>
      <c r="AS30" s="255"/>
      <c r="AT30" s="487">
        <v>13425</v>
      </c>
      <c r="AU30" s="477" t="s">
        <v>713</v>
      </c>
    </row>
    <row r="31" spans="1:47" ht="46.15" customHeight="1" x14ac:dyDescent="0.2">
      <c r="A31" s="261" t="s">
        <v>468</v>
      </c>
      <c r="B31" s="87"/>
      <c r="C31" s="88" t="s">
        <v>498</v>
      </c>
      <c r="D31" s="125"/>
      <c r="E31" s="89" t="s">
        <v>530</v>
      </c>
      <c r="F31" s="88"/>
      <c r="G31" s="89" t="s">
        <v>476</v>
      </c>
      <c r="H31" s="88"/>
      <c r="I31" s="111">
        <v>125</v>
      </c>
      <c r="J31" s="125"/>
      <c r="K31" s="88" t="s">
        <v>110</v>
      </c>
      <c r="L31" s="125"/>
      <c r="M31" s="88" t="s">
        <v>497</v>
      </c>
      <c r="N31" s="125"/>
      <c r="O31" s="125">
        <v>2016</v>
      </c>
      <c r="P31" s="140" t="s">
        <v>680</v>
      </c>
      <c r="Q31" s="143">
        <v>6</v>
      </c>
      <c r="R31" s="143"/>
      <c r="S31" s="298">
        <f>6*90</f>
        <v>540</v>
      </c>
      <c r="T31" s="143"/>
      <c r="U31" s="295">
        <v>0</v>
      </c>
      <c r="V31" s="143"/>
      <c r="W31" s="296">
        <v>0</v>
      </c>
      <c r="X31" s="143"/>
      <c r="Y31" s="247">
        <v>11</v>
      </c>
      <c r="Z31" s="143"/>
      <c r="AA31" s="298">
        <f>11*90</f>
        <v>990</v>
      </c>
      <c r="AB31" s="143"/>
      <c r="AC31" s="295">
        <v>0</v>
      </c>
      <c r="AD31" s="143"/>
      <c r="AE31" s="296">
        <v>0</v>
      </c>
      <c r="AF31" s="295">
        <v>17</v>
      </c>
      <c r="AG31" s="143"/>
      <c r="AH31" s="296">
        <f>17*125</f>
        <v>2125</v>
      </c>
      <c r="AI31" s="143">
        <v>5</v>
      </c>
      <c r="AJ31" s="143"/>
      <c r="AK31" s="298">
        <v>625</v>
      </c>
      <c r="AL31" s="143">
        <v>19</v>
      </c>
      <c r="AM31" s="143"/>
      <c r="AN31" s="298">
        <v>2375</v>
      </c>
      <c r="AO31" s="181"/>
      <c r="AP31" s="473"/>
      <c r="AQ31" s="486"/>
      <c r="AR31" s="181"/>
      <c r="AS31" s="181"/>
      <c r="AT31" s="491"/>
      <c r="AU31" s="495" t="s">
        <v>713</v>
      </c>
    </row>
    <row r="32" spans="1:47" ht="46.15" customHeight="1" x14ac:dyDescent="0.2">
      <c r="A32" s="261" t="s">
        <v>468</v>
      </c>
      <c r="B32" s="87"/>
      <c r="C32" s="88" t="s">
        <v>498</v>
      </c>
      <c r="D32" s="125"/>
      <c r="E32" s="89" t="s">
        <v>531</v>
      </c>
      <c r="F32" s="88"/>
      <c r="G32" s="89" t="s">
        <v>476</v>
      </c>
      <c r="H32" s="88"/>
      <c r="I32" s="111">
        <v>100</v>
      </c>
      <c r="J32" s="125"/>
      <c r="K32" s="88" t="s">
        <v>110</v>
      </c>
      <c r="L32" s="125"/>
      <c r="M32" s="88" t="s">
        <v>497</v>
      </c>
      <c r="N32" s="125"/>
      <c r="O32" s="125">
        <v>2016</v>
      </c>
      <c r="P32" s="129" t="s">
        <v>680</v>
      </c>
      <c r="Q32" s="125">
        <v>20</v>
      </c>
      <c r="R32" s="125"/>
      <c r="S32" s="106">
        <f>20*100</f>
        <v>2000</v>
      </c>
      <c r="T32" s="125"/>
      <c r="U32" s="114">
        <v>15</v>
      </c>
      <c r="V32" s="125"/>
      <c r="W32" s="119">
        <f>15*100</f>
        <v>1500</v>
      </c>
      <c r="X32" s="125"/>
      <c r="Y32" s="187">
        <v>17</v>
      </c>
      <c r="Z32" s="125"/>
      <c r="AA32" s="106">
        <f>17*100</f>
        <v>1700</v>
      </c>
      <c r="AB32" s="125"/>
      <c r="AC32" s="114">
        <v>28</v>
      </c>
      <c r="AD32" s="125"/>
      <c r="AE32" s="119">
        <f>28*100</f>
        <v>2800</v>
      </c>
      <c r="AF32" s="114">
        <v>24</v>
      </c>
      <c r="AG32" s="125"/>
      <c r="AH32" s="119">
        <f>24*100</f>
        <v>2400</v>
      </c>
      <c r="AI32" s="125">
        <v>33</v>
      </c>
      <c r="AJ32" s="125"/>
      <c r="AK32" s="106">
        <v>3300</v>
      </c>
      <c r="AL32" s="125">
        <v>23</v>
      </c>
      <c r="AM32" s="125"/>
      <c r="AN32" s="106">
        <v>2300</v>
      </c>
      <c r="AP32" s="470"/>
      <c r="AQ32" s="484">
        <v>1500</v>
      </c>
      <c r="AT32" s="489"/>
      <c r="AU32" s="478" t="s">
        <v>713</v>
      </c>
    </row>
    <row r="33" spans="1:47" ht="46.15" customHeight="1" x14ac:dyDescent="0.2">
      <c r="A33" s="261" t="s">
        <v>468</v>
      </c>
      <c r="B33" s="87"/>
      <c r="C33" s="88" t="s">
        <v>498</v>
      </c>
      <c r="D33" s="125"/>
      <c r="E33" s="89" t="s">
        <v>532</v>
      </c>
      <c r="F33" s="88"/>
      <c r="G33" s="89" t="s">
        <v>476</v>
      </c>
      <c r="H33" s="88"/>
      <c r="I33" s="111">
        <v>130</v>
      </c>
      <c r="J33" s="125"/>
      <c r="K33" s="88" t="s">
        <v>110</v>
      </c>
      <c r="L33" s="125"/>
      <c r="M33" s="88" t="s">
        <v>497</v>
      </c>
      <c r="N33" s="125"/>
      <c r="O33" s="125">
        <v>2011</v>
      </c>
      <c r="P33" s="129" t="s">
        <v>680</v>
      </c>
      <c r="Q33" s="125">
        <v>7</v>
      </c>
      <c r="R33" s="125"/>
      <c r="S33" s="106">
        <f>7*130</f>
        <v>910</v>
      </c>
      <c r="T33" s="125"/>
      <c r="U33" s="114">
        <v>0</v>
      </c>
      <c r="V33" s="125"/>
      <c r="W33" s="119">
        <v>0</v>
      </c>
      <c r="X33" s="125"/>
      <c r="Y33" s="187">
        <v>0</v>
      </c>
      <c r="Z33" s="125"/>
      <c r="AA33" s="106">
        <v>0</v>
      </c>
      <c r="AB33" s="125"/>
      <c r="AC33" s="114">
        <v>0</v>
      </c>
      <c r="AD33" s="125"/>
      <c r="AE33" s="119">
        <v>0</v>
      </c>
      <c r="AF33" s="114">
        <v>0</v>
      </c>
      <c r="AG33" s="125"/>
      <c r="AH33" s="119">
        <v>0</v>
      </c>
      <c r="AI33" s="114"/>
      <c r="AJ33" s="125"/>
      <c r="AK33" s="119"/>
      <c r="AL33" s="114"/>
      <c r="AM33" s="125"/>
      <c r="AN33" s="119"/>
      <c r="AO33" s="255"/>
      <c r="AP33" s="468"/>
      <c r="AQ33" s="482"/>
      <c r="AR33" s="255"/>
      <c r="AS33" s="255"/>
      <c r="AT33" s="487"/>
      <c r="AU33" s="477" t="s">
        <v>713</v>
      </c>
    </row>
    <row r="34" spans="1:47" ht="46.15" customHeight="1" x14ac:dyDescent="0.2">
      <c r="A34" s="261" t="s">
        <v>468</v>
      </c>
      <c r="B34" s="87"/>
      <c r="C34" s="88" t="s">
        <v>498</v>
      </c>
      <c r="D34" s="125"/>
      <c r="E34" s="89" t="s">
        <v>477</v>
      </c>
      <c r="F34" s="88"/>
      <c r="G34" s="89" t="s">
        <v>476</v>
      </c>
      <c r="H34" s="88"/>
      <c r="I34" s="111" t="s">
        <v>760</v>
      </c>
      <c r="J34" s="125"/>
      <c r="K34" s="88" t="s">
        <v>110</v>
      </c>
      <c r="L34" s="125"/>
      <c r="M34" s="88" t="s">
        <v>497</v>
      </c>
      <c r="N34" s="125"/>
      <c r="O34" s="125">
        <v>2016</v>
      </c>
      <c r="P34" s="129" t="s">
        <v>680</v>
      </c>
      <c r="Q34" s="125">
        <v>38</v>
      </c>
      <c r="R34" s="125"/>
      <c r="S34" s="106">
        <f>38*150</f>
        <v>5700</v>
      </c>
      <c r="T34" s="125"/>
      <c r="U34" s="114">
        <v>42</v>
      </c>
      <c r="V34" s="125"/>
      <c r="W34" s="119">
        <f>42*150</f>
        <v>6300</v>
      </c>
      <c r="X34" s="125"/>
      <c r="Y34" s="187">
        <v>31</v>
      </c>
      <c r="Z34" s="125"/>
      <c r="AA34" s="106">
        <f>31*150</f>
        <v>4650</v>
      </c>
      <c r="AB34" s="125"/>
      <c r="AC34" s="114">
        <v>37</v>
      </c>
      <c r="AD34" s="125"/>
      <c r="AE34" s="119">
        <f>37*125</f>
        <v>4625</v>
      </c>
      <c r="AF34" s="114">
        <v>54</v>
      </c>
      <c r="AG34" s="125"/>
      <c r="AH34" s="119">
        <f>54*125</f>
        <v>6750</v>
      </c>
      <c r="AI34" s="125">
        <v>48</v>
      </c>
      <c r="AJ34" s="125"/>
      <c r="AK34" s="106">
        <v>6000</v>
      </c>
      <c r="AL34" s="125">
        <v>35</v>
      </c>
      <c r="AM34" s="125"/>
      <c r="AN34" s="106">
        <v>5250</v>
      </c>
      <c r="AP34" s="470"/>
      <c r="AQ34" s="484">
        <v>3050</v>
      </c>
      <c r="AT34" s="489">
        <v>800</v>
      </c>
      <c r="AU34" s="478" t="s">
        <v>713</v>
      </c>
    </row>
    <row r="35" spans="1:47" ht="46.15" customHeight="1" x14ac:dyDescent="0.2">
      <c r="A35" s="261" t="s">
        <v>468</v>
      </c>
      <c r="B35" s="87"/>
      <c r="C35" s="88" t="s">
        <v>498</v>
      </c>
      <c r="D35" s="125"/>
      <c r="E35" s="89" t="s">
        <v>533</v>
      </c>
      <c r="F35" s="88"/>
      <c r="G35" s="89" t="s">
        <v>476</v>
      </c>
      <c r="H35" s="88"/>
      <c r="I35" s="111" t="s">
        <v>521</v>
      </c>
      <c r="J35" s="125"/>
      <c r="K35" s="88" t="s">
        <v>110</v>
      </c>
      <c r="L35" s="125"/>
      <c r="M35" s="88" t="s">
        <v>497</v>
      </c>
      <c r="N35" s="125"/>
      <c r="O35" s="125">
        <v>2011</v>
      </c>
      <c r="P35" s="129" t="s">
        <v>680</v>
      </c>
      <c r="Q35" s="125">
        <v>0</v>
      </c>
      <c r="R35" s="125"/>
      <c r="S35" s="106">
        <v>0</v>
      </c>
      <c r="T35" s="125"/>
      <c r="U35" s="114">
        <v>0</v>
      </c>
      <c r="V35" s="125"/>
      <c r="W35" s="119">
        <v>0</v>
      </c>
      <c r="X35" s="125"/>
      <c r="Y35" s="187">
        <v>0</v>
      </c>
      <c r="Z35" s="125"/>
      <c r="AA35" s="106">
        <v>0</v>
      </c>
      <c r="AB35" s="125"/>
      <c r="AC35" s="114">
        <v>0</v>
      </c>
      <c r="AD35" s="125"/>
      <c r="AE35" s="119">
        <v>0</v>
      </c>
      <c r="AF35" s="114">
        <v>0</v>
      </c>
      <c r="AG35" s="125"/>
      <c r="AH35" s="119">
        <v>0</v>
      </c>
      <c r="AI35" s="125"/>
      <c r="AJ35" s="125"/>
      <c r="AK35" s="106"/>
      <c r="AL35" s="125">
        <v>0</v>
      </c>
      <c r="AM35" s="125"/>
      <c r="AN35" s="106"/>
      <c r="AO35" s="255"/>
      <c r="AP35" s="468"/>
      <c r="AQ35" s="482"/>
      <c r="AR35" s="255"/>
      <c r="AS35" s="255"/>
      <c r="AT35" s="487"/>
      <c r="AU35" s="477" t="s">
        <v>713</v>
      </c>
    </row>
    <row r="36" spans="1:47" ht="46.15" customHeight="1" x14ac:dyDescent="0.2">
      <c r="A36" s="261" t="s">
        <v>468</v>
      </c>
      <c r="B36" s="87"/>
      <c r="C36" s="88" t="s">
        <v>498</v>
      </c>
      <c r="D36" s="125"/>
      <c r="E36" s="89" t="s">
        <v>534</v>
      </c>
      <c r="F36" s="88"/>
      <c r="G36" s="89" t="s">
        <v>476</v>
      </c>
      <c r="H36" s="88"/>
      <c r="I36" s="111" t="s">
        <v>521</v>
      </c>
      <c r="J36" s="125"/>
      <c r="K36" s="88" t="s">
        <v>110</v>
      </c>
      <c r="L36" s="125"/>
      <c r="M36" s="88" t="s">
        <v>497</v>
      </c>
      <c r="N36" s="125"/>
      <c r="O36" s="125">
        <v>2011</v>
      </c>
      <c r="P36" s="129" t="s">
        <v>680</v>
      </c>
      <c r="Q36" s="125">
        <v>0</v>
      </c>
      <c r="R36" s="125"/>
      <c r="S36" s="106">
        <v>0</v>
      </c>
      <c r="T36" s="125"/>
      <c r="U36" s="114">
        <v>0</v>
      </c>
      <c r="V36" s="125"/>
      <c r="W36" s="119">
        <v>0</v>
      </c>
      <c r="X36" s="125"/>
      <c r="Y36" s="187">
        <v>0</v>
      </c>
      <c r="Z36" s="125"/>
      <c r="AA36" s="106">
        <v>0</v>
      </c>
      <c r="AB36" s="125"/>
      <c r="AC36" s="114">
        <v>0</v>
      </c>
      <c r="AD36" s="125"/>
      <c r="AE36" s="119">
        <v>0</v>
      </c>
      <c r="AF36" s="114">
        <v>0</v>
      </c>
      <c r="AG36" s="125"/>
      <c r="AH36" s="119">
        <v>0</v>
      </c>
      <c r="AI36" s="125"/>
      <c r="AJ36" s="125"/>
      <c r="AK36" s="106"/>
      <c r="AL36" s="125"/>
      <c r="AM36" s="125"/>
      <c r="AN36" s="106"/>
      <c r="AP36" s="470"/>
      <c r="AQ36" s="484"/>
      <c r="AT36" s="489"/>
      <c r="AU36" s="478" t="s">
        <v>713</v>
      </c>
    </row>
    <row r="37" spans="1:47" ht="46.15" customHeight="1" x14ac:dyDescent="0.2">
      <c r="A37" s="261" t="s">
        <v>468</v>
      </c>
      <c r="B37" s="87"/>
      <c r="C37" s="88" t="s">
        <v>498</v>
      </c>
      <c r="D37" s="125"/>
      <c r="E37" s="89" t="s">
        <v>478</v>
      </c>
      <c r="F37" s="88"/>
      <c r="G37" s="89" t="s">
        <v>476</v>
      </c>
      <c r="H37" s="88"/>
      <c r="I37" s="111">
        <v>195</v>
      </c>
      <c r="J37" s="125"/>
      <c r="K37" s="88" t="s">
        <v>110</v>
      </c>
      <c r="L37" s="125"/>
      <c r="M37" s="88" t="s">
        <v>497</v>
      </c>
      <c r="N37" s="125"/>
      <c r="O37" s="125">
        <v>2011</v>
      </c>
      <c r="P37" s="129" t="s">
        <v>680</v>
      </c>
      <c r="Q37" s="125">
        <v>0</v>
      </c>
      <c r="R37" s="125"/>
      <c r="S37" s="106">
        <v>0</v>
      </c>
      <c r="T37" s="125"/>
      <c r="U37" s="114">
        <v>6</v>
      </c>
      <c r="V37" s="125"/>
      <c r="W37" s="119">
        <f>6*195</f>
        <v>1170</v>
      </c>
      <c r="X37" s="125"/>
      <c r="Y37" s="187">
        <v>0</v>
      </c>
      <c r="Z37" s="125"/>
      <c r="AA37" s="106">
        <v>0</v>
      </c>
      <c r="AB37" s="125"/>
      <c r="AC37" s="114">
        <v>0</v>
      </c>
      <c r="AD37" s="125"/>
      <c r="AE37" s="119">
        <v>0</v>
      </c>
      <c r="AF37" s="114">
        <v>0</v>
      </c>
      <c r="AG37" s="125"/>
      <c r="AH37" s="119">
        <v>0</v>
      </c>
      <c r="AI37" s="125"/>
      <c r="AJ37" s="125"/>
      <c r="AK37" s="106"/>
      <c r="AL37" s="125"/>
      <c r="AM37" s="125"/>
      <c r="AN37" s="106"/>
      <c r="AO37" s="255"/>
      <c r="AP37" s="468"/>
      <c r="AQ37" s="482"/>
      <c r="AR37" s="255"/>
      <c r="AS37" s="255"/>
      <c r="AT37" s="487"/>
      <c r="AU37" s="477" t="s">
        <v>713</v>
      </c>
    </row>
    <row r="38" spans="1:47" ht="46.15" customHeight="1" x14ac:dyDescent="0.2">
      <c r="A38" s="261" t="s">
        <v>468</v>
      </c>
      <c r="B38" s="87"/>
      <c r="C38" s="88" t="s">
        <v>498</v>
      </c>
      <c r="D38" s="125"/>
      <c r="E38" s="89" t="s">
        <v>479</v>
      </c>
      <c r="F38" s="88"/>
      <c r="G38" s="89" t="s">
        <v>476</v>
      </c>
      <c r="H38" s="88"/>
      <c r="I38" s="111" t="s">
        <v>732</v>
      </c>
      <c r="J38" s="125"/>
      <c r="K38" s="88" t="s">
        <v>110</v>
      </c>
      <c r="L38" s="125"/>
      <c r="M38" s="88" t="s">
        <v>497</v>
      </c>
      <c r="N38" s="125"/>
      <c r="O38" s="125">
        <v>2016</v>
      </c>
      <c r="P38" s="129" t="s">
        <v>680</v>
      </c>
      <c r="Q38" s="88" t="s">
        <v>503</v>
      </c>
      <c r="R38" s="125"/>
      <c r="S38" s="106">
        <f>(30*100)+(6*190)</f>
        <v>4140</v>
      </c>
      <c r="T38" s="125"/>
      <c r="U38" s="115">
        <v>45</v>
      </c>
      <c r="V38" s="125"/>
      <c r="W38" s="119">
        <f>(31*100)+(14*15)</f>
        <v>3310</v>
      </c>
      <c r="X38" s="125"/>
      <c r="Y38" s="188">
        <v>33</v>
      </c>
      <c r="Z38" s="125"/>
      <c r="AA38" s="106">
        <f>33*15</f>
        <v>495</v>
      </c>
      <c r="AB38" s="125"/>
      <c r="AC38" s="115">
        <v>69</v>
      </c>
      <c r="AD38" s="125"/>
      <c r="AE38" s="119">
        <f>69*15</f>
        <v>1035</v>
      </c>
      <c r="AF38" s="115">
        <v>8</v>
      </c>
      <c r="AG38" s="125"/>
      <c r="AH38" s="119">
        <f>8*15</f>
        <v>120</v>
      </c>
      <c r="AI38" s="125">
        <v>0</v>
      </c>
      <c r="AJ38" s="125"/>
      <c r="AK38" s="106"/>
      <c r="AL38" s="125">
        <v>17</v>
      </c>
      <c r="AM38" s="125"/>
      <c r="AN38" s="106">
        <v>255</v>
      </c>
      <c r="AP38" s="470"/>
      <c r="AQ38" s="484">
        <f>1035+255</f>
        <v>1290</v>
      </c>
      <c r="AT38" s="489">
        <v>715</v>
      </c>
      <c r="AU38" s="478" t="s">
        <v>713</v>
      </c>
    </row>
    <row r="39" spans="1:47" ht="46.15" customHeight="1" x14ac:dyDescent="0.2">
      <c r="A39" s="261" t="s">
        <v>468</v>
      </c>
      <c r="B39" s="87"/>
      <c r="C39" s="88" t="s">
        <v>498</v>
      </c>
      <c r="D39" s="125"/>
      <c r="E39" s="89" t="s">
        <v>480</v>
      </c>
      <c r="F39" s="88"/>
      <c r="G39" s="89" t="s">
        <v>476</v>
      </c>
      <c r="H39" s="88"/>
      <c r="I39" s="111" t="s">
        <v>733</v>
      </c>
      <c r="J39" s="125"/>
      <c r="K39" s="88" t="s">
        <v>110</v>
      </c>
      <c r="L39" s="125"/>
      <c r="M39" s="88" t="s">
        <v>497</v>
      </c>
      <c r="N39" s="125"/>
      <c r="O39" s="125">
        <v>2016</v>
      </c>
      <c r="P39" s="129" t="s">
        <v>680</v>
      </c>
      <c r="Q39" s="125">
        <v>0</v>
      </c>
      <c r="R39" s="125"/>
      <c r="S39" s="106">
        <v>0</v>
      </c>
      <c r="T39" s="125"/>
      <c r="U39" s="114">
        <v>16</v>
      </c>
      <c r="V39" s="125"/>
      <c r="W39" s="119">
        <f>16*150</f>
        <v>2400</v>
      </c>
      <c r="X39" s="125"/>
      <c r="Y39" s="187">
        <v>0</v>
      </c>
      <c r="Z39" s="125"/>
      <c r="AA39" s="106">
        <v>0</v>
      </c>
      <c r="AB39" s="125"/>
      <c r="AC39" s="114">
        <v>18</v>
      </c>
      <c r="AD39" s="125"/>
      <c r="AE39" s="119">
        <f>18*200</f>
        <v>3600</v>
      </c>
      <c r="AF39" s="114">
        <v>0</v>
      </c>
      <c r="AG39" s="125"/>
      <c r="AH39" s="119">
        <v>0</v>
      </c>
      <c r="AI39" s="125">
        <v>11</v>
      </c>
      <c r="AJ39" s="125"/>
      <c r="AK39" s="106">
        <v>2750</v>
      </c>
      <c r="AL39" s="125">
        <v>0</v>
      </c>
      <c r="AM39" s="125"/>
      <c r="AN39" s="106"/>
      <c r="AO39" s="255"/>
      <c r="AP39" s="468"/>
      <c r="AQ39" s="482"/>
      <c r="AR39" s="255"/>
      <c r="AS39" s="255"/>
      <c r="AT39" s="487"/>
      <c r="AU39" s="477" t="s">
        <v>713</v>
      </c>
    </row>
    <row r="40" spans="1:47" ht="46.15" customHeight="1" x14ac:dyDescent="0.2">
      <c r="A40" s="261" t="s">
        <v>468</v>
      </c>
      <c r="B40" s="87"/>
      <c r="C40" s="88" t="s">
        <v>498</v>
      </c>
      <c r="D40" s="125"/>
      <c r="E40" s="89" t="s">
        <v>535</v>
      </c>
      <c r="F40" s="88"/>
      <c r="G40" s="89" t="s">
        <v>476</v>
      </c>
      <c r="H40" s="88"/>
      <c r="I40" s="111">
        <v>110</v>
      </c>
      <c r="J40" s="125"/>
      <c r="K40" s="88" t="s">
        <v>110</v>
      </c>
      <c r="L40" s="125"/>
      <c r="M40" s="88" t="s">
        <v>497</v>
      </c>
      <c r="N40" s="125"/>
      <c r="O40" s="125">
        <v>2011</v>
      </c>
      <c r="P40" s="129" t="s">
        <v>680</v>
      </c>
      <c r="Q40" s="125">
        <v>18</v>
      </c>
      <c r="R40" s="125"/>
      <c r="S40" s="106">
        <f>18*110</f>
        <v>1980</v>
      </c>
      <c r="T40" s="125"/>
      <c r="U40" s="114">
        <v>0</v>
      </c>
      <c r="V40" s="125"/>
      <c r="W40" s="119">
        <v>0</v>
      </c>
      <c r="X40" s="125"/>
      <c r="Y40" s="187">
        <v>0</v>
      </c>
      <c r="Z40" s="125"/>
      <c r="AA40" s="106">
        <v>0</v>
      </c>
      <c r="AB40" s="125"/>
      <c r="AC40" s="114">
        <v>0</v>
      </c>
      <c r="AD40" s="125"/>
      <c r="AE40" s="119">
        <v>0</v>
      </c>
      <c r="AF40" s="114">
        <v>0</v>
      </c>
      <c r="AG40" s="125"/>
      <c r="AH40" s="119">
        <v>0</v>
      </c>
      <c r="AI40" s="114"/>
      <c r="AJ40" s="125"/>
      <c r="AK40" s="119"/>
      <c r="AL40" s="114"/>
      <c r="AM40" s="125"/>
      <c r="AN40" s="119"/>
      <c r="AP40" s="470"/>
      <c r="AQ40" s="484"/>
      <c r="AT40" s="489"/>
      <c r="AU40" s="478" t="s">
        <v>713</v>
      </c>
    </row>
    <row r="41" spans="1:47" ht="46.15" customHeight="1" x14ac:dyDescent="0.2">
      <c r="A41" s="261" t="s">
        <v>468</v>
      </c>
      <c r="B41" s="87"/>
      <c r="C41" s="88" t="s">
        <v>498</v>
      </c>
      <c r="D41" s="125"/>
      <c r="E41" s="89" t="s">
        <v>536</v>
      </c>
      <c r="F41" s="88"/>
      <c r="G41" s="89" t="s">
        <v>476</v>
      </c>
      <c r="H41" s="88"/>
      <c r="I41" s="111">
        <v>40</v>
      </c>
      <c r="J41" s="125"/>
      <c r="K41" s="88" t="s">
        <v>110</v>
      </c>
      <c r="L41" s="125"/>
      <c r="M41" s="88" t="s">
        <v>497</v>
      </c>
      <c r="N41" s="125"/>
      <c r="O41" s="125">
        <v>2011</v>
      </c>
      <c r="P41" s="129" t="s">
        <v>680</v>
      </c>
      <c r="Q41" s="125">
        <v>13</v>
      </c>
      <c r="R41" s="125"/>
      <c r="S41" s="106">
        <f>13*40</f>
        <v>520</v>
      </c>
      <c r="T41" s="125"/>
      <c r="U41" s="114">
        <v>0</v>
      </c>
      <c r="V41" s="125"/>
      <c r="W41" s="119">
        <v>0</v>
      </c>
      <c r="X41" s="125"/>
      <c r="Y41" s="187">
        <v>0</v>
      </c>
      <c r="Z41" s="125"/>
      <c r="AA41" s="106">
        <v>0</v>
      </c>
      <c r="AB41" s="125"/>
      <c r="AC41" s="114">
        <v>13</v>
      </c>
      <c r="AD41" s="125"/>
      <c r="AE41" s="119">
        <f>13*85</f>
        <v>1105</v>
      </c>
      <c r="AF41" s="114">
        <v>0</v>
      </c>
      <c r="AG41" s="125"/>
      <c r="AH41" s="119">
        <v>0</v>
      </c>
      <c r="AI41" s="114"/>
      <c r="AJ41" s="125"/>
      <c r="AK41" s="119"/>
      <c r="AL41" s="114"/>
      <c r="AM41" s="125"/>
      <c r="AN41" s="119"/>
      <c r="AO41" s="255"/>
      <c r="AP41" s="468"/>
      <c r="AQ41" s="482"/>
      <c r="AR41" s="255"/>
      <c r="AS41" s="255"/>
      <c r="AT41" s="487"/>
      <c r="AU41" s="477" t="s">
        <v>713</v>
      </c>
    </row>
    <row r="42" spans="1:47" ht="46.15" customHeight="1" x14ac:dyDescent="0.2">
      <c r="A42" s="261" t="s">
        <v>468</v>
      </c>
      <c r="B42" s="87"/>
      <c r="C42" s="88" t="s">
        <v>498</v>
      </c>
      <c r="D42" s="125"/>
      <c r="E42" s="89" t="s">
        <v>764</v>
      </c>
      <c r="F42" s="88"/>
      <c r="G42" s="89" t="s">
        <v>476</v>
      </c>
      <c r="H42" s="88"/>
      <c r="I42" s="111">
        <v>150</v>
      </c>
      <c r="J42" s="125"/>
      <c r="K42" s="88" t="s">
        <v>110</v>
      </c>
      <c r="L42" s="125"/>
      <c r="M42" s="88" t="s">
        <v>497</v>
      </c>
      <c r="N42" s="125"/>
      <c r="O42" s="125">
        <v>2011</v>
      </c>
      <c r="P42" s="129" t="s">
        <v>680</v>
      </c>
      <c r="Q42" s="125">
        <v>7</v>
      </c>
      <c r="R42" s="125"/>
      <c r="S42" s="106">
        <f>7*150</f>
        <v>1050</v>
      </c>
      <c r="T42" s="125"/>
      <c r="U42" s="114">
        <v>4</v>
      </c>
      <c r="V42" s="125"/>
      <c r="W42" s="119">
        <f>4*150</f>
        <v>600</v>
      </c>
      <c r="X42" s="125"/>
      <c r="Y42" s="187">
        <v>0</v>
      </c>
      <c r="Z42" s="125">
        <v>0</v>
      </c>
      <c r="AA42" s="106">
        <v>0</v>
      </c>
      <c r="AB42" s="125"/>
      <c r="AC42" s="114">
        <v>5</v>
      </c>
      <c r="AD42" s="125"/>
      <c r="AE42" s="119">
        <f>5*150</f>
        <v>750</v>
      </c>
      <c r="AF42" s="114">
        <v>3</v>
      </c>
      <c r="AG42" s="125"/>
      <c r="AH42" s="119">
        <f>3*150</f>
        <v>450</v>
      </c>
      <c r="AI42" s="114"/>
      <c r="AJ42" s="125"/>
      <c r="AK42" s="119"/>
      <c r="AL42" s="114"/>
      <c r="AM42" s="125"/>
      <c r="AN42" s="119"/>
      <c r="AP42" s="470"/>
      <c r="AQ42" s="484"/>
      <c r="AT42" s="489"/>
      <c r="AU42" s="478" t="s">
        <v>713</v>
      </c>
    </row>
    <row r="43" spans="1:47" ht="46.15" customHeight="1" x14ac:dyDescent="0.2">
      <c r="A43" s="261" t="s">
        <v>468</v>
      </c>
      <c r="B43" s="87"/>
      <c r="C43" s="88" t="s">
        <v>498</v>
      </c>
      <c r="D43" s="125"/>
      <c r="E43" s="89" t="s">
        <v>537</v>
      </c>
      <c r="F43" s="88"/>
      <c r="G43" s="89" t="s">
        <v>476</v>
      </c>
      <c r="H43" s="88"/>
      <c r="I43" s="111" t="s">
        <v>538</v>
      </c>
      <c r="J43" s="125"/>
      <c r="K43" s="88" t="s">
        <v>110</v>
      </c>
      <c r="L43" s="125"/>
      <c r="M43" s="88" t="s">
        <v>497</v>
      </c>
      <c r="N43" s="125"/>
      <c r="O43" s="125">
        <v>2011</v>
      </c>
      <c r="P43" s="129" t="s">
        <v>680</v>
      </c>
      <c r="Q43" s="88">
        <v>11</v>
      </c>
      <c r="R43" s="125"/>
      <c r="S43" s="112">
        <f>11*180</f>
        <v>1980</v>
      </c>
      <c r="T43" s="125"/>
      <c r="U43" s="125">
        <v>0</v>
      </c>
      <c r="V43" s="125"/>
      <c r="W43" s="106">
        <v>0</v>
      </c>
      <c r="X43" s="125"/>
      <c r="Y43" s="188">
        <v>14</v>
      </c>
      <c r="Z43" s="125"/>
      <c r="AA43" s="112">
        <f>14*180</f>
        <v>2520</v>
      </c>
      <c r="AB43" s="125"/>
      <c r="AC43" s="125">
        <v>6</v>
      </c>
      <c r="AD43" s="125"/>
      <c r="AE43" s="106">
        <f>6*250</f>
        <v>1500</v>
      </c>
      <c r="AF43" s="125">
        <v>0</v>
      </c>
      <c r="AG43" s="125"/>
      <c r="AH43" s="106">
        <v>0</v>
      </c>
      <c r="AI43" s="125"/>
      <c r="AJ43" s="125"/>
      <c r="AK43" s="106"/>
      <c r="AL43" s="125"/>
      <c r="AM43" s="125"/>
      <c r="AN43" s="106"/>
      <c r="AO43" s="255"/>
      <c r="AP43" s="468"/>
      <c r="AQ43" s="482">
        <v>650</v>
      </c>
      <c r="AR43" s="255"/>
      <c r="AS43" s="255"/>
      <c r="AT43" s="487">
        <v>825</v>
      </c>
      <c r="AU43" s="477" t="s">
        <v>713</v>
      </c>
    </row>
    <row r="44" spans="1:47" ht="46.15" customHeight="1" x14ac:dyDescent="0.2">
      <c r="A44" s="261" t="s">
        <v>468</v>
      </c>
      <c r="B44" s="87"/>
      <c r="C44" s="88" t="s">
        <v>498</v>
      </c>
      <c r="D44" s="125"/>
      <c r="E44" s="89" t="s">
        <v>481</v>
      </c>
      <c r="F44" s="88"/>
      <c r="G44" s="89" t="s">
        <v>476</v>
      </c>
      <c r="H44" s="88"/>
      <c r="I44" s="111" t="s">
        <v>504</v>
      </c>
      <c r="J44" s="125"/>
      <c r="K44" s="88" t="s">
        <v>110</v>
      </c>
      <c r="L44" s="125"/>
      <c r="M44" s="88" t="s">
        <v>497</v>
      </c>
      <c r="N44" s="125"/>
      <c r="O44" s="125">
        <v>2011</v>
      </c>
      <c r="P44" s="129" t="s">
        <v>680</v>
      </c>
      <c r="Q44" s="125">
        <v>7</v>
      </c>
      <c r="R44" s="125"/>
      <c r="S44" s="106">
        <f>7*270</f>
        <v>1890</v>
      </c>
      <c r="T44" s="125"/>
      <c r="U44" s="114">
        <v>13</v>
      </c>
      <c r="V44" s="125"/>
      <c r="W44" s="119">
        <f>13*275</f>
        <v>3575</v>
      </c>
      <c r="X44" s="125"/>
      <c r="Y44" s="187">
        <v>4</v>
      </c>
      <c r="Z44" s="125"/>
      <c r="AA44" s="106">
        <f>4*250</f>
        <v>1000</v>
      </c>
      <c r="AB44" s="125"/>
      <c r="AC44" s="114">
        <v>0</v>
      </c>
      <c r="AD44" s="125"/>
      <c r="AE44" s="119">
        <v>0</v>
      </c>
      <c r="AF44" s="114">
        <v>13</v>
      </c>
      <c r="AG44" s="125"/>
      <c r="AH44" s="119">
        <f>13*250</f>
        <v>3250</v>
      </c>
      <c r="AI44" s="114"/>
      <c r="AJ44" s="125"/>
      <c r="AK44" s="119"/>
      <c r="AL44" s="114"/>
      <c r="AM44" s="125"/>
      <c r="AN44" s="119"/>
      <c r="AP44" s="470"/>
      <c r="AQ44" s="484"/>
      <c r="AT44" s="489"/>
      <c r="AU44" s="478" t="s">
        <v>713</v>
      </c>
    </row>
    <row r="45" spans="1:47" ht="46.15" customHeight="1" x14ac:dyDescent="0.2">
      <c r="A45" s="261" t="s">
        <v>468</v>
      </c>
      <c r="B45" s="125"/>
      <c r="C45" s="88" t="s">
        <v>498</v>
      </c>
      <c r="D45" s="125"/>
      <c r="E45" s="89" t="s">
        <v>482</v>
      </c>
      <c r="F45" s="88"/>
      <c r="G45" s="89" t="s">
        <v>476</v>
      </c>
      <c r="H45" s="88"/>
      <c r="I45" s="111">
        <v>75</v>
      </c>
      <c r="J45" s="125"/>
      <c r="K45" s="88" t="s">
        <v>110</v>
      </c>
      <c r="L45" s="125"/>
      <c r="M45" s="88" t="s">
        <v>497</v>
      </c>
      <c r="N45" s="125"/>
      <c r="O45" s="125">
        <v>2011</v>
      </c>
      <c r="P45" s="129" t="s">
        <v>680</v>
      </c>
      <c r="Q45" s="125">
        <v>20</v>
      </c>
      <c r="R45" s="125"/>
      <c r="S45" s="106">
        <f>20*75</f>
        <v>1500</v>
      </c>
      <c r="T45" s="125"/>
      <c r="U45" s="114">
        <v>19</v>
      </c>
      <c r="V45" s="125"/>
      <c r="W45" s="119">
        <f>19*75</f>
        <v>1425</v>
      </c>
      <c r="X45" s="125"/>
      <c r="Y45" s="187">
        <v>0</v>
      </c>
      <c r="Z45" s="125"/>
      <c r="AA45" s="106">
        <v>0</v>
      </c>
      <c r="AB45" s="125"/>
      <c r="AC45" s="114">
        <v>0</v>
      </c>
      <c r="AD45" s="125"/>
      <c r="AE45" s="119">
        <v>0</v>
      </c>
      <c r="AF45" s="114">
        <v>0</v>
      </c>
      <c r="AG45" s="125"/>
      <c r="AH45" s="119">
        <v>0</v>
      </c>
      <c r="AI45" s="114"/>
      <c r="AJ45" s="125"/>
      <c r="AK45" s="119"/>
      <c r="AL45" s="114"/>
      <c r="AM45" s="125"/>
      <c r="AN45" s="119"/>
      <c r="AO45" s="255"/>
      <c r="AP45" s="468"/>
      <c r="AQ45" s="482"/>
      <c r="AR45" s="255"/>
      <c r="AS45" s="255"/>
      <c r="AT45" s="487"/>
      <c r="AU45" s="477" t="s">
        <v>713</v>
      </c>
    </row>
    <row r="46" spans="1:47" ht="46.15" customHeight="1" x14ac:dyDescent="0.2">
      <c r="A46" s="261" t="s">
        <v>468</v>
      </c>
      <c r="B46" s="125"/>
      <c r="C46" s="88" t="s">
        <v>498</v>
      </c>
      <c r="D46" s="125"/>
      <c r="E46" s="89" t="s">
        <v>539</v>
      </c>
      <c r="F46" s="88"/>
      <c r="G46" s="89" t="s">
        <v>476</v>
      </c>
      <c r="H46" s="88"/>
      <c r="I46" s="111" t="s">
        <v>521</v>
      </c>
      <c r="J46" s="125"/>
      <c r="K46" s="88" t="s">
        <v>110</v>
      </c>
      <c r="L46" s="125"/>
      <c r="M46" s="88" t="s">
        <v>497</v>
      </c>
      <c r="N46" s="125"/>
      <c r="O46" s="125">
        <v>2011</v>
      </c>
      <c r="P46" s="140" t="s">
        <v>680</v>
      </c>
      <c r="Q46" s="143">
        <v>0</v>
      </c>
      <c r="R46" s="143"/>
      <c r="S46" s="298">
        <v>0</v>
      </c>
      <c r="T46" s="143"/>
      <c r="U46" s="295">
        <v>0</v>
      </c>
      <c r="V46" s="143"/>
      <c r="W46" s="296">
        <v>0</v>
      </c>
      <c r="X46" s="143"/>
      <c r="Y46" s="247">
        <v>0</v>
      </c>
      <c r="Z46" s="143"/>
      <c r="AA46" s="298" t="s">
        <v>637</v>
      </c>
      <c r="AB46" s="143"/>
      <c r="AC46" s="295">
        <v>0</v>
      </c>
      <c r="AD46" s="143"/>
      <c r="AE46" s="296">
        <v>0</v>
      </c>
      <c r="AF46" s="295">
        <v>0</v>
      </c>
      <c r="AG46" s="143"/>
      <c r="AH46" s="296">
        <v>0</v>
      </c>
      <c r="AI46" s="143">
        <v>28</v>
      </c>
      <c r="AJ46" s="143"/>
      <c r="AK46" s="298">
        <v>0</v>
      </c>
      <c r="AL46" s="295"/>
      <c r="AM46" s="143"/>
      <c r="AN46" s="296"/>
      <c r="AP46" s="470"/>
      <c r="AQ46" s="484"/>
      <c r="AT46" s="489"/>
      <c r="AU46" s="478" t="s">
        <v>713</v>
      </c>
    </row>
    <row r="47" spans="1:47" ht="46.15" customHeight="1" x14ac:dyDescent="0.2">
      <c r="A47" s="261" t="s">
        <v>468</v>
      </c>
      <c r="B47" s="125"/>
      <c r="C47" s="88" t="s">
        <v>498</v>
      </c>
      <c r="D47" s="125"/>
      <c r="E47" s="89" t="s">
        <v>483</v>
      </c>
      <c r="F47" s="88"/>
      <c r="G47" s="89" t="s">
        <v>476</v>
      </c>
      <c r="H47" s="88"/>
      <c r="I47" s="111">
        <v>50</v>
      </c>
      <c r="J47" s="125"/>
      <c r="K47" s="88" t="s">
        <v>110</v>
      </c>
      <c r="L47" s="125"/>
      <c r="M47" s="88" t="s">
        <v>497</v>
      </c>
      <c r="N47" s="125"/>
      <c r="O47" s="125">
        <v>2011</v>
      </c>
      <c r="P47" s="129" t="s">
        <v>680</v>
      </c>
      <c r="Q47" s="125">
        <v>0</v>
      </c>
      <c r="R47" s="125"/>
      <c r="S47" s="106">
        <v>0</v>
      </c>
      <c r="T47" s="125"/>
      <c r="U47" s="114">
        <v>20</v>
      </c>
      <c r="V47" s="125"/>
      <c r="W47" s="119">
        <f>20*50</f>
        <v>1000</v>
      </c>
      <c r="X47" s="125"/>
      <c r="Y47" s="187">
        <v>0</v>
      </c>
      <c r="Z47" s="125"/>
      <c r="AA47" s="106">
        <v>0</v>
      </c>
      <c r="AB47" s="125"/>
      <c r="AC47" s="114">
        <v>0</v>
      </c>
      <c r="AD47" s="125"/>
      <c r="AE47" s="119">
        <v>0</v>
      </c>
      <c r="AF47" s="114">
        <v>0</v>
      </c>
      <c r="AG47" s="125"/>
      <c r="AH47" s="119">
        <v>0</v>
      </c>
      <c r="AI47" s="114"/>
      <c r="AJ47" s="125"/>
      <c r="AK47" s="119"/>
      <c r="AL47" s="114"/>
      <c r="AM47" s="125"/>
      <c r="AN47" s="119"/>
      <c r="AO47" s="255"/>
      <c r="AP47" s="468"/>
      <c r="AQ47" s="482"/>
      <c r="AR47" s="255"/>
      <c r="AS47" s="255"/>
      <c r="AT47" s="487"/>
      <c r="AU47" s="477" t="s">
        <v>713</v>
      </c>
    </row>
    <row r="48" spans="1:47" ht="46.15" customHeight="1" x14ac:dyDescent="0.2">
      <c r="A48" s="261"/>
      <c r="B48" s="125"/>
      <c r="C48" s="88"/>
      <c r="D48" s="125"/>
      <c r="E48" s="89" t="s">
        <v>641</v>
      </c>
      <c r="F48" s="88"/>
      <c r="G48" s="89" t="s">
        <v>476</v>
      </c>
      <c r="H48" s="88"/>
      <c r="I48" s="111" t="s">
        <v>637</v>
      </c>
      <c r="J48" s="125"/>
      <c r="K48" s="88" t="s">
        <v>110</v>
      </c>
      <c r="L48" s="125"/>
      <c r="M48" s="88" t="s">
        <v>497</v>
      </c>
      <c r="N48" s="125"/>
      <c r="O48" s="125"/>
      <c r="P48" s="129" t="s">
        <v>680</v>
      </c>
      <c r="Q48" s="125">
        <v>0</v>
      </c>
      <c r="R48" s="125"/>
      <c r="S48" s="106">
        <v>0</v>
      </c>
      <c r="T48" s="125"/>
      <c r="U48" s="114">
        <v>0</v>
      </c>
      <c r="V48" s="125"/>
      <c r="W48" s="119">
        <v>0</v>
      </c>
      <c r="X48" s="125"/>
      <c r="Y48" s="187">
        <v>0</v>
      </c>
      <c r="Z48" s="125"/>
      <c r="AA48" s="106">
        <v>0</v>
      </c>
      <c r="AB48" s="125"/>
      <c r="AC48" s="114">
        <v>0</v>
      </c>
      <c r="AD48" s="125"/>
      <c r="AE48" s="119">
        <v>0</v>
      </c>
      <c r="AF48" s="114">
        <v>50</v>
      </c>
      <c r="AG48" s="125"/>
      <c r="AH48" s="119">
        <f>50*225</f>
        <v>11250</v>
      </c>
      <c r="AI48" s="114"/>
      <c r="AJ48" s="125"/>
      <c r="AK48" s="119"/>
      <c r="AL48" s="114"/>
      <c r="AM48" s="125"/>
      <c r="AN48" s="119"/>
      <c r="AP48" s="470">
        <v>19</v>
      </c>
      <c r="AQ48" s="484">
        <v>1710</v>
      </c>
      <c r="AT48" s="489"/>
      <c r="AU48" s="478" t="s">
        <v>713</v>
      </c>
    </row>
    <row r="49" spans="1:47" ht="46.15" customHeight="1" x14ac:dyDescent="0.2">
      <c r="A49" s="261" t="s">
        <v>468</v>
      </c>
      <c r="B49" s="125"/>
      <c r="C49" s="88" t="s">
        <v>498</v>
      </c>
      <c r="D49" s="125"/>
      <c r="E49" s="89" t="s">
        <v>540</v>
      </c>
      <c r="F49" s="88"/>
      <c r="G49" s="89" t="s">
        <v>476</v>
      </c>
      <c r="H49" s="88"/>
      <c r="I49" s="111">
        <v>295</v>
      </c>
      <c r="J49" s="125"/>
      <c r="K49" s="88" t="s">
        <v>110</v>
      </c>
      <c r="L49" s="125"/>
      <c r="M49" s="88" t="s">
        <v>497</v>
      </c>
      <c r="N49" s="125"/>
      <c r="O49" s="125">
        <v>2011</v>
      </c>
      <c r="P49" s="129" t="s">
        <v>680</v>
      </c>
      <c r="Q49" s="125">
        <v>23</v>
      </c>
      <c r="R49" s="125"/>
      <c r="S49" s="106">
        <f>23*295</f>
        <v>6785</v>
      </c>
      <c r="T49" s="125"/>
      <c r="U49" s="114">
        <v>0</v>
      </c>
      <c r="V49" s="125"/>
      <c r="W49" s="119">
        <v>0</v>
      </c>
      <c r="X49" s="125"/>
      <c r="Y49" s="187">
        <v>0</v>
      </c>
      <c r="Z49" s="125"/>
      <c r="AA49" s="106" t="s">
        <v>637</v>
      </c>
      <c r="AB49" s="125"/>
      <c r="AC49" s="114">
        <v>0</v>
      </c>
      <c r="AD49" s="125"/>
      <c r="AE49" s="119">
        <v>0</v>
      </c>
      <c r="AF49" s="114">
        <v>0</v>
      </c>
      <c r="AG49" s="125"/>
      <c r="AH49" s="119">
        <v>0</v>
      </c>
      <c r="AI49" s="114"/>
      <c r="AJ49" s="125"/>
      <c r="AK49" s="119"/>
      <c r="AL49" s="114"/>
      <c r="AM49" s="125"/>
      <c r="AN49" s="119"/>
      <c r="AO49" s="255"/>
      <c r="AP49" s="468"/>
      <c r="AQ49" s="482"/>
      <c r="AR49" s="255"/>
      <c r="AS49" s="255"/>
      <c r="AT49" s="487"/>
      <c r="AU49" s="477" t="s">
        <v>713</v>
      </c>
    </row>
    <row r="50" spans="1:47" ht="46.15" customHeight="1" x14ac:dyDescent="0.2">
      <c r="A50" s="261" t="s">
        <v>468</v>
      </c>
      <c r="B50" s="125"/>
      <c r="C50" s="88" t="s">
        <v>498</v>
      </c>
      <c r="D50" s="125"/>
      <c r="E50" s="89" t="s">
        <v>541</v>
      </c>
      <c r="F50" s="88"/>
      <c r="G50" s="89" t="s">
        <v>476</v>
      </c>
      <c r="H50" s="88"/>
      <c r="I50" s="111">
        <v>550</v>
      </c>
      <c r="J50" s="125"/>
      <c r="K50" s="88" t="s">
        <v>110</v>
      </c>
      <c r="L50" s="125"/>
      <c r="M50" s="88" t="s">
        <v>497</v>
      </c>
      <c r="N50" s="125"/>
      <c r="O50" s="125">
        <v>2011</v>
      </c>
      <c r="P50" s="129" t="s">
        <v>680</v>
      </c>
      <c r="Q50" s="125">
        <v>43</v>
      </c>
      <c r="R50" s="125"/>
      <c r="S50" s="106">
        <f>43*550</f>
        <v>23650</v>
      </c>
      <c r="T50" s="125"/>
      <c r="U50" s="114">
        <v>29</v>
      </c>
      <c r="V50" s="125"/>
      <c r="W50" s="119">
        <f>29*550</f>
        <v>15950</v>
      </c>
      <c r="X50" s="125"/>
      <c r="Y50" s="187">
        <v>31</v>
      </c>
      <c r="Z50" s="125"/>
      <c r="AA50" s="106">
        <f>31*550</f>
        <v>17050</v>
      </c>
      <c r="AB50" s="125"/>
      <c r="AC50" s="114">
        <v>26</v>
      </c>
      <c r="AD50" s="125"/>
      <c r="AE50" s="119">
        <f>26*595</f>
        <v>15470</v>
      </c>
      <c r="AF50" s="114">
        <v>0</v>
      </c>
      <c r="AG50" s="125"/>
      <c r="AH50" s="119">
        <v>0</v>
      </c>
      <c r="AI50" s="114"/>
      <c r="AJ50" s="125"/>
      <c r="AK50" s="119"/>
      <c r="AL50" s="114"/>
      <c r="AM50" s="125"/>
      <c r="AN50" s="119"/>
      <c r="AP50" s="470"/>
      <c r="AQ50" s="484"/>
      <c r="AT50" s="489">
        <v>450</v>
      </c>
      <c r="AU50" s="478" t="s">
        <v>713</v>
      </c>
    </row>
    <row r="51" spans="1:47" ht="46.15" customHeight="1" x14ac:dyDescent="0.2">
      <c r="A51" s="261" t="s">
        <v>468</v>
      </c>
      <c r="B51" s="125"/>
      <c r="C51" s="88" t="s">
        <v>498</v>
      </c>
      <c r="D51" s="125"/>
      <c r="E51" s="89" t="s">
        <v>542</v>
      </c>
      <c r="F51" s="88"/>
      <c r="G51" s="89" t="s">
        <v>476</v>
      </c>
      <c r="H51" s="88"/>
      <c r="I51" s="111" t="s">
        <v>521</v>
      </c>
      <c r="J51" s="125"/>
      <c r="K51" s="88" t="s">
        <v>110</v>
      </c>
      <c r="L51" s="125"/>
      <c r="M51" s="88" t="s">
        <v>497</v>
      </c>
      <c r="N51" s="125"/>
      <c r="O51" s="125">
        <v>2011</v>
      </c>
      <c r="P51" s="129" t="s">
        <v>680</v>
      </c>
      <c r="Q51" s="125">
        <v>0</v>
      </c>
      <c r="R51" s="125"/>
      <c r="S51" s="106">
        <v>0</v>
      </c>
      <c r="T51" s="125"/>
      <c r="U51" s="114">
        <v>0</v>
      </c>
      <c r="V51" s="125"/>
      <c r="W51" s="119">
        <v>0</v>
      </c>
      <c r="X51" s="125"/>
      <c r="Y51" s="187">
        <v>0</v>
      </c>
      <c r="Z51" s="125"/>
      <c r="AA51" s="106">
        <v>0</v>
      </c>
      <c r="AB51" s="125"/>
      <c r="AC51" s="114">
        <v>0</v>
      </c>
      <c r="AD51" s="125"/>
      <c r="AE51" s="119">
        <v>0</v>
      </c>
      <c r="AF51" s="114">
        <v>0</v>
      </c>
      <c r="AG51" s="125"/>
      <c r="AH51" s="119">
        <v>0</v>
      </c>
      <c r="AI51" s="114"/>
      <c r="AJ51" s="125"/>
      <c r="AK51" s="119"/>
      <c r="AL51" s="114"/>
      <c r="AM51" s="125"/>
      <c r="AN51" s="119"/>
      <c r="AO51" s="255"/>
      <c r="AP51" s="468"/>
      <c r="AQ51" s="482"/>
      <c r="AR51" s="255"/>
      <c r="AS51" s="255"/>
      <c r="AT51" s="487"/>
      <c r="AU51" s="477" t="s">
        <v>713</v>
      </c>
    </row>
    <row r="52" spans="1:47" ht="46.15" customHeight="1" x14ac:dyDescent="0.2">
      <c r="A52" s="261" t="s">
        <v>468</v>
      </c>
      <c r="B52" s="125"/>
      <c r="C52" s="88" t="s">
        <v>498</v>
      </c>
      <c r="D52" s="125"/>
      <c r="E52" s="89" t="s">
        <v>543</v>
      </c>
      <c r="F52" s="88"/>
      <c r="G52" s="89" t="s">
        <v>476</v>
      </c>
      <c r="H52" s="88"/>
      <c r="I52" s="111">
        <v>30</v>
      </c>
      <c r="J52" s="125"/>
      <c r="K52" s="88" t="s">
        <v>110</v>
      </c>
      <c r="L52" s="125"/>
      <c r="M52" s="88" t="s">
        <v>497</v>
      </c>
      <c r="N52" s="125"/>
      <c r="O52" s="125">
        <v>2011</v>
      </c>
      <c r="P52" s="129" t="s">
        <v>680</v>
      </c>
      <c r="Q52" s="125">
        <v>22</v>
      </c>
      <c r="R52" s="125"/>
      <c r="S52" s="106">
        <f>22*30</f>
        <v>660</v>
      </c>
      <c r="T52" s="125"/>
      <c r="U52" s="114">
        <v>0</v>
      </c>
      <c r="V52" s="125"/>
      <c r="W52" s="119">
        <v>0</v>
      </c>
      <c r="X52" s="125"/>
      <c r="Y52" s="187">
        <v>0</v>
      </c>
      <c r="Z52" s="125"/>
      <c r="AA52" s="106">
        <v>0</v>
      </c>
      <c r="AB52" s="125"/>
      <c r="AC52" s="114">
        <v>0</v>
      </c>
      <c r="AD52" s="125"/>
      <c r="AE52" s="119">
        <v>0</v>
      </c>
      <c r="AF52" s="114">
        <v>0</v>
      </c>
      <c r="AG52" s="125"/>
      <c r="AH52" s="119">
        <v>0</v>
      </c>
      <c r="AI52" s="114"/>
      <c r="AJ52" s="125"/>
      <c r="AK52" s="119"/>
      <c r="AL52" s="114"/>
      <c r="AM52" s="125"/>
      <c r="AN52" s="119"/>
      <c r="AP52" s="470"/>
      <c r="AQ52" s="484"/>
      <c r="AT52" s="489"/>
      <c r="AU52" s="478" t="s">
        <v>713</v>
      </c>
    </row>
    <row r="53" spans="1:47" ht="46.15" customHeight="1" x14ac:dyDescent="0.2">
      <c r="A53" s="261" t="s">
        <v>468</v>
      </c>
      <c r="B53" s="125"/>
      <c r="C53" s="88" t="s">
        <v>498</v>
      </c>
      <c r="D53" s="125"/>
      <c r="E53" s="89" t="s">
        <v>544</v>
      </c>
      <c r="F53" s="88"/>
      <c r="G53" s="89" t="s">
        <v>476</v>
      </c>
      <c r="H53" s="88"/>
      <c r="I53" s="111">
        <v>50</v>
      </c>
      <c r="J53" s="125"/>
      <c r="K53" s="88" t="s">
        <v>110</v>
      </c>
      <c r="L53" s="125"/>
      <c r="M53" s="88" t="s">
        <v>497</v>
      </c>
      <c r="N53" s="125"/>
      <c r="O53" s="125">
        <v>2016</v>
      </c>
      <c r="P53" s="129" t="s">
        <v>680</v>
      </c>
      <c r="Q53" s="125">
        <v>8</v>
      </c>
      <c r="R53" s="125"/>
      <c r="S53" s="106">
        <f>8*80</f>
        <v>640</v>
      </c>
      <c r="T53" s="125"/>
      <c r="U53" s="114">
        <v>0</v>
      </c>
      <c r="V53" s="125"/>
      <c r="W53" s="119">
        <v>0</v>
      </c>
      <c r="X53" s="125"/>
      <c r="Y53" s="187">
        <v>8</v>
      </c>
      <c r="Z53" s="125"/>
      <c r="AA53" s="106">
        <f>8*80</f>
        <v>640</v>
      </c>
      <c r="AB53" s="125"/>
      <c r="AC53" s="114">
        <v>0</v>
      </c>
      <c r="AD53" s="125"/>
      <c r="AE53" s="119">
        <v>0</v>
      </c>
      <c r="AF53" s="114">
        <v>18</v>
      </c>
      <c r="AG53" s="125"/>
      <c r="AH53" s="119">
        <f>18*50</f>
        <v>900</v>
      </c>
      <c r="AI53" s="125">
        <v>19</v>
      </c>
      <c r="AJ53" s="125"/>
      <c r="AK53" s="106">
        <v>950</v>
      </c>
      <c r="AL53" s="114"/>
      <c r="AM53" s="125"/>
      <c r="AN53" s="119"/>
      <c r="AO53" s="255"/>
      <c r="AP53" s="468">
        <v>4</v>
      </c>
      <c r="AQ53" s="482">
        <v>200</v>
      </c>
      <c r="AR53" s="255"/>
      <c r="AS53" s="255"/>
      <c r="AT53" s="487"/>
      <c r="AU53" s="477" t="s">
        <v>713</v>
      </c>
    </row>
    <row r="54" spans="1:47" ht="46.15" customHeight="1" x14ac:dyDescent="0.2">
      <c r="A54" s="261" t="s">
        <v>468</v>
      </c>
      <c r="B54" s="125"/>
      <c r="C54" s="88" t="s">
        <v>498</v>
      </c>
      <c r="D54" s="125"/>
      <c r="E54" s="89" t="s">
        <v>545</v>
      </c>
      <c r="F54" s="88"/>
      <c r="G54" s="89" t="s">
        <v>476</v>
      </c>
      <c r="H54" s="88"/>
      <c r="I54" s="111">
        <v>100</v>
      </c>
      <c r="J54" s="125"/>
      <c r="K54" s="88" t="s">
        <v>110</v>
      </c>
      <c r="L54" s="125"/>
      <c r="M54" s="88" t="s">
        <v>497</v>
      </c>
      <c r="N54" s="125"/>
      <c r="O54" s="125">
        <v>2011</v>
      </c>
      <c r="P54" s="129" t="s">
        <v>680</v>
      </c>
      <c r="Q54" s="125">
        <v>65</v>
      </c>
      <c r="R54" s="125"/>
      <c r="S54" s="106">
        <f>65*100</f>
        <v>6500</v>
      </c>
      <c r="T54" s="125"/>
      <c r="U54" s="114">
        <v>0</v>
      </c>
      <c r="V54" s="125"/>
      <c r="W54" s="119">
        <v>0</v>
      </c>
      <c r="X54" s="125"/>
      <c r="Y54" s="187">
        <v>0</v>
      </c>
      <c r="Z54" s="125"/>
      <c r="AA54" s="106">
        <v>0</v>
      </c>
      <c r="AB54" s="125"/>
      <c r="AC54" s="114">
        <v>0</v>
      </c>
      <c r="AD54" s="125"/>
      <c r="AE54" s="119">
        <v>0</v>
      </c>
      <c r="AF54" s="114">
        <v>0</v>
      </c>
      <c r="AG54" s="125"/>
      <c r="AH54" s="119">
        <v>0</v>
      </c>
      <c r="AI54" s="114"/>
      <c r="AJ54" s="125"/>
      <c r="AK54" s="119"/>
      <c r="AL54" s="114"/>
      <c r="AM54" s="125"/>
      <c r="AN54" s="119"/>
      <c r="AP54" s="470"/>
      <c r="AQ54" s="484"/>
      <c r="AT54" s="489"/>
      <c r="AU54" s="478" t="s">
        <v>713</v>
      </c>
    </row>
    <row r="55" spans="1:47" ht="46.15" customHeight="1" x14ac:dyDescent="0.2">
      <c r="A55" s="261" t="s">
        <v>468</v>
      </c>
      <c r="B55" s="125"/>
      <c r="C55" s="88" t="s">
        <v>498</v>
      </c>
      <c r="D55" s="125"/>
      <c r="E55" s="89" t="s">
        <v>546</v>
      </c>
      <c r="F55" s="88"/>
      <c r="G55" s="89" t="s">
        <v>476</v>
      </c>
      <c r="H55" s="88"/>
      <c r="I55" s="111">
        <v>75</v>
      </c>
      <c r="J55" s="125"/>
      <c r="K55" s="88" t="s">
        <v>110</v>
      </c>
      <c r="L55" s="125"/>
      <c r="M55" s="88" t="s">
        <v>497</v>
      </c>
      <c r="N55" s="125"/>
      <c r="O55" s="125">
        <v>2011</v>
      </c>
      <c r="P55" s="129" t="s">
        <v>680</v>
      </c>
      <c r="Q55" s="125">
        <v>31</v>
      </c>
      <c r="R55" s="125"/>
      <c r="S55" s="106">
        <f>31*75</f>
        <v>2325</v>
      </c>
      <c r="T55" s="125"/>
      <c r="U55" s="114">
        <v>0</v>
      </c>
      <c r="V55" s="125"/>
      <c r="W55" s="119">
        <v>0</v>
      </c>
      <c r="X55" s="125"/>
      <c r="Y55" s="187">
        <v>0</v>
      </c>
      <c r="Z55" s="125"/>
      <c r="AA55" s="106">
        <v>0</v>
      </c>
      <c r="AB55" s="125"/>
      <c r="AC55" s="114">
        <v>0</v>
      </c>
      <c r="AD55" s="125"/>
      <c r="AE55" s="119">
        <v>0</v>
      </c>
      <c r="AF55" s="114">
        <v>0</v>
      </c>
      <c r="AG55" s="125"/>
      <c r="AH55" s="119">
        <v>0</v>
      </c>
      <c r="AI55" s="114"/>
      <c r="AJ55" s="125"/>
      <c r="AK55" s="119"/>
      <c r="AL55" s="114"/>
      <c r="AM55" s="125"/>
      <c r="AN55" s="119"/>
      <c r="AO55" s="255"/>
      <c r="AP55" s="468"/>
      <c r="AQ55" s="482"/>
      <c r="AR55" s="255"/>
      <c r="AS55" s="255"/>
      <c r="AT55" s="487"/>
      <c r="AU55" s="477" t="s">
        <v>713</v>
      </c>
    </row>
    <row r="56" spans="1:47" ht="46.15" customHeight="1" x14ac:dyDescent="0.2">
      <c r="A56" s="261" t="s">
        <v>468</v>
      </c>
      <c r="B56" s="125"/>
      <c r="C56" s="88" t="s">
        <v>498</v>
      </c>
      <c r="D56" s="125"/>
      <c r="E56" s="89" t="s">
        <v>547</v>
      </c>
      <c r="F56" s="88"/>
      <c r="G56" s="89" t="s">
        <v>476</v>
      </c>
      <c r="H56" s="88"/>
      <c r="I56" s="111" t="s">
        <v>548</v>
      </c>
      <c r="J56" s="125"/>
      <c r="K56" s="88" t="s">
        <v>110</v>
      </c>
      <c r="L56" s="125"/>
      <c r="M56" s="88" t="s">
        <v>497</v>
      </c>
      <c r="N56" s="125"/>
      <c r="O56" s="125">
        <v>2011</v>
      </c>
      <c r="P56" s="129" t="s">
        <v>680</v>
      </c>
      <c r="Q56" s="125">
        <v>0</v>
      </c>
      <c r="R56" s="125"/>
      <c r="S56" s="106">
        <v>0</v>
      </c>
      <c r="T56" s="125"/>
      <c r="U56" s="114">
        <v>17</v>
      </c>
      <c r="V56" s="125"/>
      <c r="W56" s="119">
        <f>17*75</f>
        <v>1275</v>
      </c>
      <c r="X56" s="125"/>
      <c r="Y56" s="187">
        <v>13</v>
      </c>
      <c r="Z56" s="125"/>
      <c r="AA56" s="106">
        <f>13*100</f>
        <v>1300</v>
      </c>
      <c r="AB56" s="125"/>
      <c r="AC56" s="114">
        <v>18</v>
      </c>
      <c r="AD56" s="125"/>
      <c r="AE56" s="119">
        <f>18*100</f>
        <v>1800</v>
      </c>
      <c r="AF56" s="114">
        <v>0</v>
      </c>
      <c r="AG56" s="125"/>
      <c r="AH56" s="119">
        <v>0</v>
      </c>
      <c r="AI56" s="114"/>
      <c r="AJ56" s="125"/>
      <c r="AK56" s="119"/>
      <c r="AL56" s="114"/>
      <c r="AM56" s="125"/>
      <c r="AN56" s="119"/>
      <c r="AP56" s="470"/>
      <c r="AQ56" s="484"/>
      <c r="AT56" s="489"/>
      <c r="AU56" s="478" t="s">
        <v>713</v>
      </c>
    </row>
    <row r="57" spans="1:47" ht="46.15" customHeight="1" x14ac:dyDescent="0.2">
      <c r="A57" s="261" t="s">
        <v>468</v>
      </c>
      <c r="B57" s="125"/>
      <c r="C57" s="88" t="s">
        <v>498</v>
      </c>
      <c r="D57" s="125"/>
      <c r="E57" s="89" t="s">
        <v>549</v>
      </c>
      <c r="F57" s="88"/>
      <c r="G57" s="89" t="s">
        <v>476</v>
      </c>
      <c r="H57" s="88"/>
      <c r="I57" s="111" t="s">
        <v>550</v>
      </c>
      <c r="J57" s="125"/>
      <c r="K57" s="88" t="s">
        <v>110</v>
      </c>
      <c r="L57" s="125"/>
      <c r="M57" s="88" t="s">
        <v>497</v>
      </c>
      <c r="N57" s="125"/>
      <c r="O57" s="125">
        <v>2011</v>
      </c>
      <c r="P57" s="129" t="s">
        <v>680</v>
      </c>
      <c r="Q57" s="125">
        <v>27</v>
      </c>
      <c r="R57" s="125"/>
      <c r="S57" s="106">
        <f>27*75</f>
        <v>2025</v>
      </c>
      <c r="T57" s="125"/>
      <c r="U57" s="114">
        <v>20</v>
      </c>
      <c r="V57" s="125"/>
      <c r="W57" s="119">
        <f>20*85</f>
        <v>1700</v>
      </c>
      <c r="X57" s="125"/>
      <c r="Y57" s="187">
        <v>0</v>
      </c>
      <c r="Z57" s="125"/>
      <c r="AA57" s="106">
        <v>0</v>
      </c>
      <c r="AB57" s="125"/>
      <c r="AC57" s="114">
        <v>0</v>
      </c>
      <c r="AD57" s="125"/>
      <c r="AE57" s="119">
        <v>0</v>
      </c>
      <c r="AF57" s="114">
        <v>0</v>
      </c>
      <c r="AG57" s="125"/>
      <c r="AH57" s="119">
        <v>0</v>
      </c>
      <c r="AI57" s="114"/>
      <c r="AJ57" s="125"/>
      <c r="AK57" s="119"/>
      <c r="AL57" s="114"/>
      <c r="AM57" s="125"/>
      <c r="AN57" s="119"/>
      <c r="AO57" s="255"/>
      <c r="AP57" s="468"/>
      <c r="AQ57" s="482"/>
      <c r="AR57" s="255"/>
      <c r="AS57" s="255"/>
      <c r="AT57" s="487"/>
      <c r="AU57" s="477" t="s">
        <v>713</v>
      </c>
    </row>
    <row r="58" spans="1:47" ht="46.15" customHeight="1" x14ac:dyDescent="0.2">
      <c r="A58" s="261" t="s">
        <v>468</v>
      </c>
      <c r="B58" s="125"/>
      <c r="C58" s="88" t="s">
        <v>498</v>
      </c>
      <c r="D58" s="125"/>
      <c r="E58" s="89" t="s">
        <v>551</v>
      </c>
      <c r="F58" s="88"/>
      <c r="G58" s="89" t="s">
        <v>476</v>
      </c>
      <c r="H58" s="88"/>
      <c r="I58" s="111">
        <v>290</v>
      </c>
      <c r="J58" s="125"/>
      <c r="K58" s="88" t="s">
        <v>110</v>
      </c>
      <c r="L58" s="125"/>
      <c r="M58" s="88" t="s">
        <v>497</v>
      </c>
      <c r="N58" s="125"/>
      <c r="O58" s="125">
        <v>2011</v>
      </c>
      <c r="P58" s="129" t="s">
        <v>680</v>
      </c>
      <c r="Q58" s="125">
        <v>8</v>
      </c>
      <c r="R58" s="125"/>
      <c r="S58" s="106">
        <f>8*290</f>
        <v>2320</v>
      </c>
      <c r="T58" s="125"/>
      <c r="U58" s="114">
        <v>1</v>
      </c>
      <c r="V58" s="125"/>
      <c r="W58" s="119">
        <f>1*290</f>
        <v>290</v>
      </c>
      <c r="X58" s="125"/>
      <c r="Y58" s="187">
        <v>0</v>
      </c>
      <c r="Z58" s="125"/>
      <c r="AA58" s="106">
        <v>0</v>
      </c>
      <c r="AB58" s="125"/>
      <c r="AC58" s="114">
        <v>0</v>
      </c>
      <c r="AD58" s="125"/>
      <c r="AE58" s="119">
        <v>0</v>
      </c>
      <c r="AF58" s="114">
        <v>0</v>
      </c>
      <c r="AG58" s="125"/>
      <c r="AH58" s="119">
        <v>0</v>
      </c>
      <c r="AI58" s="114"/>
      <c r="AJ58" s="125"/>
      <c r="AK58" s="119"/>
      <c r="AL58" s="114"/>
      <c r="AM58" s="125"/>
      <c r="AN58" s="119"/>
      <c r="AP58" s="470"/>
      <c r="AQ58" s="484"/>
      <c r="AT58" s="489"/>
      <c r="AU58" s="478" t="s">
        <v>713</v>
      </c>
    </row>
    <row r="59" spans="1:47" ht="46.15" customHeight="1" x14ac:dyDescent="0.2">
      <c r="A59" s="261" t="s">
        <v>468</v>
      </c>
      <c r="B59" s="125"/>
      <c r="C59" s="88" t="s">
        <v>498</v>
      </c>
      <c r="D59" s="125"/>
      <c r="E59" s="89" t="s">
        <v>484</v>
      </c>
      <c r="F59" s="88"/>
      <c r="G59" s="89" t="s">
        <v>476</v>
      </c>
      <c r="H59" s="88"/>
      <c r="I59" s="111" t="s">
        <v>505</v>
      </c>
      <c r="J59" s="125"/>
      <c r="K59" s="88" t="s">
        <v>110</v>
      </c>
      <c r="L59" s="125"/>
      <c r="M59" s="88" t="s">
        <v>497</v>
      </c>
      <c r="N59" s="125"/>
      <c r="O59" s="125">
        <v>2011</v>
      </c>
      <c r="P59" s="129" t="s">
        <v>680</v>
      </c>
      <c r="Q59" s="125">
        <v>25</v>
      </c>
      <c r="R59" s="125"/>
      <c r="S59" s="106">
        <f>25*80</f>
        <v>2000</v>
      </c>
      <c r="T59" s="125"/>
      <c r="U59" s="114">
        <v>16</v>
      </c>
      <c r="V59" s="125"/>
      <c r="W59" s="119">
        <f>16*90</f>
        <v>1440</v>
      </c>
      <c r="X59" s="125"/>
      <c r="Y59" s="187">
        <v>0</v>
      </c>
      <c r="Z59" s="125"/>
      <c r="AA59" s="106">
        <v>0</v>
      </c>
      <c r="AB59" s="125"/>
      <c r="AC59" s="114">
        <v>0</v>
      </c>
      <c r="AD59" s="125"/>
      <c r="AE59" s="119">
        <v>0</v>
      </c>
      <c r="AF59" s="114">
        <v>0</v>
      </c>
      <c r="AG59" s="125"/>
      <c r="AH59" s="119">
        <v>0</v>
      </c>
      <c r="AI59" s="114"/>
      <c r="AJ59" s="125"/>
      <c r="AK59" s="119"/>
      <c r="AL59" s="114"/>
      <c r="AM59" s="125"/>
      <c r="AN59" s="119"/>
      <c r="AO59" s="255"/>
      <c r="AP59" s="469"/>
      <c r="AQ59" s="483"/>
      <c r="AR59" s="299"/>
      <c r="AS59" s="299"/>
      <c r="AT59" s="488"/>
      <c r="AU59" s="494" t="s">
        <v>713</v>
      </c>
    </row>
    <row r="60" spans="1:47" ht="46.15" customHeight="1" x14ac:dyDescent="0.2">
      <c r="A60" s="261" t="s">
        <v>468</v>
      </c>
      <c r="B60" s="125"/>
      <c r="C60" s="88" t="s">
        <v>498</v>
      </c>
      <c r="D60" s="125"/>
      <c r="E60" s="89" t="s">
        <v>552</v>
      </c>
      <c r="F60" s="88"/>
      <c r="G60" s="89" t="s">
        <v>476</v>
      </c>
      <c r="H60" s="88"/>
      <c r="I60" s="111">
        <v>75</v>
      </c>
      <c r="J60" s="125"/>
      <c r="K60" s="88" t="s">
        <v>110</v>
      </c>
      <c r="L60" s="125"/>
      <c r="M60" s="88" t="s">
        <v>497</v>
      </c>
      <c r="N60" s="125"/>
      <c r="O60" s="125">
        <v>2016</v>
      </c>
      <c r="P60" s="129" t="s">
        <v>680</v>
      </c>
      <c r="Q60" s="125">
        <v>0</v>
      </c>
      <c r="R60" s="125"/>
      <c r="S60" s="106">
        <v>0</v>
      </c>
      <c r="T60" s="125"/>
      <c r="U60" s="114">
        <v>73</v>
      </c>
      <c r="V60" s="125"/>
      <c r="W60" s="119">
        <f>73*50</f>
        <v>3650</v>
      </c>
      <c r="X60" s="125"/>
      <c r="Y60" s="187">
        <v>33</v>
      </c>
      <c r="Z60" s="125"/>
      <c r="AA60" s="106">
        <f>33*50</f>
        <v>1650</v>
      </c>
      <c r="AB60" s="125"/>
      <c r="AC60" s="114">
        <v>43</v>
      </c>
      <c r="AD60" s="125"/>
      <c r="AE60" s="119">
        <f>43*50</f>
        <v>2150</v>
      </c>
      <c r="AF60" s="114">
        <v>24</v>
      </c>
      <c r="AG60" s="125"/>
      <c r="AH60" s="119">
        <f>24*50</f>
        <v>1200</v>
      </c>
      <c r="AI60" s="125">
        <v>18</v>
      </c>
      <c r="AJ60" s="125"/>
      <c r="AK60" s="106">
        <v>1350</v>
      </c>
      <c r="AL60" s="114"/>
      <c r="AM60" s="125"/>
      <c r="AN60" s="119"/>
      <c r="AO60" s="255"/>
      <c r="AP60" s="468"/>
      <c r="AQ60" s="482">
        <f>84070+1260+1350</f>
        <v>86680</v>
      </c>
      <c r="AR60" s="255"/>
      <c r="AS60" s="255"/>
      <c r="AT60" s="487">
        <f>102500+5500+300+5750+1125</f>
        <v>115175</v>
      </c>
      <c r="AU60" s="477" t="s">
        <v>713</v>
      </c>
    </row>
    <row r="61" spans="1:47" ht="46.15" customHeight="1" x14ac:dyDescent="0.2">
      <c r="A61" s="261" t="s">
        <v>468</v>
      </c>
      <c r="B61" s="125"/>
      <c r="C61" s="88" t="s">
        <v>498</v>
      </c>
      <c r="D61" s="125"/>
      <c r="E61" s="89" t="s">
        <v>485</v>
      </c>
      <c r="F61" s="88"/>
      <c r="G61" s="89" t="s">
        <v>476</v>
      </c>
      <c r="H61" s="88"/>
      <c r="I61" s="111" t="s">
        <v>553</v>
      </c>
      <c r="J61" s="125"/>
      <c r="K61" s="88" t="s">
        <v>110</v>
      </c>
      <c r="L61" s="125"/>
      <c r="M61" s="88" t="s">
        <v>497</v>
      </c>
      <c r="N61" s="125"/>
      <c r="O61" s="125">
        <v>2011</v>
      </c>
      <c r="P61" s="140" t="s">
        <v>680</v>
      </c>
      <c r="Q61" s="143">
        <v>0</v>
      </c>
      <c r="R61" s="143"/>
      <c r="S61" s="298">
        <v>0</v>
      </c>
      <c r="T61" s="143"/>
      <c r="U61" s="295">
        <v>28</v>
      </c>
      <c r="V61" s="143"/>
      <c r="W61" s="296">
        <f>28*595</f>
        <v>16660</v>
      </c>
      <c r="X61" s="143"/>
      <c r="Y61" s="247">
        <v>0</v>
      </c>
      <c r="Z61" s="143"/>
      <c r="AA61" s="298">
        <v>0</v>
      </c>
      <c r="AB61" s="143"/>
      <c r="AC61" s="295">
        <v>0</v>
      </c>
      <c r="AD61" s="143">
        <v>0</v>
      </c>
      <c r="AE61" s="296">
        <v>0</v>
      </c>
      <c r="AF61" s="295">
        <v>0</v>
      </c>
      <c r="AG61" s="143"/>
      <c r="AH61" s="296">
        <v>0</v>
      </c>
      <c r="AI61" s="295"/>
      <c r="AJ61" s="143"/>
      <c r="AK61" s="296"/>
      <c r="AL61" s="295"/>
      <c r="AM61" s="143"/>
      <c r="AN61" s="296"/>
      <c r="AO61" s="181"/>
      <c r="AP61" s="473"/>
      <c r="AQ61" s="486"/>
      <c r="AR61" s="181"/>
      <c r="AS61" s="181"/>
      <c r="AT61" s="491"/>
      <c r="AU61" s="495" t="s">
        <v>713</v>
      </c>
    </row>
    <row r="62" spans="1:47" ht="46.15" customHeight="1" x14ac:dyDescent="0.2">
      <c r="A62" s="261" t="s">
        <v>468</v>
      </c>
      <c r="B62" s="125"/>
      <c r="C62" s="88" t="s">
        <v>498</v>
      </c>
      <c r="D62" s="125"/>
      <c r="E62" s="89" t="s">
        <v>947</v>
      </c>
      <c r="F62" s="88"/>
      <c r="G62" s="89" t="s">
        <v>476</v>
      </c>
      <c r="H62" s="88"/>
      <c r="I62" s="111"/>
      <c r="J62" s="125"/>
      <c r="K62" s="88" t="s">
        <v>110</v>
      </c>
      <c r="L62" s="125"/>
      <c r="M62" s="88" t="s">
        <v>497</v>
      </c>
      <c r="N62" s="125"/>
      <c r="O62" s="125">
        <v>2011</v>
      </c>
      <c r="P62" s="129" t="s">
        <v>680</v>
      </c>
      <c r="Q62" s="125">
        <v>12</v>
      </c>
      <c r="R62" s="125"/>
      <c r="S62" s="106">
        <f>12*220</f>
        <v>2640</v>
      </c>
      <c r="T62" s="125"/>
      <c r="U62" s="114">
        <v>0</v>
      </c>
      <c r="V62" s="125"/>
      <c r="W62" s="119">
        <v>0</v>
      </c>
      <c r="X62" s="125"/>
      <c r="Y62" s="187">
        <v>0</v>
      </c>
      <c r="Z62" s="125"/>
      <c r="AA62" s="106">
        <v>0</v>
      </c>
      <c r="AB62" s="125"/>
      <c r="AC62" s="114">
        <v>0</v>
      </c>
      <c r="AD62" s="125">
        <v>0</v>
      </c>
      <c r="AE62" s="119">
        <v>0</v>
      </c>
      <c r="AF62" s="114">
        <v>0</v>
      </c>
      <c r="AG62" s="125"/>
      <c r="AH62" s="119">
        <v>0</v>
      </c>
      <c r="AI62" s="114"/>
      <c r="AJ62" s="125"/>
      <c r="AK62" s="119"/>
      <c r="AL62" s="114"/>
      <c r="AM62" s="125"/>
      <c r="AN62" s="119"/>
      <c r="AP62" s="470"/>
      <c r="AQ62" s="484"/>
      <c r="AT62" s="489">
        <v>5100</v>
      </c>
      <c r="AU62" s="478" t="s">
        <v>713</v>
      </c>
    </row>
    <row r="63" spans="1:47" ht="46.15" customHeight="1" x14ac:dyDescent="0.2">
      <c r="A63" s="261" t="s">
        <v>468</v>
      </c>
      <c r="B63" s="125"/>
      <c r="C63" s="88" t="s">
        <v>498</v>
      </c>
      <c r="D63" s="125"/>
      <c r="E63" s="89" t="s">
        <v>555</v>
      </c>
      <c r="F63" s="88"/>
      <c r="G63" s="89" t="s">
        <v>476</v>
      </c>
      <c r="H63" s="88"/>
      <c r="I63" s="111">
        <v>210</v>
      </c>
      <c r="J63" s="125"/>
      <c r="K63" s="88" t="s">
        <v>110</v>
      </c>
      <c r="L63" s="125"/>
      <c r="M63" s="88" t="s">
        <v>497</v>
      </c>
      <c r="N63" s="125"/>
      <c r="O63" s="125">
        <v>2011</v>
      </c>
      <c r="P63" s="129" t="s">
        <v>680</v>
      </c>
      <c r="Q63" s="125">
        <v>0</v>
      </c>
      <c r="R63" s="125"/>
      <c r="S63" s="106">
        <v>0</v>
      </c>
      <c r="T63" s="125"/>
      <c r="U63" s="114">
        <v>19</v>
      </c>
      <c r="V63" s="125"/>
      <c r="W63" s="119">
        <f>19*210</f>
        <v>3990</v>
      </c>
      <c r="X63" s="125"/>
      <c r="Y63" s="187">
        <v>0</v>
      </c>
      <c r="Z63" s="125"/>
      <c r="AA63" s="106">
        <v>0</v>
      </c>
      <c r="AB63" s="125"/>
      <c r="AC63" s="114">
        <v>0</v>
      </c>
      <c r="AD63" s="125"/>
      <c r="AE63" s="119">
        <v>0</v>
      </c>
      <c r="AF63" s="114">
        <v>0</v>
      </c>
      <c r="AG63" s="125"/>
      <c r="AH63" s="119">
        <v>0</v>
      </c>
      <c r="AI63" s="114"/>
      <c r="AJ63" s="125"/>
      <c r="AK63" s="119"/>
      <c r="AL63" s="114"/>
      <c r="AM63" s="125"/>
      <c r="AN63" s="119"/>
      <c r="AO63" s="255"/>
      <c r="AP63" s="468"/>
      <c r="AQ63" s="482"/>
      <c r="AR63" s="255"/>
      <c r="AS63" s="255"/>
      <c r="AT63" s="487"/>
      <c r="AU63" s="477" t="s">
        <v>713</v>
      </c>
    </row>
    <row r="64" spans="1:47" ht="46.15" customHeight="1" x14ac:dyDescent="0.2">
      <c r="A64" s="261" t="s">
        <v>468</v>
      </c>
      <c r="B64" s="125"/>
      <c r="C64" s="88" t="s">
        <v>498</v>
      </c>
      <c r="D64" s="125"/>
      <c r="E64" s="89" t="s">
        <v>554</v>
      </c>
      <c r="F64" s="88"/>
      <c r="G64" s="89" t="s">
        <v>476</v>
      </c>
      <c r="H64" s="88"/>
      <c r="I64" s="111" t="s">
        <v>506</v>
      </c>
      <c r="J64" s="125"/>
      <c r="K64" s="88" t="s">
        <v>110</v>
      </c>
      <c r="L64" s="125"/>
      <c r="M64" s="88" t="s">
        <v>497</v>
      </c>
      <c r="N64" s="125"/>
      <c r="O64" s="125">
        <v>2016</v>
      </c>
      <c r="P64" s="129" t="s">
        <v>680</v>
      </c>
      <c r="Q64" s="125">
        <v>44</v>
      </c>
      <c r="R64" s="125"/>
      <c r="S64" s="106">
        <f>44*135</f>
        <v>5940</v>
      </c>
      <c r="T64" s="125"/>
      <c r="U64" s="114">
        <v>13</v>
      </c>
      <c r="V64" s="125"/>
      <c r="W64" s="119">
        <f>13*140</f>
        <v>1820</v>
      </c>
      <c r="X64" s="125"/>
      <c r="Y64" s="187">
        <v>2</v>
      </c>
      <c r="Z64" s="125"/>
      <c r="AA64" s="106">
        <f>2*45</f>
        <v>90</v>
      </c>
      <c r="AB64" s="125"/>
      <c r="AC64" s="114">
        <v>39</v>
      </c>
      <c r="AD64" s="125"/>
      <c r="AE64" s="119">
        <f>39*140</f>
        <v>5460</v>
      </c>
      <c r="AF64" s="114">
        <v>33</v>
      </c>
      <c r="AG64" s="125"/>
      <c r="AH64" s="119">
        <f>33*140</f>
        <v>4620</v>
      </c>
      <c r="AI64" s="125">
        <v>39</v>
      </c>
      <c r="AJ64" s="125"/>
      <c r="AK64" s="106">
        <v>5460</v>
      </c>
      <c r="AL64" s="125">
        <v>27</v>
      </c>
      <c r="AM64" s="125"/>
      <c r="AN64" s="106">
        <v>3780</v>
      </c>
      <c r="AP64" s="470"/>
      <c r="AQ64" s="484"/>
      <c r="AT64" s="489"/>
      <c r="AU64" s="478" t="s">
        <v>713</v>
      </c>
    </row>
    <row r="65" spans="1:47" ht="46.15" customHeight="1" x14ac:dyDescent="0.2">
      <c r="A65" s="261" t="s">
        <v>468</v>
      </c>
      <c r="B65" s="125"/>
      <c r="C65" s="88" t="s">
        <v>498</v>
      </c>
      <c r="D65" s="125"/>
      <c r="E65" s="89" t="s">
        <v>642</v>
      </c>
      <c r="F65" s="88"/>
      <c r="G65" s="89" t="s">
        <v>476</v>
      </c>
      <c r="H65" s="88"/>
      <c r="I65" s="111">
        <v>300</v>
      </c>
      <c r="J65" s="125"/>
      <c r="K65" s="88" t="s">
        <v>110</v>
      </c>
      <c r="L65" s="125"/>
      <c r="M65" s="88" t="s">
        <v>497</v>
      </c>
      <c r="N65" s="125"/>
      <c r="O65" s="125">
        <v>2016</v>
      </c>
      <c r="P65" s="129" t="s">
        <v>680</v>
      </c>
      <c r="Q65" s="125">
        <v>0</v>
      </c>
      <c r="R65" s="125"/>
      <c r="S65" s="106">
        <v>0</v>
      </c>
      <c r="T65" s="125"/>
      <c r="U65" s="114">
        <v>0</v>
      </c>
      <c r="V65" s="125"/>
      <c r="W65" s="119">
        <v>0</v>
      </c>
      <c r="X65" s="125"/>
      <c r="Y65" s="187">
        <v>0</v>
      </c>
      <c r="Z65" s="125"/>
      <c r="AA65" s="106">
        <v>0</v>
      </c>
      <c r="AB65" s="125"/>
      <c r="AC65" s="114">
        <v>23</v>
      </c>
      <c r="AD65" s="125"/>
      <c r="AE65" s="119">
        <f>23*300</f>
        <v>6900</v>
      </c>
      <c r="AF65" s="114">
        <v>15</v>
      </c>
      <c r="AG65" s="125"/>
      <c r="AH65" s="119">
        <f>15*300</f>
        <v>4500</v>
      </c>
      <c r="AI65" s="125">
        <v>12</v>
      </c>
      <c r="AJ65" s="125"/>
      <c r="AK65" s="106">
        <v>3600</v>
      </c>
      <c r="AL65" s="125"/>
      <c r="AM65" s="125"/>
      <c r="AN65" s="106"/>
      <c r="AO65" s="255"/>
      <c r="AP65" s="468"/>
      <c r="AQ65" s="482">
        <v>1575</v>
      </c>
      <c r="AR65" s="255"/>
      <c r="AS65" s="255"/>
      <c r="AT65" s="487">
        <v>300</v>
      </c>
      <c r="AU65" s="477" t="s">
        <v>713</v>
      </c>
    </row>
    <row r="66" spans="1:47" ht="46.15" customHeight="1" x14ac:dyDescent="0.2">
      <c r="A66" s="261" t="s">
        <v>468</v>
      </c>
      <c r="B66" s="125"/>
      <c r="C66" s="88" t="s">
        <v>498</v>
      </c>
      <c r="D66" s="125"/>
      <c r="E66" s="89" t="s">
        <v>643</v>
      </c>
      <c r="F66" s="88"/>
      <c r="G66" s="89" t="s">
        <v>476</v>
      </c>
      <c r="H66" s="88"/>
      <c r="I66" s="111" t="s">
        <v>637</v>
      </c>
      <c r="J66" s="125"/>
      <c r="K66" s="88" t="s">
        <v>110</v>
      </c>
      <c r="L66" s="125"/>
      <c r="M66" s="88" t="s">
        <v>497</v>
      </c>
      <c r="N66" s="125"/>
      <c r="O66" s="125"/>
      <c r="P66" s="129" t="s">
        <v>680</v>
      </c>
      <c r="Q66" s="125">
        <v>0</v>
      </c>
      <c r="R66" s="125"/>
      <c r="S66" s="106">
        <v>0</v>
      </c>
      <c r="T66" s="125"/>
      <c r="U66" s="114">
        <v>0</v>
      </c>
      <c r="V66" s="125"/>
      <c r="W66" s="119">
        <v>0</v>
      </c>
      <c r="X66" s="125"/>
      <c r="Y66" s="187">
        <v>0</v>
      </c>
      <c r="Z66" s="125"/>
      <c r="AA66" s="106">
        <v>0</v>
      </c>
      <c r="AB66" s="125"/>
      <c r="AC66" s="114">
        <v>0</v>
      </c>
      <c r="AD66" s="125"/>
      <c r="AE66" s="119">
        <v>0</v>
      </c>
      <c r="AF66" s="114">
        <v>0</v>
      </c>
      <c r="AG66" s="125"/>
      <c r="AH66" s="119">
        <v>0</v>
      </c>
      <c r="AI66" s="114"/>
      <c r="AJ66" s="125"/>
      <c r="AK66" s="119"/>
      <c r="AL66" s="114"/>
      <c r="AM66" s="125"/>
      <c r="AN66" s="119"/>
      <c r="AP66" s="470"/>
      <c r="AQ66" s="484"/>
      <c r="AT66" s="489"/>
      <c r="AU66" s="478" t="s">
        <v>713</v>
      </c>
    </row>
    <row r="67" spans="1:47" ht="46.15" customHeight="1" x14ac:dyDescent="0.2">
      <c r="A67" s="261" t="s">
        <v>468</v>
      </c>
      <c r="B67" s="125"/>
      <c r="C67" s="88" t="s">
        <v>498</v>
      </c>
      <c r="D67" s="125"/>
      <c r="E67" s="89" t="s">
        <v>556</v>
      </c>
      <c r="F67" s="88"/>
      <c r="G67" s="89" t="s">
        <v>476</v>
      </c>
      <c r="H67" s="88"/>
      <c r="I67" s="111" t="s">
        <v>521</v>
      </c>
      <c r="J67" s="125"/>
      <c r="K67" s="88" t="s">
        <v>110</v>
      </c>
      <c r="L67" s="125"/>
      <c r="M67" s="88" t="s">
        <v>497</v>
      </c>
      <c r="N67" s="125"/>
      <c r="O67" s="125">
        <v>2011</v>
      </c>
      <c r="P67" s="129" t="s">
        <v>680</v>
      </c>
      <c r="Q67" s="125">
        <v>0</v>
      </c>
      <c r="R67" s="125"/>
      <c r="S67" s="106">
        <v>0</v>
      </c>
      <c r="T67" s="125"/>
      <c r="U67" s="114">
        <v>0</v>
      </c>
      <c r="V67" s="125"/>
      <c r="W67" s="119">
        <v>0</v>
      </c>
      <c r="X67" s="125"/>
      <c r="Y67" s="187">
        <v>0</v>
      </c>
      <c r="Z67" s="125"/>
      <c r="AA67" s="106">
        <v>0</v>
      </c>
      <c r="AB67" s="125"/>
      <c r="AC67" s="114">
        <v>0</v>
      </c>
      <c r="AD67" s="125"/>
      <c r="AE67" s="119">
        <v>0</v>
      </c>
      <c r="AF67" s="114">
        <v>0</v>
      </c>
      <c r="AG67" s="125"/>
      <c r="AH67" s="119">
        <v>0</v>
      </c>
      <c r="AI67" s="114"/>
      <c r="AJ67" s="125"/>
      <c r="AK67" s="119"/>
      <c r="AL67" s="114"/>
      <c r="AM67" s="125"/>
      <c r="AN67" s="119"/>
      <c r="AO67" s="255"/>
      <c r="AP67" s="468"/>
      <c r="AQ67" s="482"/>
      <c r="AR67" s="255"/>
      <c r="AS67" s="255"/>
      <c r="AT67" s="487"/>
      <c r="AU67" s="477" t="s">
        <v>713</v>
      </c>
    </row>
    <row r="68" spans="1:47" ht="46.15" customHeight="1" x14ac:dyDescent="0.2">
      <c r="A68" s="261" t="s">
        <v>468</v>
      </c>
      <c r="B68" s="125"/>
      <c r="C68" s="88" t="s">
        <v>498</v>
      </c>
      <c r="D68" s="125"/>
      <c r="E68" s="89" t="s">
        <v>765</v>
      </c>
      <c r="F68" s="88"/>
      <c r="G68" s="89" t="s">
        <v>476</v>
      </c>
      <c r="H68" s="88"/>
      <c r="I68" s="111">
        <v>135</v>
      </c>
      <c r="J68" s="125"/>
      <c r="K68" s="88" t="s">
        <v>110</v>
      </c>
      <c r="L68" s="125"/>
      <c r="M68" s="88" t="s">
        <v>497</v>
      </c>
      <c r="N68" s="125"/>
      <c r="O68" s="125">
        <v>2016</v>
      </c>
      <c r="P68" s="129" t="s">
        <v>680</v>
      </c>
      <c r="Q68" s="125">
        <v>0</v>
      </c>
      <c r="R68" s="125"/>
      <c r="S68" s="106">
        <v>0</v>
      </c>
      <c r="T68" s="125"/>
      <c r="U68" s="114">
        <v>9</v>
      </c>
      <c r="V68" s="125"/>
      <c r="W68" s="119">
        <f>9*135</f>
        <v>1215</v>
      </c>
      <c r="X68" s="125"/>
      <c r="Y68" s="187">
        <v>0</v>
      </c>
      <c r="Z68" s="125"/>
      <c r="AA68" s="106">
        <v>0</v>
      </c>
      <c r="AB68" s="125"/>
      <c r="AC68" s="114">
        <v>15</v>
      </c>
      <c r="AD68" s="125"/>
      <c r="AE68" s="119">
        <f>15*150</f>
        <v>2250</v>
      </c>
      <c r="AF68" s="114">
        <v>30</v>
      </c>
      <c r="AG68" s="125"/>
      <c r="AH68" s="119">
        <f>30*150</f>
        <v>4500</v>
      </c>
      <c r="AI68" s="114"/>
      <c r="AJ68" s="125"/>
      <c r="AK68" s="119"/>
      <c r="AL68" s="114"/>
      <c r="AM68" s="125"/>
      <c r="AN68" s="119"/>
      <c r="AP68" s="470"/>
      <c r="AQ68" s="484"/>
      <c r="AT68" s="489"/>
      <c r="AU68" s="478" t="s">
        <v>713</v>
      </c>
    </row>
    <row r="69" spans="1:47" ht="46.15" customHeight="1" x14ac:dyDescent="0.2">
      <c r="A69" s="261" t="s">
        <v>468</v>
      </c>
      <c r="B69" s="125"/>
      <c r="C69" s="88" t="s">
        <v>498</v>
      </c>
      <c r="D69" s="125"/>
      <c r="E69" s="89" t="s">
        <v>557</v>
      </c>
      <c r="F69" s="88"/>
      <c r="G69" s="89" t="s">
        <v>476</v>
      </c>
      <c r="H69" s="88"/>
      <c r="I69" s="111">
        <v>170</v>
      </c>
      <c r="J69" s="125"/>
      <c r="K69" s="88" t="s">
        <v>110</v>
      </c>
      <c r="L69" s="125"/>
      <c r="M69" s="88" t="s">
        <v>497</v>
      </c>
      <c r="N69" s="125"/>
      <c r="O69" s="125">
        <v>2011</v>
      </c>
      <c r="P69" s="129" t="s">
        <v>680</v>
      </c>
      <c r="Q69" s="125">
        <v>0</v>
      </c>
      <c r="R69" s="125"/>
      <c r="S69" s="106">
        <v>0</v>
      </c>
      <c r="T69" s="125"/>
      <c r="U69" s="114">
        <v>16</v>
      </c>
      <c r="V69" s="125"/>
      <c r="W69" s="119">
        <f>16*170</f>
        <v>2720</v>
      </c>
      <c r="X69" s="125"/>
      <c r="Y69" s="187">
        <v>23</v>
      </c>
      <c r="Z69" s="125"/>
      <c r="AA69" s="106">
        <f>23*170</f>
        <v>3910</v>
      </c>
      <c r="AB69" s="125"/>
      <c r="AC69" s="114">
        <v>0</v>
      </c>
      <c r="AD69" s="125"/>
      <c r="AE69" s="119">
        <v>0</v>
      </c>
      <c r="AF69" s="114">
        <v>12</v>
      </c>
      <c r="AG69" s="125"/>
      <c r="AH69" s="119">
        <f>12*170</f>
        <v>2040</v>
      </c>
      <c r="AI69" s="114"/>
      <c r="AJ69" s="125"/>
      <c r="AK69" s="119"/>
      <c r="AL69" s="114"/>
      <c r="AM69" s="125"/>
      <c r="AN69" s="119"/>
      <c r="AO69" s="255"/>
      <c r="AP69" s="468"/>
      <c r="AQ69" s="482"/>
      <c r="AR69" s="255"/>
      <c r="AS69" s="255"/>
      <c r="AT69" s="487"/>
      <c r="AU69" s="477" t="s">
        <v>713</v>
      </c>
    </row>
    <row r="70" spans="1:47" ht="46.15" customHeight="1" x14ac:dyDescent="0.2">
      <c r="A70" s="261" t="s">
        <v>468</v>
      </c>
      <c r="B70" s="125"/>
      <c r="C70" s="88" t="s">
        <v>498</v>
      </c>
      <c r="D70" s="125"/>
      <c r="E70" s="89" t="s">
        <v>766</v>
      </c>
      <c r="F70" s="88"/>
      <c r="G70" s="89" t="s">
        <v>476</v>
      </c>
      <c r="H70" s="88"/>
      <c r="I70" s="111" t="s">
        <v>734</v>
      </c>
      <c r="J70" s="125"/>
      <c r="K70" s="88" t="s">
        <v>110</v>
      </c>
      <c r="L70" s="125"/>
      <c r="M70" s="88" t="s">
        <v>497</v>
      </c>
      <c r="N70" s="125"/>
      <c r="O70" s="125">
        <v>2016</v>
      </c>
      <c r="P70" s="129" t="s">
        <v>680</v>
      </c>
      <c r="Q70" s="125">
        <v>110</v>
      </c>
      <c r="R70" s="125"/>
      <c r="S70" s="106">
        <f>110*225</f>
        <v>24750</v>
      </c>
      <c r="T70" s="125"/>
      <c r="U70" s="114">
        <v>108</v>
      </c>
      <c r="V70" s="125"/>
      <c r="W70" s="119">
        <f>108*250</f>
        <v>27000</v>
      </c>
      <c r="X70" s="125"/>
      <c r="Y70" s="187">
        <v>97</v>
      </c>
      <c r="Z70" s="125"/>
      <c r="AA70" s="106">
        <f>97*250</f>
        <v>24250</v>
      </c>
      <c r="AB70" s="125"/>
      <c r="AC70" s="114">
        <v>77</v>
      </c>
      <c r="AD70" s="125"/>
      <c r="AE70" s="119">
        <f>77*250</f>
        <v>19250</v>
      </c>
      <c r="AF70" s="114">
        <v>106</v>
      </c>
      <c r="AG70" s="125"/>
      <c r="AH70" s="119">
        <f>106*250</f>
        <v>26500</v>
      </c>
      <c r="AI70" s="125">
        <v>122</v>
      </c>
      <c r="AJ70" s="125"/>
      <c r="AK70" s="106">
        <v>30500</v>
      </c>
      <c r="AL70" s="125">
        <v>89</v>
      </c>
      <c r="AM70" s="125"/>
      <c r="AN70" s="106">
        <v>24475</v>
      </c>
      <c r="AP70" s="470"/>
      <c r="AQ70" s="484">
        <v>29540</v>
      </c>
      <c r="AT70" s="489">
        <v>28455</v>
      </c>
      <c r="AU70" s="478" t="s">
        <v>713</v>
      </c>
    </row>
    <row r="71" spans="1:47" ht="46.15" customHeight="1" x14ac:dyDescent="0.2">
      <c r="A71" s="261" t="s">
        <v>468</v>
      </c>
      <c r="B71" s="125"/>
      <c r="C71" s="88" t="s">
        <v>498</v>
      </c>
      <c r="D71" s="125"/>
      <c r="E71" s="89" t="s">
        <v>558</v>
      </c>
      <c r="F71" s="88"/>
      <c r="G71" s="89" t="s">
        <v>476</v>
      </c>
      <c r="H71" s="88"/>
      <c r="I71" s="111">
        <v>160</v>
      </c>
      <c r="J71" s="125"/>
      <c r="K71" s="88" t="s">
        <v>110</v>
      </c>
      <c r="L71" s="125"/>
      <c r="M71" s="88" t="s">
        <v>497</v>
      </c>
      <c r="N71" s="125"/>
      <c r="O71" s="125">
        <v>2011</v>
      </c>
      <c r="P71" s="129" t="s">
        <v>680</v>
      </c>
      <c r="Q71" s="125">
        <v>0</v>
      </c>
      <c r="R71" s="125"/>
      <c r="S71" s="106">
        <v>0</v>
      </c>
      <c r="T71" s="125"/>
      <c r="U71" s="114">
        <v>14</v>
      </c>
      <c r="V71" s="125"/>
      <c r="W71" s="119">
        <f>14*160</f>
        <v>2240</v>
      </c>
      <c r="X71" s="125"/>
      <c r="Y71" s="187">
        <v>11</v>
      </c>
      <c r="Z71" s="125"/>
      <c r="AA71" s="106">
        <f>11*160</f>
        <v>1760</v>
      </c>
      <c r="AB71" s="125"/>
      <c r="AC71" s="114">
        <v>0</v>
      </c>
      <c r="AD71" s="125"/>
      <c r="AE71" s="119">
        <v>0</v>
      </c>
      <c r="AF71" s="114">
        <v>0</v>
      </c>
      <c r="AG71" s="125"/>
      <c r="AH71" s="119">
        <v>0</v>
      </c>
      <c r="AI71" s="125"/>
      <c r="AJ71" s="125"/>
      <c r="AK71" s="106"/>
      <c r="AL71" s="125"/>
      <c r="AM71" s="125"/>
      <c r="AN71" s="106"/>
      <c r="AO71" s="255"/>
      <c r="AP71" s="468"/>
      <c r="AQ71" s="482">
        <v>2638</v>
      </c>
      <c r="AR71" s="255"/>
      <c r="AS71" s="255"/>
      <c r="AT71" s="487"/>
      <c r="AU71" s="477" t="s">
        <v>713</v>
      </c>
    </row>
    <row r="72" spans="1:47" ht="46.15" customHeight="1" x14ac:dyDescent="0.2">
      <c r="A72" s="261" t="s">
        <v>468</v>
      </c>
      <c r="B72" s="125"/>
      <c r="C72" s="88" t="s">
        <v>498</v>
      </c>
      <c r="D72" s="125"/>
      <c r="E72" s="89" t="s">
        <v>767</v>
      </c>
      <c r="F72" s="88"/>
      <c r="G72" s="89" t="s">
        <v>476</v>
      </c>
      <c r="H72" s="88"/>
      <c r="I72" s="111">
        <v>95</v>
      </c>
      <c r="J72" s="125"/>
      <c r="K72" s="88" t="s">
        <v>110</v>
      </c>
      <c r="L72" s="125"/>
      <c r="M72" s="88" t="s">
        <v>497</v>
      </c>
      <c r="N72" s="125"/>
      <c r="O72" s="125">
        <v>2016</v>
      </c>
      <c r="P72" s="129" t="s">
        <v>680</v>
      </c>
      <c r="Q72" s="125">
        <v>229</v>
      </c>
      <c r="R72" s="125"/>
      <c r="S72" s="106">
        <f>229*95</f>
        <v>21755</v>
      </c>
      <c r="T72" s="125"/>
      <c r="U72" s="114">
        <v>178</v>
      </c>
      <c r="V72" s="125"/>
      <c r="W72" s="119">
        <f>178*95</f>
        <v>16910</v>
      </c>
      <c r="X72" s="125"/>
      <c r="Y72" s="187">
        <v>217</v>
      </c>
      <c r="Z72" s="125"/>
      <c r="AA72" s="106">
        <f>217*65</f>
        <v>14105</v>
      </c>
      <c r="AB72" s="125"/>
      <c r="AC72" s="114">
        <v>57</v>
      </c>
      <c r="AD72" s="125"/>
      <c r="AE72" s="119">
        <f>57*65</f>
        <v>3705</v>
      </c>
      <c r="AF72" s="114">
        <v>19</v>
      </c>
      <c r="AG72" s="125"/>
      <c r="AH72" s="119">
        <f>19*65</f>
        <v>1235</v>
      </c>
      <c r="AI72" s="125">
        <v>7</v>
      </c>
      <c r="AJ72" s="125"/>
      <c r="AK72" s="106">
        <v>665</v>
      </c>
      <c r="AL72" s="125">
        <v>0</v>
      </c>
      <c r="AM72" s="125"/>
      <c r="AN72" s="106"/>
      <c r="AP72" s="470"/>
      <c r="AQ72" s="484"/>
      <c r="AT72" s="489"/>
      <c r="AU72" s="478" t="s">
        <v>713</v>
      </c>
    </row>
    <row r="73" spans="1:47" ht="46.15" customHeight="1" x14ac:dyDescent="0.2">
      <c r="A73" s="261" t="s">
        <v>468</v>
      </c>
      <c r="B73" s="125"/>
      <c r="C73" s="88" t="s">
        <v>498</v>
      </c>
      <c r="D73" s="125"/>
      <c r="E73" s="89" t="s">
        <v>768</v>
      </c>
      <c r="F73" s="88"/>
      <c r="G73" s="89" t="s">
        <v>476</v>
      </c>
      <c r="H73" s="88"/>
      <c r="I73" s="111">
        <v>170</v>
      </c>
      <c r="J73" s="125"/>
      <c r="K73" s="88" t="s">
        <v>110</v>
      </c>
      <c r="L73" s="125"/>
      <c r="M73" s="88" t="s">
        <v>497</v>
      </c>
      <c r="N73" s="125"/>
      <c r="O73" s="125">
        <v>2011</v>
      </c>
      <c r="P73" s="129" t="s">
        <v>680</v>
      </c>
      <c r="Q73" s="125">
        <v>20</v>
      </c>
      <c r="R73" s="125"/>
      <c r="S73" s="106">
        <f>20*170</f>
        <v>3400</v>
      </c>
      <c r="T73" s="125"/>
      <c r="U73" s="114">
        <v>0</v>
      </c>
      <c r="V73" s="125"/>
      <c r="W73" s="119">
        <v>0</v>
      </c>
      <c r="X73" s="125"/>
      <c r="Y73" s="187">
        <v>23</v>
      </c>
      <c r="Z73" s="125"/>
      <c r="AA73" s="106">
        <f>23*170</f>
        <v>3910</v>
      </c>
      <c r="AB73" s="125"/>
      <c r="AC73" s="114">
        <v>0</v>
      </c>
      <c r="AD73" s="125"/>
      <c r="AE73" s="119">
        <v>0</v>
      </c>
      <c r="AF73" s="114">
        <v>0</v>
      </c>
      <c r="AG73" s="125"/>
      <c r="AH73" s="119">
        <v>0</v>
      </c>
      <c r="AI73" s="114"/>
      <c r="AJ73" s="125"/>
      <c r="AK73" s="119"/>
      <c r="AL73" s="114"/>
      <c r="AM73" s="125"/>
      <c r="AN73" s="119"/>
      <c r="AO73" s="255"/>
      <c r="AP73" s="468"/>
      <c r="AQ73" s="482"/>
      <c r="AR73" s="255"/>
      <c r="AS73" s="255"/>
      <c r="AT73" s="487"/>
      <c r="AU73" s="477" t="s">
        <v>713</v>
      </c>
    </row>
    <row r="74" spans="1:47" ht="46.15" customHeight="1" x14ac:dyDescent="0.2">
      <c r="A74" s="261" t="s">
        <v>468</v>
      </c>
      <c r="B74" s="125"/>
      <c r="C74" s="88" t="s">
        <v>498</v>
      </c>
      <c r="D74" s="125"/>
      <c r="E74" s="89" t="s">
        <v>486</v>
      </c>
      <c r="F74" s="88"/>
      <c r="G74" s="89" t="s">
        <v>476</v>
      </c>
      <c r="H74" s="88"/>
      <c r="I74" s="111">
        <v>35</v>
      </c>
      <c r="J74" s="125"/>
      <c r="K74" s="88" t="s">
        <v>110</v>
      </c>
      <c r="L74" s="125"/>
      <c r="M74" s="88" t="s">
        <v>497</v>
      </c>
      <c r="N74" s="125"/>
      <c r="O74" s="125">
        <v>2011</v>
      </c>
      <c r="P74" s="129" t="s">
        <v>680</v>
      </c>
      <c r="Q74" s="88">
        <v>66</v>
      </c>
      <c r="R74" s="125"/>
      <c r="S74" s="106">
        <f>66*35</f>
        <v>2310</v>
      </c>
      <c r="T74" s="125"/>
      <c r="U74" s="115">
        <v>0</v>
      </c>
      <c r="V74" s="125"/>
      <c r="W74" s="119">
        <v>0</v>
      </c>
      <c r="X74" s="125"/>
      <c r="Y74" s="188">
        <v>0</v>
      </c>
      <c r="Z74" s="125"/>
      <c r="AA74" s="106" t="s">
        <v>637</v>
      </c>
      <c r="AB74" s="125"/>
      <c r="AC74" s="115">
        <v>0</v>
      </c>
      <c r="AD74" s="125"/>
      <c r="AE74" s="119">
        <v>0</v>
      </c>
      <c r="AF74" s="114">
        <v>25</v>
      </c>
      <c r="AG74" s="192"/>
      <c r="AH74" s="119">
        <f>(17*55)+(8*35)</f>
        <v>1215</v>
      </c>
      <c r="AI74" s="115"/>
      <c r="AJ74" s="125"/>
      <c r="AK74" s="119"/>
      <c r="AL74" s="114"/>
      <c r="AM74" s="192"/>
      <c r="AN74" s="119"/>
      <c r="AP74" s="468"/>
      <c r="AQ74" s="482"/>
      <c r="AR74" s="255"/>
      <c r="AS74" s="255"/>
      <c r="AT74" s="487">
        <v>8160</v>
      </c>
      <c r="AU74" s="477" t="s">
        <v>713</v>
      </c>
    </row>
    <row r="75" spans="1:47" ht="46.15" customHeight="1" x14ac:dyDescent="0.2">
      <c r="A75" s="261" t="s">
        <v>468</v>
      </c>
      <c r="B75" s="125"/>
      <c r="C75" s="88" t="s">
        <v>498</v>
      </c>
      <c r="D75" s="125"/>
      <c r="E75" s="89" t="s">
        <v>559</v>
      </c>
      <c r="F75" s="88"/>
      <c r="G75" s="89" t="s">
        <v>476</v>
      </c>
      <c r="H75" s="88"/>
      <c r="I75" s="111">
        <v>50</v>
      </c>
      <c r="J75" s="125"/>
      <c r="K75" s="88" t="s">
        <v>110</v>
      </c>
      <c r="L75" s="125"/>
      <c r="M75" s="88" t="s">
        <v>497</v>
      </c>
      <c r="N75" s="125"/>
      <c r="O75" s="125">
        <v>2011</v>
      </c>
      <c r="P75" s="129" t="s">
        <v>680</v>
      </c>
      <c r="Q75" s="125">
        <v>0</v>
      </c>
      <c r="R75" s="125"/>
      <c r="S75" s="106">
        <v>0</v>
      </c>
      <c r="T75" s="125"/>
      <c r="U75" s="114">
        <v>51</v>
      </c>
      <c r="V75" s="125"/>
      <c r="W75" s="119">
        <f>51*50</f>
        <v>2550</v>
      </c>
      <c r="X75" s="125"/>
      <c r="Y75" s="187">
        <v>85</v>
      </c>
      <c r="Z75" s="125"/>
      <c r="AA75" s="106">
        <f>85*50</f>
        <v>4250</v>
      </c>
      <c r="AB75" s="125"/>
      <c r="AC75" s="114">
        <v>191</v>
      </c>
      <c r="AD75" s="125"/>
      <c r="AE75" s="119">
        <f>191*50</f>
        <v>9550</v>
      </c>
      <c r="AF75" s="114">
        <v>66</v>
      </c>
      <c r="AG75" s="125"/>
      <c r="AH75" s="119">
        <f>66*50</f>
        <v>3300</v>
      </c>
      <c r="AI75" s="114"/>
      <c r="AJ75" s="125"/>
      <c r="AK75" s="119"/>
      <c r="AL75" s="114"/>
      <c r="AM75" s="125"/>
      <c r="AN75" s="119"/>
      <c r="AO75" s="255"/>
      <c r="AP75" s="468"/>
      <c r="AQ75" s="482"/>
      <c r="AR75" s="255"/>
      <c r="AS75" s="255"/>
      <c r="AT75" s="487"/>
      <c r="AU75" s="477" t="s">
        <v>713</v>
      </c>
    </row>
    <row r="76" spans="1:47" ht="46.15" customHeight="1" x14ac:dyDescent="0.2">
      <c r="A76" s="261" t="s">
        <v>750</v>
      </c>
      <c r="B76" s="125"/>
      <c r="C76" s="88" t="s">
        <v>498</v>
      </c>
      <c r="D76" s="125"/>
      <c r="E76" s="89" t="s">
        <v>644</v>
      </c>
      <c r="F76" s="88"/>
      <c r="G76" s="89" t="s">
        <v>476</v>
      </c>
      <c r="H76" s="88"/>
      <c r="I76" s="111">
        <v>15</v>
      </c>
      <c r="J76" s="125"/>
      <c r="K76" s="88" t="s">
        <v>110</v>
      </c>
      <c r="L76" s="125"/>
      <c r="M76" s="88" t="s">
        <v>497</v>
      </c>
      <c r="N76" s="125"/>
      <c r="O76" s="125">
        <v>2014</v>
      </c>
      <c r="P76" s="129" t="s">
        <v>680</v>
      </c>
      <c r="Q76" s="125">
        <v>0</v>
      </c>
      <c r="R76" s="125"/>
      <c r="S76" s="106">
        <v>0</v>
      </c>
      <c r="T76" s="125"/>
      <c r="U76" s="114">
        <v>0</v>
      </c>
      <c r="V76" s="125"/>
      <c r="W76" s="119">
        <v>0</v>
      </c>
      <c r="X76" s="125"/>
      <c r="Y76" s="187">
        <v>0</v>
      </c>
      <c r="Z76" s="125"/>
      <c r="AA76" s="106">
        <v>0</v>
      </c>
      <c r="AB76" s="125"/>
      <c r="AC76" s="114">
        <v>0</v>
      </c>
      <c r="AD76" s="125"/>
      <c r="AE76" s="119">
        <v>0</v>
      </c>
      <c r="AF76" s="114">
        <v>409</v>
      </c>
      <c r="AG76" s="125"/>
      <c r="AH76" s="119">
        <f>409*15</f>
        <v>6135</v>
      </c>
      <c r="AI76" s="114"/>
      <c r="AJ76" s="125"/>
      <c r="AK76" s="119"/>
      <c r="AL76" s="114"/>
      <c r="AM76" s="125"/>
      <c r="AN76" s="119"/>
      <c r="AP76" s="470"/>
      <c r="AQ76" s="484"/>
      <c r="AT76" s="489"/>
      <c r="AU76" s="478" t="s">
        <v>713</v>
      </c>
    </row>
    <row r="77" spans="1:47" ht="46.15" customHeight="1" x14ac:dyDescent="0.2">
      <c r="A77" s="261" t="s">
        <v>468</v>
      </c>
      <c r="B77" s="125"/>
      <c r="C77" s="88" t="s">
        <v>498</v>
      </c>
      <c r="D77" s="125"/>
      <c r="E77" s="89" t="s">
        <v>487</v>
      </c>
      <c r="F77" s="88"/>
      <c r="G77" s="89" t="s">
        <v>476</v>
      </c>
      <c r="H77" s="88"/>
      <c r="I77" s="111" t="s">
        <v>735</v>
      </c>
      <c r="J77" s="125"/>
      <c r="K77" s="88" t="s">
        <v>110</v>
      </c>
      <c r="L77" s="125"/>
      <c r="M77" s="88" t="s">
        <v>497</v>
      </c>
      <c r="N77" s="125"/>
      <c r="O77" s="125">
        <v>2016</v>
      </c>
      <c r="P77" s="129" t="s">
        <v>680</v>
      </c>
      <c r="Q77" s="125">
        <v>109</v>
      </c>
      <c r="R77" s="125"/>
      <c r="S77" s="106">
        <f>109*250</f>
        <v>27250</v>
      </c>
      <c r="T77" s="125"/>
      <c r="U77" s="114">
        <v>118</v>
      </c>
      <c r="V77" s="125"/>
      <c r="W77" s="119">
        <f>118*250</f>
        <v>29500</v>
      </c>
      <c r="X77" s="125"/>
      <c r="Y77" s="187">
        <v>118</v>
      </c>
      <c r="Z77" s="125"/>
      <c r="AA77" s="106">
        <f>118*250</f>
        <v>29500</v>
      </c>
      <c r="AB77" s="125"/>
      <c r="AC77" s="114">
        <v>142</v>
      </c>
      <c r="AD77" s="125"/>
      <c r="AE77" s="119">
        <f>142*250</f>
        <v>35500</v>
      </c>
      <c r="AF77" s="114">
        <v>115</v>
      </c>
      <c r="AG77" s="125"/>
      <c r="AH77" s="119">
        <f>115*270</f>
        <v>31050</v>
      </c>
      <c r="AI77" s="125">
        <v>132</v>
      </c>
      <c r="AJ77" s="125"/>
      <c r="AK77" s="106">
        <v>35640</v>
      </c>
      <c r="AL77" s="125">
        <v>140</v>
      </c>
      <c r="AM77" s="125"/>
      <c r="AN77" s="106">
        <v>37800</v>
      </c>
      <c r="AO77" s="255"/>
      <c r="AP77" s="468"/>
      <c r="AQ77" s="482">
        <v>26630</v>
      </c>
      <c r="AR77" s="255"/>
      <c r="AS77" s="255"/>
      <c r="AT77" s="487">
        <v>63030</v>
      </c>
      <c r="AU77" s="477" t="s">
        <v>713</v>
      </c>
    </row>
    <row r="78" spans="1:47" ht="46.15" customHeight="1" x14ac:dyDescent="0.2">
      <c r="A78" s="261" t="s">
        <v>468</v>
      </c>
      <c r="B78" s="125"/>
      <c r="C78" s="88" t="s">
        <v>498</v>
      </c>
      <c r="D78" s="125"/>
      <c r="E78" s="89" t="s">
        <v>488</v>
      </c>
      <c r="F78" s="88"/>
      <c r="G78" s="89" t="s">
        <v>476</v>
      </c>
      <c r="H78" s="88"/>
      <c r="I78" s="111" t="s">
        <v>736</v>
      </c>
      <c r="J78" s="125"/>
      <c r="K78" s="88" t="s">
        <v>110</v>
      </c>
      <c r="L78" s="125"/>
      <c r="M78" s="88" t="s">
        <v>497</v>
      </c>
      <c r="N78" s="125"/>
      <c r="O78" s="125">
        <v>2016</v>
      </c>
      <c r="P78" s="129" t="s">
        <v>680</v>
      </c>
      <c r="Q78" s="125">
        <v>15</v>
      </c>
      <c r="R78" s="125"/>
      <c r="S78" s="106">
        <f>15*60</f>
        <v>900</v>
      </c>
      <c r="T78" s="125"/>
      <c r="U78" s="114">
        <v>18</v>
      </c>
      <c r="V78" s="125"/>
      <c r="W78" s="119">
        <f>18*60</f>
        <v>1080</v>
      </c>
      <c r="X78" s="125"/>
      <c r="Y78" s="187">
        <v>14</v>
      </c>
      <c r="Z78" s="125"/>
      <c r="AA78" s="106">
        <f>14*60</f>
        <v>840</v>
      </c>
      <c r="AB78" s="125"/>
      <c r="AC78" s="114">
        <v>26</v>
      </c>
      <c r="AD78" s="125"/>
      <c r="AE78" s="119">
        <f>26*60</f>
        <v>1560</v>
      </c>
      <c r="AF78" s="114">
        <v>30</v>
      </c>
      <c r="AG78" s="125"/>
      <c r="AH78" s="119">
        <f>(21*60)+500</f>
        <v>1760</v>
      </c>
      <c r="AI78" s="125">
        <v>14</v>
      </c>
      <c r="AJ78" s="125"/>
      <c r="AK78" s="106">
        <v>1400</v>
      </c>
      <c r="AL78" s="125">
        <v>18</v>
      </c>
      <c r="AM78" s="125"/>
      <c r="AN78" s="106">
        <v>1800</v>
      </c>
      <c r="AP78" s="470"/>
      <c r="AQ78" s="484">
        <v>2400</v>
      </c>
      <c r="AT78" s="489">
        <v>2125</v>
      </c>
      <c r="AU78" s="478" t="s">
        <v>713</v>
      </c>
    </row>
    <row r="79" spans="1:47" ht="46.15" customHeight="1" x14ac:dyDescent="0.2">
      <c r="A79" s="261" t="s">
        <v>468</v>
      </c>
      <c r="B79" s="125"/>
      <c r="C79" s="88" t="s">
        <v>498</v>
      </c>
      <c r="D79" s="125"/>
      <c r="E79" s="89" t="s">
        <v>560</v>
      </c>
      <c r="F79" s="88"/>
      <c r="G79" s="89" t="s">
        <v>476</v>
      </c>
      <c r="H79" s="88"/>
      <c r="I79" s="111" t="s">
        <v>737</v>
      </c>
      <c r="J79" s="125"/>
      <c r="K79" s="88" t="s">
        <v>110</v>
      </c>
      <c r="L79" s="125"/>
      <c r="M79" s="88" t="s">
        <v>497</v>
      </c>
      <c r="N79" s="125"/>
      <c r="O79" s="125">
        <v>2016</v>
      </c>
      <c r="P79" s="129" t="s">
        <v>680</v>
      </c>
      <c r="Q79" s="125">
        <v>13</v>
      </c>
      <c r="R79" s="125"/>
      <c r="S79" s="106">
        <f>13*90</f>
        <v>1170</v>
      </c>
      <c r="T79" s="125"/>
      <c r="U79" s="114">
        <v>8</v>
      </c>
      <c r="V79" s="125"/>
      <c r="W79" s="119">
        <f>8*95</f>
        <v>760</v>
      </c>
      <c r="X79" s="125"/>
      <c r="Y79" s="187">
        <v>16</v>
      </c>
      <c r="Z79" s="125"/>
      <c r="AA79" s="106">
        <f>16*95</f>
        <v>1520</v>
      </c>
      <c r="AB79" s="125"/>
      <c r="AC79" s="114">
        <v>16</v>
      </c>
      <c r="AD79" s="125"/>
      <c r="AE79" s="119">
        <f>16*95</f>
        <v>1520</v>
      </c>
      <c r="AF79" s="114">
        <v>13</v>
      </c>
      <c r="AG79" s="125"/>
      <c r="AH79" s="119">
        <f>13*95</f>
        <v>1235</v>
      </c>
      <c r="AI79" s="125">
        <v>113</v>
      </c>
      <c r="AJ79" s="125"/>
      <c r="AK79" s="106">
        <v>16950</v>
      </c>
      <c r="AL79" s="125">
        <v>69</v>
      </c>
      <c r="AM79" s="125"/>
      <c r="AN79" s="106">
        <v>10350</v>
      </c>
      <c r="AO79" s="255"/>
      <c r="AP79" s="468"/>
      <c r="AQ79" s="482">
        <v>8310</v>
      </c>
      <c r="AR79" s="255"/>
      <c r="AS79" s="255"/>
      <c r="AT79" s="487">
        <f>250+1500</f>
        <v>1750</v>
      </c>
      <c r="AU79" s="477" t="s">
        <v>713</v>
      </c>
    </row>
    <row r="80" spans="1:47" ht="46.15" customHeight="1" x14ac:dyDescent="0.2">
      <c r="A80" s="261" t="s">
        <v>468</v>
      </c>
      <c r="B80" s="125"/>
      <c r="C80" s="88" t="s">
        <v>498</v>
      </c>
      <c r="D80" s="125"/>
      <c r="E80" s="89" t="s">
        <v>489</v>
      </c>
      <c r="F80" s="88"/>
      <c r="G80" s="89" t="s">
        <v>476</v>
      </c>
      <c r="H80" s="88"/>
      <c r="I80" s="111" t="s">
        <v>769</v>
      </c>
      <c r="J80" s="125"/>
      <c r="K80" s="88" t="s">
        <v>110</v>
      </c>
      <c r="L80" s="125"/>
      <c r="M80" s="88" t="s">
        <v>497</v>
      </c>
      <c r="N80" s="125"/>
      <c r="O80" s="125">
        <v>2011</v>
      </c>
      <c r="P80" s="129" t="s">
        <v>680</v>
      </c>
      <c r="Q80" s="125">
        <v>148</v>
      </c>
      <c r="R80" s="125"/>
      <c r="S80" s="106">
        <f>148*70</f>
        <v>10360</v>
      </c>
      <c r="T80" s="125"/>
      <c r="U80" s="114">
        <v>97</v>
      </c>
      <c r="V80" s="125"/>
      <c r="W80" s="119">
        <f>97*75</f>
        <v>7275</v>
      </c>
      <c r="X80" s="125"/>
      <c r="Y80" s="187">
        <v>102</v>
      </c>
      <c r="Z80" s="125"/>
      <c r="AA80" s="106">
        <f>102*75</f>
        <v>7650</v>
      </c>
      <c r="AB80" s="125"/>
      <c r="AC80" s="114">
        <v>97</v>
      </c>
      <c r="AD80" s="125"/>
      <c r="AE80" s="119">
        <f>97*75</f>
        <v>7275</v>
      </c>
      <c r="AF80" s="114">
        <v>101</v>
      </c>
      <c r="AG80" s="125"/>
      <c r="AH80" s="119">
        <f>101*75</f>
        <v>7575</v>
      </c>
      <c r="AI80" s="114"/>
      <c r="AJ80" s="125"/>
      <c r="AK80" s="119"/>
      <c r="AL80" s="114"/>
      <c r="AM80" s="125"/>
      <c r="AN80" s="119"/>
      <c r="AP80" s="470"/>
      <c r="AQ80" s="484"/>
      <c r="AT80" s="489">
        <v>9550</v>
      </c>
      <c r="AU80" s="478" t="s">
        <v>713</v>
      </c>
    </row>
    <row r="81" spans="1:1531" ht="46.15" customHeight="1" x14ac:dyDescent="0.2">
      <c r="A81" s="261" t="s">
        <v>468</v>
      </c>
      <c r="B81" s="125"/>
      <c r="C81" s="88" t="s">
        <v>498</v>
      </c>
      <c r="D81" s="125"/>
      <c r="E81" s="89" t="s">
        <v>490</v>
      </c>
      <c r="F81" s="88"/>
      <c r="G81" s="89" t="s">
        <v>476</v>
      </c>
      <c r="H81" s="88"/>
      <c r="I81" s="111" t="s">
        <v>738</v>
      </c>
      <c r="J81" s="125"/>
      <c r="K81" s="88" t="s">
        <v>110</v>
      </c>
      <c r="L81" s="125"/>
      <c r="M81" s="88" t="s">
        <v>497</v>
      </c>
      <c r="N81" s="125"/>
      <c r="O81" s="125">
        <v>2016</v>
      </c>
      <c r="P81" s="129" t="s">
        <v>680</v>
      </c>
      <c r="Q81" s="125">
        <v>716</v>
      </c>
      <c r="R81" s="125"/>
      <c r="S81" s="106">
        <f>716*140</f>
        <v>100240</v>
      </c>
      <c r="T81" s="125"/>
      <c r="U81" s="114">
        <v>690</v>
      </c>
      <c r="V81" s="125"/>
      <c r="W81" s="119">
        <f>690*145</f>
        <v>100050</v>
      </c>
      <c r="X81" s="125"/>
      <c r="Y81" s="187">
        <v>730</v>
      </c>
      <c r="Z81" s="125"/>
      <c r="AA81" s="106">
        <f>730*145</f>
        <v>105850</v>
      </c>
      <c r="AB81" s="125"/>
      <c r="AC81" s="114">
        <v>774</v>
      </c>
      <c r="AD81" s="125"/>
      <c r="AE81" s="119">
        <f>774*145</f>
        <v>112230</v>
      </c>
      <c r="AF81" s="114">
        <v>739</v>
      </c>
      <c r="AG81" s="125"/>
      <c r="AH81" s="119">
        <f>739*160</f>
        <v>118240</v>
      </c>
      <c r="AI81" s="125">
        <v>575</v>
      </c>
      <c r="AJ81" s="125"/>
      <c r="AK81" s="106">
        <v>92000</v>
      </c>
      <c r="AL81" s="125">
        <v>663</v>
      </c>
      <c r="AM81" s="125"/>
      <c r="AN81" s="106">
        <v>106080</v>
      </c>
      <c r="AO81" s="255"/>
      <c r="AP81" s="468"/>
      <c r="AQ81" s="482">
        <v>116340</v>
      </c>
      <c r="AR81" s="255"/>
      <c r="AS81" s="255"/>
      <c r="AT81" s="487">
        <v>151032</v>
      </c>
      <c r="AU81" s="477" t="s">
        <v>713</v>
      </c>
    </row>
    <row r="82" spans="1:1531" ht="46.15" customHeight="1" x14ac:dyDescent="0.2">
      <c r="A82" s="261" t="s">
        <v>468</v>
      </c>
      <c r="B82" s="125"/>
      <c r="C82" s="88" t="s">
        <v>498</v>
      </c>
      <c r="D82" s="125"/>
      <c r="E82" s="89" t="s">
        <v>491</v>
      </c>
      <c r="F82" s="88"/>
      <c r="G82" s="89" t="s">
        <v>476</v>
      </c>
      <c r="H82" s="88"/>
      <c r="I82" s="111">
        <v>85</v>
      </c>
      <c r="J82" s="125"/>
      <c r="K82" s="88" t="s">
        <v>110</v>
      </c>
      <c r="L82" s="125"/>
      <c r="M82" s="88" t="s">
        <v>497</v>
      </c>
      <c r="N82" s="125"/>
      <c r="O82" s="125">
        <v>2011</v>
      </c>
      <c r="P82" s="129" t="s">
        <v>680</v>
      </c>
      <c r="Q82" s="125">
        <v>0</v>
      </c>
      <c r="R82" s="125"/>
      <c r="S82" s="106">
        <v>0</v>
      </c>
      <c r="T82" s="125"/>
      <c r="U82" s="114">
        <v>7</v>
      </c>
      <c r="V82" s="125"/>
      <c r="W82" s="119">
        <f>7*85</f>
        <v>595</v>
      </c>
      <c r="X82" s="125"/>
      <c r="Y82" s="187">
        <v>0</v>
      </c>
      <c r="Z82" s="125"/>
      <c r="AA82" s="106">
        <v>0</v>
      </c>
      <c r="AB82" s="125"/>
      <c r="AC82" s="114">
        <v>0</v>
      </c>
      <c r="AD82" s="125"/>
      <c r="AE82" s="119">
        <v>0</v>
      </c>
      <c r="AF82" s="114">
        <v>0</v>
      </c>
      <c r="AG82" s="125"/>
      <c r="AH82" s="119">
        <v>0</v>
      </c>
      <c r="AI82" s="114"/>
      <c r="AJ82" s="125"/>
      <c r="AK82" s="119"/>
      <c r="AL82" s="114"/>
      <c r="AM82" s="125"/>
      <c r="AN82" s="119"/>
      <c r="AP82" s="470"/>
      <c r="AQ82" s="484"/>
      <c r="AT82" s="489"/>
      <c r="AU82" s="479" t="s">
        <v>713</v>
      </c>
    </row>
    <row r="83" spans="1:1531" s="37" customFormat="1" ht="46.15" customHeight="1" x14ac:dyDescent="0.2">
      <c r="A83" s="261" t="s">
        <v>468</v>
      </c>
      <c r="B83" s="125"/>
      <c r="C83" s="88" t="s">
        <v>498</v>
      </c>
      <c r="D83" s="125"/>
      <c r="E83" s="89" t="s">
        <v>561</v>
      </c>
      <c r="F83" s="88"/>
      <c r="G83" s="89" t="s">
        <v>476</v>
      </c>
      <c r="H83" s="88"/>
      <c r="I83" s="111">
        <v>85</v>
      </c>
      <c r="J83" s="125"/>
      <c r="K83" s="88" t="s">
        <v>110</v>
      </c>
      <c r="L83" s="125"/>
      <c r="M83" s="88" t="s">
        <v>497</v>
      </c>
      <c r="N83" s="125"/>
      <c r="O83" s="125">
        <v>2011</v>
      </c>
      <c r="P83" s="129" t="s">
        <v>680</v>
      </c>
      <c r="Q83" s="125">
        <v>0</v>
      </c>
      <c r="R83" s="125"/>
      <c r="S83" s="106">
        <v>0</v>
      </c>
      <c r="T83" s="125"/>
      <c r="U83" s="114">
        <v>10</v>
      </c>
      <c r="V83" s="125"/>
      <c r="W83" s="119">
        <f>10*85</f>
        <v>850</v>
      </c>
      <c r="X83" s="125"/>
      <c r="Y83" s="187">
        <v>0</v>
      </c>
      <c r="Z83" s="125"/>
      <c r="AA83" s="106">
        <v>0</v>
      </c>
      <c r="AB83" s="125"/>
      <c r="AC83" s="114">
        <v>0</v>
      </c>
      <c r="AD83" s="125"/>
      <c r="AE83" s="119">
        <v>0</v>
      </c>
      <c r="AF83" s="114">
        <v>0</v>
      </c>
      <c r="AG83" s="125"/>
      <c r="AH83" s="119">
        <v>0</v>
      </c>
      <c r="AI83" s="114">
        <v>0</v>
      </c>
      <c r="AJ83" s="125"/>
      <c r="AK83" s="119"/>
      <c r="AL83" s="114"/>
      <c r="AM83" s="125"/>
      <c r="AN83" s="119"/>
      <c r="AO83" s="107"/>
      <c r="AP83" s="468"/>
      <c r="AQ83" s="482"/>
      <c r="AR83" s="107"/>
      <c r="AS83" s="107"/>
      <c r="AT83" s="487"/>
      <c r="AU83" s="480" t="s">
        <v>713</v>
      </c>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c r="CE83" s="203"/>
      <c r="CF83" s="203"/>
      <c r="CG83" s="203"/>
      <c r="CH83" s="203"/>
      <c r="CI83" s="203"/>
      <c r="CJ83" s="203"/>
      <c r="CK83" s="203"/>
      <c r="CL83" s="203"/>
      <c r="CM83" s="203"/>
      <c r="CN83" s="203"/>
      <c r="CO83" s="203"/>
      <c r="CP83" s="203"/>
      <c r="CQ83" s="203"/>
      <c r="CR83" s="203"/>
      <c r="CS83" s="203"/>
      <c r="CT83" s="203"/>
      <c r="CU83" s="203"/>
      <c r="CV83" s="203"/>
      <c r="CW83" s="203"/>
      <c r="CX83" s="203"/>
      <c r="CY83" s="20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c r="EK83" s="203"/>
      <c r="EL83" s="203"/>
      <c r="EM83" s="203"/>
      <c r="EN83" s="203"/>
      <c r="EO83" s="203"/>
      <c r="EP83" s="203"/>
      <c r="EQ83" s="203"/>
      <c r="ER83" s="203"/>
      <c r="ES83" s="203"/>
      <c r="ET83" s="203"/>
      <c r="EU83" s="203"/>
      <c r="EV83" s="203"/>
      <c r="EW83" s="203"/>
      <c r="EX83" s="203"/>
      <c r="EY83" s="203"/>
      <c r="EZ83" s="203"/>
      <c r="FA83" s="203"/>
      <c r="FB83" s="203"/>
      <c r="FC83" s="203"/>
      <c r="FD83" s="203"/>
      <c r="FE83" s="203"/>
      <c r="FF83" s="203"/>
      <c r="FG83" s="203"/>
      <c r="FH83" s="203"/>
      <c r="FI83" s="203"/>
      <c r="FJ83" s="203"/>
      <c r="FK83" s="203"/>
      <c r="FL83" s="203"/>
      <c r="FM83" s="203"/>
      <c r="FN83" s="203"/>
      <c r="FO83" s="203"/>
      <c r="FP83" s="203"/>
      <c r="FQ83" s="203"/>
      <c r="FR83" s="203"/>
      <c r="FS83" s="203"/>
      <c r="FT83" s="203"/>
      <c r="FU83" s="203"/>
      <c r="FV83" s="203"/>
      <c r="FW83" s="203"/>
      <c r="FX83" s="203"/>
      <c r="FY83" s="203"/>
      <c r="FZ83" s="203"/>
      <c r="GA83" s="203"/>
      <c r="GB83" s="203"/>
      <c r="GC83" s="203"/>
      <c r="GD83" s="203"/>
      <c r="GE83" s="203"/>
      <c r="GF83" s="203"/>
      <c r="GG83" s="203"/>
      <c r="GH83" s="203"/>
      <c r="GI83" s="203"/>
      <c r="GJ83" s="203"/>
      <c r="GK83" s="203"/>
      <c r="GL83" s="203"/>
      <c r="GM83" s="203"/>
      <c r="GN83" s="203"/>
      <c r="GO83" s="203"/>
      <c r="GP83" s="203"/>
      <c r="GQ83" s="203"/>
      <c r="GR83" s="203"/>
      <c r="GS83" s="203"/>
      <c r="GT83" s="203"/>
      <c r="GU83" s="203"/>
      <c r="GV83" s="203"/>
      <c r="GW83" s="203"/>
      <c r="GX83" s="203"/>
      <c r="GY83" s="203"/>
      <c r="GZ83" s="203"/>
      <c r="HA83" s="203"/>
      <c r="HB83" s="203"/>
      <c r="HC83" s="203"/>
      <c r="HD83" s="203"/>
      <c r="HE83" s="203"/>
      <c r="HF83" s="203"/>
      <c r="HG83" s="203"/>
      <c r="HH83" s="203"/>
      <c r="HI83" s="203"/>
      <c r="HJ83" s="203"/>
      <c r="HK83" s="203"/>
      <c r="HL83" s="203"/>
      <c r="HM83" s="203"/>
      <c r="HN83" s="203"/>
      <c r="HO83" s="203"/>
      <c r="HP83" s="203"/>
      <c r="HQ83" s="203"/>
      <c r="HR83" s="203"/>
      <c r="HS83" s="203"/>
      <c r="HT83" s="203"/>
      <c r="HU83" s="203"/>
      <c r="HV83" s="203"/>
      <c r="HW83" s="203"/>
      <c r="HX83" s="203"/>
      <c r="HY83" s="203"/>
      <c r="HZ83" s="203"/>
      <c r="IA83" s="203"/>
      <c r="IB83" s="203"/>
      <c r="IC83" s="203"/>
      <c r="ID83" s="203"/>
      <c r="IE83" s="203"/>
      <c r="IF83" s="203"/>
      <c r="IG83" s="203"/>
      <c r="IH83" s="203"/>
      <c r="II83" s="203"/>
      <c r="IJ83" s="203"/>
      <c r="IK83" s="203"/>
      <c r="IL83" s="203"/>
      <c r="IM83" s="203"/>
      <c r="IN83" s="203"/>
      <c r="IO83" s="203"/>
      <c r="IP83" s="203"/>
      <c r="IQ83" s="203"/>
      <c r="IR83" s="203"/>
      <c r="IS83" s="203"/>
      <c r="IT83" s="203"/>
      <c r="IU83" s="203"/>
      <c r="IV83" s="203"/>
      <c r="IW83" s="203"/>
      <c r="IX83" s="203"/>
      <c r="IY83" s="203"/>
      <c r="IZ83" s="203"/>
      <c r="JA83" s="203"/>
      <c r="JB83" s="203"/>
      <c r="JC83" s="203"/>
      <c r="JD83" s="203"/>
      <c r="JE83" s="203"/>
      <c r="JF83" s="203"/>
      <c r="JG83" s="203"/>
      <c r="JH83" s="203"/>
      <c r="JI83" s="203"/>
      <c r="JJ83" s="203"/>
      <c r="JK83" s="203"/>
      <c r="JL83" s="203"/>
      <c r="JM83" s="203"/>
      <c r="JN83" s="203"/>
      <c r="JO83" s="203"/>
      <c r="JP83" s="203"/>
      <c r="JQ83" s="203"/>
      <c r="JR83" s="203"/>
      <c r="JS83" s="203"/>
      <c r="JT83" s="203"/>
      <c r="JU83" s="203"/>
      <c r="JV83" s="203"/>
      <c r="JW83" s="203"/>
      <c r="JX83" s="203"/>
      <c r="JY83" s="203"/>
      <c r="JZ83" s="203"/>
      <c r="KA83" s="203"/>
      <c r="KB83" s="203"/>
      <c r="KC83" s="203"/>
      <c r="KD83" s="203"/>
      <c r="KE83" s="203"/>
      <c r="KF83" s="203"/>
      <c r="KG83" s="203"/>
      <c r="KH83" s="203"/>
      <c r="KI83" s="203"/>
      <c r="KJ83" s="203"/>
      <c r="KK83" s="203"/>
      <c r="KL83" s="203"/>
      <c r="KM83" s="203"/>
      <c r="KN83" s="203"/>
      <c r="KO83" s="203"/>
      <c r="KP83" s="203"/>
      <c r="KQ83" s="203"/>
      <c r="KR83" s="203"/>
      <c r="KS83" s="203"/>
      <c r="KT83" s="203"/>
      <c r="KU83" s="203"/>
      <c r="KV83" s="203"/>
      <c r="KW83" s="203"/>
      <c r="KX83" s="203"/>
      <c r="KY83" s="203"/>
      <c r="KZ83" s="203"/>
      <c r="LA83" s="203"/>
      <c r="LB83" s="203"/>
      <c r="LC83" s="203"/>
      <c r="LD83" s="203"/>
      <c r="LE83" s="203"/>
      <c r="LF83" s="203"/>
      <c r="LG83" s="203"/>
      <c r="LH83" s="203"/>
      <c r="LI83" s="203"/>
      <c r="LJ83" s="203"/>
      <c r="LK83" s="203"/>
      <c r="LL83" s="203"/>
      <c r="LM83" s="203"/>
      <c r="LN83" s="203"/>
      <c r="LO83" s="203"/>
      <c r="LP83" s="203"/>
      <c r="LQ83" s="203"/>
      <c r="LR83" s="203"/>
      <c r="LS83" s="203"/>
      <c r="LT83" s="203"/>
      <c r="LU83" s="203"/>
      <c r="LV83" s="203"/>
      <c r="LW83" s="203"/>
      <c r="LX83" s="203"/>
      <c r="LY83" s="203"/>
      <c r="LZ83" s="203"/>
      <c r="MA83" s="203"/>
      <c r="MB83" s="203"/>
      <c r="MC83" s="203"/>
      <c r="MD83" s="203"/>
      <c r="ME83" s="203"/>
      <c r="MF83" s="203"/>
      <c r="MG83" s="203"/>
      <c r="MH83" s="203"/>
      <c r="MI83" s="203"/>
      <c r="MJ83" s="203"/>
      <c r="MK83" s="203"/>
      <c r="ML83" s="203"/>
      <c r="MM83" s="203"/>
      <c r="MN83" s="203"/>
      <c r="MO83" s="203"/>
      <c r="MP83" s="203"/>
      <c r="MQ83" s="203"/>
      <c r="MR83" s="203"/>
      <c r="MS83" s="203"/>
      <c r="MT83" s="203"/>
      <c r="MU83" s="203"/>
      <c r="MV83" s="203"/>
      <c r="MW83" s="203"/>
      <c r="MX83" s="203"/>
      <c r="MY83" s="203"/>
      <c r="MZ83" s="203"/>
      <c r="NA83" s="203"/>
      <c r="NB83" s="203"/>
      <c r="NC83" s="203"/>
      <c r="ND83" s="203"/>
      <c r="NE83" s="203"/>
      <c r="NF83" s="203"/>
      <c r="NG83" s="203"/>
      <c r="NH83" s="203"/>
      <c r="NI83" s="203"/>
      <c r="NJ83" s="203"/>
      <c r="NK83" s="203"/>
      <c r="NL83" s="203"/>
      <c r="NM83" s="203"/>
      <c r="NN83" s="203"/>
      <c r="NO83" s="203"/>
      <c r="NP83" s="203"/>
      <c r="NQ83" s="203"/>
      <c r="NR83" s="203"/>
      <c r="NS83" s="203"/>
      <c r="NT83" s="203"/>
      <c r="NU83" s="203"/>
      <c r="NV83" s="203"/>
      <c r="NW83" s="203"/>
      <c r="NX83" s="203"/>
      <c r="NY83" s="203"/>
      <c r="NZ83" s="203"/>
      <c r="OA83" s="203"/>
      <c r="OB83" s="203"/>
      <c r="OC83" s="203"/>
      <c r="OD83" s="203"/>
      <c r="OE83" s="203"/>
      <c r="OF83" s="203"/>
      <c r="OG83" s="203"/>
      <c r="OH83" s="203"/>
      <c r="OI83" s="203"/>
      <c r="OJ83" s="203"/>
      <c r="OK83" s="203"/>
      <c r="OL83" s="203"/>
      <c r="OM83" s="203"/>
      <c r="ON83" s="203"/>
      <c r="OO83" s="203"/>
      <c r="OP83" s="203"/>
      <c r="OQ83" s="203"/>
      <c r="OR83" s="203"/>
      <c r="OS83" s="203"/>
      <c r="OT83" s="203"/>
      <c r="OU83" s="203"/>
      <c r="OV83" s="203"/>
      <c r="OW83" s="203"/>
      <c r="OX83" s="203"/>
      <c r="OY83" s="203"/>
      <c r="OZ83" s="203"/>
      <c r="PA83" s="203"/>
      <c r="PB83" s="203"/>
      <c r="PC83" s="203"/>
      <c r="PD83" s="203"/>
      <c r="PE83" s="203"/>
      <c r="PF83" s="203"/>
      <c r="PG83" s="203"/>
      <c r="PH83" s="203"/>
      <c r="PI83" s="203"/>
      <c r="PJ83" s="203"/>
      <c r="PK83" s="203"/>
      <c r="PL83" s="203"/>
      <c r="PM83" s="203"/>
      <c r="PN83" s="203"/>
      <c r="PO83" s="203"/>
      <c r="PP83" s="203"/>
      <c r="PQ83" s="203"/>
      <c r="PR83" s="203"/>
      <c r="PS83" s="203"/>
      <c r="PT83" s="203"/>
      <c r="PU83" s="203"/>
      <c r="PV83" s="203"/>
      <c r="PW83" s="203"/>
      <c r="PX83" s="203"/>
      <c r="PY83" s="203"/>
      <c r="PZ83" s="203"/>
      <c r="QA83" s="203"/>
      <c r="QB83" s="203"/>
      <c r="QC83" s="203"/>
      <c r="QD83" s="203"/>
      <c r="QE83" s="203"/>
      <c r="QF83" s="203"/>
      <c r="QG83" s="203"/>
      <c r="QH83" s="203"/>
      <c r="QI83" s="203"/>
      <c r="QJ83" s="203"/>
      <c r="QK83" s="203"/>
      <c r="QL83" s="203"/>
      <c r="QM83" s="203"/>
      <c r="QN83" s="203"/>
      <c r="QO83" s="203"/>
      <c r="QP83" s="203"/>
      <c r="QQ83" s="203"/>
      <c r="QR83" s="203"/>
      <c r="QS83" s="203"/>
      <c r="QT83" s="203"/>
      <c r="QU83" s="203"/>
      <c r="QV83" s="203"/>
      <c r="QW83" s="203"/>
      <c r="QX83" s="203"/>
      <c r="QY83" s="203"/>
      <c r="QZ83" s="203"/>
      <c r="RA83" s="203"/>
      <c r="RB83" s="203"/>
      <c r="RC83" s="203"/>
      <c r="RD83" s="203"/>
      <c r="RE83" s="203"/>
      <c r="RF83" s="203"/>
      <c r="RG83" s="203"/>
      <c r="RH83" s="203"/>
      <c r="RI83" s="203"/>
      <c r="RJ83" s="203"/>
      <c r="RK83" s="203"/>
      <c r="RL83" s="203"/>
      <c r="RM83" s="203"/>
      <c r="RN83" s="203"/>
      <c r="RO83" s="203"/>
      <c r="RP83" s="203"/>
      <c r="RQ83" s="203"/>
      <c r="RR83" s="203"/>
      <c r="RS83" s="203"/>
      <c r="RT83" s="203"/>
      <c r="RU83" s="203"/>
      <c r="RV83" s="203"/>
      <c r="RW83" s="203"/>
      <c r="RX83" s="203"/>
      <c r="RY83" s="203"/>
      <c r="RZ83" s="203"/>
      <c r="SA83" s="203"/>
      <c r="SB83" s="203"/>
      <c r="SC83" s="203"/>
      <c r="SD83" s="203"/>
      <c r="SE83" s="203"/>
      <c r="SF83" s="203"/>
      <c r="SG83" s="203"/>
      <c r="SH83" s="203"/>
      <c r="SI83" s="203"/>
      <c r="SJ83" s="203"/>
      <c r="SK83" s="203"/>
      <c r="SL83" s="203"/>
      <c r="SM83" s="203"/>
      <c r="SN83" s="203"/>
      <c r="SO83" s="203"/>
      <c r="SP83" s="203"/>
      <c r="SQ83" s="203"/>
      <c r="SR83" s="203"/>
      <c r="SS83" s="203"/>
      <c r="ST83" s="203"/>
      <c r="SU83" s="203"/>
      <c r="SV83" s="203"/>
      <c r="SW83" s="203"/>
      <c r="SX83" s="203"/>
      <c r="SY83" s="203"/>
      <c r="SZ83" s="203"/>
      <c r="TA83" s="203"/>
      <c r="TB83" s="203"/>
      <c r="TC83" s="203"/>
      <c r="TD83" s="203"/>
      <c r="TE83" s="203"/>
      <c r="TF83" s="203"/>
      <c r="TG83" s="203"/>
      <c r="TH83" s="203"/>
      <c r="TI83" s="203"/>
      <c r="TJ83" s="203"/>
      <c r="TK83" s="203"/>
      <c r="TL83" s="203"/>
      <c r="TM83" s="203"/>
      <c r="TN83" s="203"/>
      <c r="TO83" s="203"/>
      <c r="TP83" s="203"/>
      <c r="TQ83" s="203"/>
      <c r="TR83" s="203"/>
      <c r="TS83" s="203"/>
      <c r="TT83" s="203"/>
      <c r="TU83" s="203"/>
      <c r="TV83" s="203"/>
      <c r="TW83" s="203"/>
      <c r="TX83" s="203"/>
      <c r="TY83" s="203"/>
      <c r="TZ83" s="203"/>
      <c r="UA83" s="203"/>
      <c r="UB83" s="203"/>
      <c r="UC83" s="203"/>
      <c r="UD83" s="203"/>
      <c r="UE83" s="203"/>
      <c r="UF83" s="203"/>
      <c r="UG83" s="203"/>
      <c r="UH83" s="203"/>
      <c r="UI83" s="203"/>
      <c r="UJ83" s="203"/>
      <c r="UK83" s="203"/>
      <c r="UL83" s="203"/>
      <c r="UM83" s="203"/>
      <c r="UN83" s="203"/>
      <c r="UO83" s="203"/>
      <c r="UP83" s="203"/>
      <c r="UQ83" s="203"/>
      <c r="UR83" s="203"/>
      <c r="US83" s="203"/>
      <c r="UT83" s="203"/>
      <c r="UU83" s="203"/>
      <c r="UV83" s="203"/>
      <c r="UW83" s="203"/>
      <c r="UX83" s="203"/>
      <c r="UY83" s="203"/>
      <c r="UZ83" s="203"/>
      <c r="VA83" s="203"/>
      <c r="VB83" s="203"/>
      <c r="VC83" s="203"/>
      <c r="VD83" s="203"/>
      <c r="VE83" s="203"/>
      <c r="VF83" s="203"/>
      <c r="VG83" s="203"/>
      <c r="VH83" s="203"/>
      <c r="VI83" s="203"/>
      <c r="VJ83" s="203"/>
      <c r="VK83" s="203"/>
      <c r="VL83" s="203"/>
      <c r="VM83" s="203"/>
      <c r="VN83" s="203"/>
      <c r="VO83" s="203"/>
      <c r="VP83" s="203"/>
      <c r="VQ83" s="203"/>
      <c r="VR83" s="203"/>
      <c r="VS83" s="203"/>
      <c r="VT83" s="203"/>
      <c r="VU83" s="203"/>
      <c r="VV83" s="203"/>
      <c r="VW83" s="203"/>
      <c r="VX83" s="203"/>
      <c r="VY83" s="203"/>
      <c r="VZ83" s="203"/>
      <c r="WA83" s="203"/>
      <c r="WB83" s="203"/>
      <c r="WC83" s="203"/>
      <c r="WD83" s="203"/>
      <c r="WE83" s="203"/>
      <c r="WF83" s="203"/>
      <c r="WG83" s="203"/>
      <c r="WH83" s="203"/>
      <c r="WI83" s="203"/>
      <c r="WJ83" s="203"/>
      <c r="WK83" s="203"/>
      <c r="WL83" s="203"/>
      <c r="WM83" s="203"/>
      <c r="WN83" s="203"/>
      <c r="WO83" s="203"/>
      <c r="WP83" s="203"/>
      <c r="WQ83" s="203"/>
      <c r="WR83" s="203"/>
      <c r="WS83" s="203"/>
      <c r="WT83" s="203"/>
      <c r="WU83" s="203"/>
      <c r="WV83" s="203"/>
      <c r="WW83" s="203"/>
      <c r="WX83" s="203"/>
      <c r="WY83" s="203"/>
      <c r="WZ83" s="203"/>
      <c r="XA83" s="203"/>
      <c r="XB83" s="203"/>
      <c r="XC83" s="203"/>
      <c r="XD83" s="203"/>
      <c r="XE83" s="203"/>
      <c r="XF83" s="203"/>
      <c r="XG83" s="203"/>
      <c r="XH83" s="203"/>
      <c r="XI83" s="203"/>
      <c r="XJ83" s="203"/>
      <c r="XK83" s="203"/>
      <c r="XL83" s="203"/>
      <c r="XM83" s="203"/>
      <c r="XN83" s="203"/>
      <c r="XO83" s="203"/>
      <c r="XP83" s="203"/>
      <c r="XQ83" s="203"/>
      <c r="XR83" s="203"/>
      <c r="XS83" s="203"/>
      <c r="XT83" s="203"/>
      <c r="XU83" s="203"/>
      <c r="XV83" s="203"/>
      <c r="XW83" s="203"/>
      <c r="XX83" s="203"/>
      <c r="XY83" s="203"/>
      <c r="XZ83" s="203"/>
      <c r="YA83" s="203"/>
      <c r="YB83" s="203"/>
      <c r="YC83" s="203"/>
      <c r="YD83" s="203"/>
      <c r="YE83" s="203"/>
      <c r="YF83" s="203"/>
      <c r="YG83" s="203"/>
      <c r="YH83" s="203"/>
      <c r="YI83" s="203"/>
      <c r="YJ83" s="203"/>
      <c r="YK83" s="203"/>
      <c r="YL83" s="203"/>
      <c r="YM83" s="203"/>
      <c r="YN83" s="203"/>
      <c r="YO83" s="203"/>
      <c r="YP83" s="203"/>
      <c r="YQ83" s="203"/>
      <c r="YR83" s="203"/>
      <c r="YS83" s="203"/>
      <c r="YT83" s="203"/>
      <c r="YU83" s="203"/>
      <c r="YV83" s="203"/>
      <c r="YW83" s="203"/>
      <c r="YX83" s="203"/>
      <c r="YY83" s="203"/>
      <c r="YZ83" s="203"/>
      <c r="ZA83" s="203"/>
      <c r="ZB83" s="203"/>
      <c r="ZC83" s="203"/>
      <c r="ZD83" s="203"/>
      <c r="ZE83" s="203"/>
      <c r="ZF83" s="203"/>
      <c r="ZG83" s="203"/>
      <c r="ZH83" s="203"/>
      <c r="ZI83" s="203"/>
      <c r="ZJ83" s="203"/>
      <c r="ZK83" s="203"/>
      <c r="ZL83" s="203"/>
      <c r="ZM83" s="203"/>
      <c r="ZN83" s="203"/>
      <c r="ZO83" s="203"/>
      <c r="ZP83" s="203"/>
      <c r="ZQ83" s="203"/>
      <c r="ZR83" s="203"/>
      <c r="ZS83" s="203"/>
      <c r="ZT83" s="203"/>
      <c r="ZU83" s="203"/>
      <c r="ZV83" s="203"/>
      <c r="ZW83" s="203"/>
      <c r="ZX83" s="203"/>
      <c r="ZY83" s="203"/>
      <c r="ZZ83" s="203"/>
      <c r="AAA83" s="203"/>
      <c r="AAB83" s="203"/>
      <c r="AAC83" s="203"/>
      <c r="AAD83" s="203"/>
      <c r="AAE83" s="203"/>
      <c r="AAF83" s="203"/>
      <c r="AAG83" s="203"/>
      <c r="AAH83" s="203"/>
      <c r="AAI83" s="203"/>
      <c r="AAJ83" s="203"/>
      <c r="AAK83" s="203"/>
      <c r="AAL83" s="203"/>
      <c r="AAM83" s="203"/>
      <c r="AAN83" s="203"/>
      <c r="AAO83" s="203"/>
      <c r="AAP83" s="203"/>
      <c r="AAQ83" s="203"/>
      <c r="AAR83" s="203"/>
      <c r="AAS83" s="203"/>
      <c r="AAT83" s="203"/>
      <c r="AAU83" s="203"/>
      <c r="AAV83" s="203"/>
      <c r="AAW83" s="203"/>
      <c r="AAX83" s="203"/>
      <c r="AAY83" s="203"/>
      <c r="AAZ83" s="203"/>
      <c r="ABA83" s="203"/>
      <c r="ABB83" s="203"/>
      <c r="ABC83" s="203"/>
      <c r="ABD83" s="203"/>
      <c r="ABE83" s="203"/>
      <c r="ABF83" s="203"/>
      <c r="ABG83" s="203"/>
      <c r="ABH83" s="203"/>
      <c r="ABI83" s="203"/>
      <c r="ABJ83" s="203"/>
      <c r="ABK83" s="203"/>
      <c r="ABL83" s="203"/>
      <c r="ABM83" s="203"/>
      <c r="ABN83" s="203"/>
      <c r="ABO83" s="203"/>
      <c r="ABP83" s="203"/>
      <c r="ABQ83" s="203"/>
      <c r="ABR83" s="203"/>
      <c r="ABS83" s="203"/>
      <c r="ABT83" s="203"/>
      <c r="ABU83" s="203"/>
      <c r="ABV83" s="203"/>
      <c r="ABW83" s="203"/>
      <c r="ABX83" s="203"/>
      <c r="ABY83" s="203"/>
      <c r="ABZ83" s="203"/>
      <c r="ACA83" s="203"/>
      <c r="ACB83" s="203"/>
      <c r="ACC83" s="203"/>
      <c r="ACD83" s="203"/>
      <c r="ACE83" s="203"/>
      <c r="ACF83" s="203"/>
      <c r="ACG83" s="203"/>
      <c r="ACH83" s="203"/>
      <c r="ACI83" s="203"/>
      <c r="ACJ83" s="203"/>
      <c r="ACK83" s="203"/>
      <c r="ACL83" s="203"/>
      <c r="ACM83" s="203"/>
      <c r="ACN83" s="203"/>
      <c r="ACO83" s="203"/>
      <c r="ACP83" s="203"/>
      <c r="ACQ83" s="203"/>
      <c r="ACR83" s="203"/>
      <c r="ACS83" s="203"/>
      <c r="ACT83" s="203"/>
      <c r="ACU83" s="203"/>
      <c r="ACV83" s="203"/>
      <c r="ACW83" s="203"/>
      <c r="ACX83" s="203"/>
      <c r="ACY83" s="203"/>
      <c r="ACZ83" s="203"/>
      <c r="ADA83" s="203"/>
      <c r="ADB83" s="203"/>
      <c r="ADC83" s="203"/>
      <c r="ADD83" s="203"/>
      <c r="ADE83" s="203"/>
      <c r="ADF83" s="203"/>
      <c r="ADG83" s="203"/>
      <c r="ADH83" s="203"/>
      <c r="ADI83" s="203"/>
      <c r="ADJ83" s="203"/>
      <c r="ADK83" s="203"/>
      <c r="ADL83" s="203"/>
      <c r="ADM83" s="203"/>
      <c r="ADN83" s="203"/>
      <c r="ADO83" s="203"/>
      <c r="ADP83" s="203"/>
      <c r="ADQ83" s="203"/>
      <c r="ADR83" s="203"/>
      <c r="ADS83" s="203"/>
      <c r="ADT83" s="203"/>
      <c r="ADU83" s="203"/>
      <c r="ADV83" s="203"/>
      <c r="ADW83" s="203"/>
      <c r="ADX83" s="203"/>
      <c r="ADY83" s="203"/>
      <c r="ADZ83" s="203"/>
      <c r="AEA83" s="203"/>
      <c r="AEB83" s="203"/>
      <c r="AEC83" s="203"/>
      <c r="AED83" s="203"/>
      <c r="AEE83" s="203"/>
      <c r="AEF83" s="203"/>
      <c r="AEG83" s="203"/>
      <c r="AEH83" s="203"/>
      <c r="AEI83" s="203"/>
      <c r="AEJ83" s="203"/>
      <c r="AEK83" s="203"/>
      <c r="AEL83" s="203"/>
      <c r="AEM83" s="203"/>
      <c r="AEN83" s="203"/>
      <c r="AEO83" s="203"/>
      <c r="AEP83" s="203"/>
      <c r="AEQ83" s="203"/>
      <c r="AER83" s="203"/>
      <c r="AES83" s="203"/>
      <c r="AET83" s="203"/>
      <c r="AEU83" s="203"/>
      <c r="AEV83" s="203"/>
      <c r="AEW83" s="203"/>
      <c r="AEX83" s="203"/>
      <c r="AEY83" s="203"/>
      <c r="AEZ83" s="203"/>
      <c r="AFA83" s="203"/>
      <c r="AFB83" s="203"/>
      <c r="AFC83" s="203"/>
      <c r="AFD83" s="203"/>
      <c r="AFE83" s="203"/>
      <c r="AFF83" s="203"/>
      <c r="AFG83" s="203"/>
      <c r="AFH83" s="203"/>
      <c r="AFI83" s="203"/>
      <c r="AFJ83" s="203"/>
      <c r="AFK83" s="203"/>
      <c r="AFL83" s="203"/>
      <c r="AFM83" s="203"/>
      <c r="AFN83" s="203"/>
      <c r="AFO83" s="203"/>
      <c r="AFP83" s="203"/>
      <c r="AFQ83" s="203"/>
      <c r="AFR83" s="203"/>
      <c r="AFS83" s="203"/>
      <c r="AFT83" s="203"/>
      <c r="AFU83" s="203"/>
      <c r="AFV83" s="203"/>
      <c r="AFW83" s="203"/>
      <c r="AFX83" s="203"/>
      <c r="AFY83" s="203"/>
      <c r="AFZ83" s="203"/>
      <c r="AGA83" s="203"/>
      <c r="AGB83" s="203"/>
      <c r="AGC83" s="203"/>
      <c r="AGD83" s="203"/>
      <c r="AGE83" s="203"/>
      <c r="AGF83" s="203"/>
      <c r="AGG83" s="203"/>
      <c r="AGH83" s="203"/>
      <c r="AGI83" s="203"/>
      <c r="AGJ83" s="203"/>
      <c r="AGK83" s="203"/>
      <c r="AGL83" s="203"/>
      <c r="AGM83" s="203"/>
      <c r="AGN83" s="203"/>
      <c r="AGO83" s="203"/>
      <c r="AGP83" s="203"/>
      <c r="AGQ83" s="203"/>
      <c r="AGR83" s="203"/>
      <c r="AGS83" s="203"/>
      <c r="AGT83" s="203"/>
      <c r="AGU83" s="203"/>
      <c r="AGV83" s="203"/>
      <c r="AGW83" s="203"/>
      <c r="AGX83" s="203"/>
      <c r="AGY83" s="203"/>
      <c r="AGZ83" s="203"/>
      <c r="AHA83" s="203"/>
      <c r="AHB83" s="203"/>
      <c r="AHC83" s="203"/>
      <c r="AHD83" s="203"/>
      <c r="AHE83" s="203"/>
      <c r="AHF83" s="203"/>
      <c r="AHG83" s="203"/>
      <c r="AHH83" s="203"/>
      <c r="AHI83" s="203"/>
      <c r="AHJ83" s="203"/>
      <c r="AHK83" s="203"/>
      <c r="AHL83" s="203"/>
      <c r="AHM83" s="203"/>
      <c r="AHN83" s="203"/>
      <c r="AHO83" s="203"/>
      <c r="AHP83" s="203"/>
      <c r="AHQ83" s="203"/>
      <c r="AHR83" s="203"/>
      <c r="AHS83" s="203"/>
      <c r="AHT83" s="203"/>
      <c r="AHU83" s="203"/>
      <c r="AHV83" s="203"/>
      <c r="AHW83" s="203"/>
      <c r="AHX83" s="203"/>
      <c r="AHY83" s="203"/>
      <c r="AHZ83" s="203"/>
      <c r="AIA83" s="203"/>
      <c r="AIB83" s="203"/>
      <c r="AIC83" s="203"/>
      <c r="AID83" s="203"/>
      <c r="AIE83" s="203"/>
      <c r="AIF83" s="203"/>
      <c r="AIG83" s="203"/>
      <c r="AIH83" s="203"/>
      <c r="AII83" s="203"/>
      <c r="AIJ83" s="203"/>
      <c r="AIK83" s="203"/>
      <c r="AIL83" s="203"/>
      <c r="AIM83" s="203"/>
      <c r="AIN83" s="203"/>
      <c r="AIO83" s="203"/>
      <c r="AIP83" s="203"/>
      <c r="AIQ83" s="203"/>
      <c r="AIR83" s="203"/>
      <c r="AIS83" s="203"/>
      <c r="AIT83" s="203"/>
      <c r="AIU83" s="203"/>
      <c r="AIV83" s="203"/>
      <c r="AIW83" s="203"/>
      <c r="AIX83" s="203"/>
      <c r="AIY83" s="203"/>
      <c r="AIZ83" s="203"/>
      <c r="AJA83" s="203"/>
      <c r="AJB83" s="203"/>
      <c r="AJC83" s="203"/>
      <c r="AJD83" s="203"/>
      <c r="AJE83" s="203"/>
      <c r="AJF83" s="203"/>
      <c r="AJG83" s="203"/>
      <c r="AJH83" s="203"/>
      <c r="AJI83" s="203"/>
      <c r="AJJ83" s="203"/>
      <c r="AJK83" s="203"/>
      <c r="AJL83" s="203"/>
      <c r="AJM83" s="203"/>
      <c r="AJN83" s="203"/>
      <c r="AJO83" s="203"/>
      <c r="AJP83" s="203"/>
      <c r="AJQ83" s="203"/>
      <c r="AJR83" s="203"/>
      <c r="AJS83" s="203"/>
      <c r="AJT83" s="203"/>
      <c r="AJU83" s="203"/>
      <c r="AJV83" s="203"/>
      <c r="AJW83" s="203"/>
      <c r="AJX83" s="203"/>
      <c r="AJY83" s="203"/>
      <c r="AJZ83" s="203"/>
      <c r="AKA83" s="203"/>
      <c r="AKB83" s="203"/>
      <c r="AKC83" s="203"/>
      <c r="AKD83" s="203"/>
      <c r="AKE83" s="203"/>
      <c r="AKF83" s="203"/>
      <c r="AKG83" s="203"/>
      <c r="AKH83" s="203"/>
      <c r="AKI83" s="203"/>
      <c r="AKJ83" s="203"/>
      <c r="AKK83" s="203"/>
      <c r="AKL83" s="203"/>
      <c r="AKM83" s="203"/>
      <c r="AKN83" s="203"/>
      <c r="AKO83" s="203"/>
      <c r="AKP83" s="203"/>
      <c r="AKQ83" s="203"/>
      <c r="AKR83" s="203"/>
      <c r="AKS83" s="203"/>
      <c r="AKT83" s="203"/>
      <c r="AKU83" s="203"/>
      <c r="AKV83" s="203"/>
      <c r="AKW83" s="203"/>
      <c r="AKX83" s="203"/>
      <c r="AKY83" s="203"/>
      <c r="AKZ83" s="203"/>
      <c r="ALA83" s="203"/>
      <c r="ALB83" s="203"/>
      <c r="ALC83" s="203"/>
      <c r="ALD83" s="203"/>
      <c r="ALE83" s="203"/>
      <c r="ALF83" s="203"/>
      <c r="ALG83" s="203"/>
      <c r="ALH83" s="203"/>
      <c r="ALI83" s="203"/>
      <c r="ALJ83" s="203"/>
      <c r="ALK83" s="203"/>
      <c r="ALL83" s="203"/>
      <c r="ALM83" s="203"/>
      <c r="ALN83" s="203"/>
      <c r="ALO83" s="203"/>
      <c r="ALP83" s="203"/>
      <c r="ALQ83" s="203"/>
      <c r="ALR83" s="203"/>
      <c r="ALS83" s="203"/>
      <c r="ALT83" s="203"/>
      <c r="ALU83" s="203"/>
      <c r="ALV83" s="203"/>
      <c r="ALW83" s="203"/>
      <c r="ALX83" s="203"/>
      <c r="ALY83" s="203"/>
      <c r="ALZ83" s="203"/>
      <c r="AMA83" s="203"/>
      <c r="AMB83" s="203"/>
      <c r="AMC83" s="203"/>
      <c r="AMD83" s="203"/>
      <c r="AME83" s="203"/>
      <c r="AMF83" s="203"/>
      <c r="AMG83" s="203"/>
      <c r="AMH83" s="203"/>
      <c r="AMI83" s="203"/>
      <c r="AMJ83" s="203"/>
      <c r="AMK83" s="203"/>
      <c r="AML83" s="203"/>
      <c r="AMM83" s="203"/>
      <c r="AMN83" s="203"/>
      <c r="AMO83" s="203"/>
      <c r="AMP83" s="203"/>
      <c r="AMQ83" s="203"/>
      <c r="AMR83" s="203"/>
      <c r="AMS83" s="203"/>
      <c r="AMT83" s="203"/>
      <c r="AMU83" s="203"/>
      <c r="AMV83" s="203"/>
      <c r="AMW83" s="203"/>
      <c r="AMX83" s="203"/>
      <c r="AMY83" s="203"/>
      <c r="AMZ83" s="203"/>
      <c r="ANA83" s="203"/>
      <c r="ANB83" s="203"/>
      <c r="ANC83" s="203"/>
      <c r="AND83" s="203"/>
      <c r="ANE83" s="203"/>
      <c r="ANF83" s="203"/>
      <c r="ANG83" s="203"/>
      <c r="ANH83" s="203"/>
      <c r="ANI83" s="203"/>
      <c r="ANJ83" s="203"/>
      <c r="ANK83" s="203"/>
      <c r="ANL83" s="203"/>
      <c r="ANM83" s="203"/>
      <c r="ANN83" s="203"/>
      <c r="ANO83" s="203"/>
      <c r="ANP83" s="203"/>
      <c r="ANQ83" s="203"/>
      <c r="ANR83" s="203"/>
      <c r="ANS83" s="203"/>
      <c r="ANT83" s="203"/>
      <c r="ANU83" s="203"/>
      <c r="ANV83" s="203"/>
      <c r="ANW83" s="203"/>
      <c r="ANX83" s="203"/>
      <c r="ANY83" s="203"/>
      <c r="ANZ83" s="203"/>
      <c r="AOA83" s="203"/>
      <c r="AOB83" s="203"/>
      <c r="AOC83" s="203"/>
      <c r="AOD83" s="203"/>
      <c r="AOE83" s="203"/>
      <c r="AOF83" s="203"/>
      <c r="AOG83" s="203"/>
      <c r="AOH83" s="203"/>
      <c r="AOI83" s="203"/>
      <c r="AOJ83" s="203"/>
      <c r="AOK83" s="203"/>
      <c r="AOL83" s="203"/>
      <c r="AOM83" s="203"/>
      <c r="AON83" s="203"/>
      <c r="AOO83" s="203"/>
      <c r="AOP83" s="203"/>
      <c r="AOQ83" s="203"/>
      <c r="AOR83" s="203"/>
      <c r="AOS83" s="203"/>
      <c r="AOT83" s="203"/>
      <c r="AOU83" s="203"/>
      <c r="AOV83" s="203"/>
      <c r="AOW83" s="203"/>
      <c r="AOX83" s="203"/>
      <c r="AOY83" s="203"/>
      <c r="AOZ83" s="203"/>
      <c r="APA83" s="203"/>
      <c r="APB83" s="203"/>
      <c r="APC83" s="203"/>
      <c r="APD83" s="203"/>
      <c r="APE83" s="203"/>
      <c r="APF83" s="203"/>
      <c r="APG83" s="203"/>
      <c r="APH83" s="203"/>
      <c r="API83" s="203"/>
      <c r="APJ83" s="203"/>
      <c r="APK83" s="203"/>
      <c r="APL83" s="203"/>
      <c r="APM83" s="203"/>
      <c r="APN83" s="203"/>
      <c r="APO83" s="203"/>
      <c r="APP83" s="203"/>
      <c r="APQ83" s="203"/>
      <c r="APR83" s="203"/>
      <c r="APS83" s="203"/>
      <c r="APT83" s="203"/>
      <c r="APU83" s="203"/>
      <c r="APV83" s="203"/>
      <c r="APW83" s="203"/>
      <c r="APX83" s="203"/>
      <c r="APY83" s="203"/>
      <c r="APZ83" s="203"/>
      <c r="AQA83" s="203"/>
      <c r="AQB83" s="203"/>
      <c r="AQC83" s="203"/>
      <c r="AQD83" s="203"/>
      <c r="AQE83" s="203"/>
      <c r="AQF83" s="203"/>
      <c r="AQG83" s="203"/>
      <c r="AQH83" s="203"/>
      <c r="AQI83" s="203"/>
      <c r="AQJ83" s="203"/>
      <c r="AQK83" s="203"/>
      <c r="AQL83" s="203"/>
      <c r="AQM83" s="203"/>
      <c r="AQN83" s="203"/>
      <c r="AQO83" s="203"/>
      <c r="AQP83" s="203"/>
      <c r="AQQ83" s="203"/>
      <c r="AQR83" s="203"/>
      <c r="AQS83" s="203"/>
      <c r="AQT83" s="203"/>
      <c r="AQU83" s="203"/>
      <c r="AQV83" s="203"/>
      <c r="AQW83" s="203"/>
      <c r="AQX83" s="203"/>
      <c r="AQY83" s="203"/>
      <c r="AQZ83" s="203"/>
      <c r="ARA83" s="203"/>
      <c r="ARB83" s="203"/>
      <c r="ARC83" s="203"/>
      <c r="ARD83" s="203"/>
      <c r="ARE83" s="203"/>
      <c r="ARF83" s="203"/>
      <c r="ARG83" s="203"/>
      <c r="ARH83" s="203"/>
      <c r="ARI83" s="203"/>
      <c r="ARJ83" s="203"/>
      <c r="ARK83" s="203"/>
      <c r="ARL83" s="203"/>
      <c r="ARM83" s="203"/>
      <c r="ARN83" s="203"/>
      <c r="ARO83" s="203"/>
      <c r="ARP83" s="203"/>
      <c r="ARQ83" s="203"/>
      <c r="ARR83" s="203"/>
      <c r="ARS83" s="203"/>
      <c r="ART83" s="203"/>
      <c r="ARU83" s="203"/>
      <c r="ARV83" s="203"/>
      <c r="ARW83" s="203"/>
      <c r="ARX83" s="203"/>
      <c r="ARY83" s="203"/>
      <c r="ARZ83" s="203"/>
      <c r="ASA83" s="203"/>
      <c r="ASB83" s="203"/>
      <c r="ASC83" s="203"/>
      <c r="ASD83" s="203"/>
      <c r="ASE83" s="203"/>
      <c r="ASF83" s="203"/>
      <c r="ASG83" s="203"/>
      <c r="ASH83" s="203"/>
      <c r="ASI83" s="203"/>
      <c r="ASJ83" s="203"/>
      <c r="ASK83" s="203"/>
      <c r="ASL83" s="203"/>
      <c r="ASM83" s="203"/>
      <c r="ASN83" s="203"/>
      <c r="ASO83" s="203"/>
      <c r="ASP83" s="203"/>
      <c r="ASQ83" s="203"/>
      <c r="ASR83" s="203"/>
      <c r="ASS83" s="203"/>
      <c r="AST83" s="203"/>
      <c r="ASU83" s="203"/>
      <c r="ASV83" s="203"/>
      <c r="ASW83" s="203"/>
      <c r="ASX83" s="203"/>
      <c r="ASY83" s="203"/>
      <c r="ASZ83" s="203"/>
      <c r="ATA83" s="203"/>
      <c r="ATB83" s="203"/>
      <c r="ATC83" s="203"/>
      <c r="ATD83" s="203"/>
      <c r="ATE83" s="203"/>
      <c r="ATF83" s="203"/>
      <c r="ATG83" s="203"/>
      <c r="ATH83" s="203"/>
      <c r="ATI83" s="203"/>
      <c r="ATJ83" s="203"/>
      <c r="ATK83" s="203"/>
      <c r="ATL83" s="203"/>
      <c r="ATM83" s="203"/>
      <c r="ATN83" s="203"/>
      <c r="ATO83" s="203"/>
      <c r="ATP83" s="203"/>
      <c r="ATQ83" s="203"/>
      <c r="ATR83" s="203"/>
      <c r="ATS83" s="203"/>
      <c r="ATT83" s="203"/>
      <c r="ATU83" s="203"/>
      <c r="ATV83" s="203"/>
      <c r="ATW83" s="203"/>
      <c r="ATX83" s="203"/>
      <c r="ATY83" s="203"/>
      <c r="ATZ83" s="203"/>
      <c r="AUA83" s="203"/>
      <c r="AUB83" s="203"/>
      <c r="AUC83" s="203"/>
      <c r="AUD83" s="203"/>
      <c r="AUE83" s="203"/>
      <c r="AUF83" s="203"/>
      <c r="AUG83" s="203"/>
      <c r="AUH83" s="203"/>
      <c r="AUI83" s="203"/>
      <c r="AUJ83" s="203"/>
      <c r="AUK83" s="203"/>
      <c r="AUL83" s="203"/>
      <c r="AUM83" s="203"/>
      <c r="AUN83" s="203"/>
      <c r="AUO83" s="203"/>
      <c r="AUP83" s="203"/>
      <c r="AUQ83" s="203"/>
      <c r="AUR83" s="203"/>
      <c r="AUS83" s="203"/>
      <c r="AUT83" s="203"/>
      <c r="AUU83" s="203"/>
      <c r="AUV83" s="203"/>
      <c r="AUW83" s="203"/>
      <c r="AUX83" s="203"/>
      <c r="AUY83" s="203"/>
      <c r="AUZ83" s="203"/>
      <c r="AVA83" s="203"/>
      <c r="AVB83" s="203"/>
      <c r="AVC83" s="203"/>
      <c r="AVD83" s="203"/>
      <c r="AVE83" s="203"/>
      <c r="AVF83" s="203"/>
      <c r="AVG83" s="203"/>
      <c r="AVH83" s="203"/>
      <c r="AVI83" s="203"/>
      <c r="AVJ83" s="203"/>
      <c r="AVK83" s="203"/>
      <c r="AVL83" s="203"/>
      <c r="AVM83" s="203"/>
      <c r="AVN83" s="203"/>
      <c r="AVO83" s="203"/>
      <c r="AVP83" s="203"/>
      <c r="AVQ83" s="203"/>
      <c r="AVR83" s="203"/>
      <c r="AVS83" s="203"/>
      <c r="AVT83" s="203"/>
      <c r="AVU83" s="203"/>
      <c r="AVV83" s="203"/>
      <c r="AVW83" s="203"/>
      <c r="AVX83" s="203"/>
      <c r="AVY83" s="203"/>
      <c r="AVZ83" s="203"/>
      <c r="AWA83" s="203"/>
      <c r="AWB83" s="203"/>
      <c r="AWC83" s="203"/>
      <c r="AWD83" s="203"/>
      <c r="AWE83" s="203"/>
      <c r="AWF83" s="203"/>
      <c r="AWG83" s="203"/>
      <c r="AWH83" s="203"/>
      <c r="AWI83" s="203"/>
      <c r="AWJ83" s="203"/>
      <c r="AWK83" s="203"/>
      <c r="AWL83" s="203"/>
      <c r="AWM83" s="203"/>
      <c r="AWN83" s="203"/>
      <c r="AWO83" s="203"/>
      <c r="AWP83" s="203"/>
      <c r="AWQ83" s="203"/>
      <c r="AWR83" s="203"/>
      <c r="AWS83" s="203"/>
      <c r="AWT83" s="203"/>
      <c r="AWU83" s="203"/>
      <c r="AWV83" s="203"/>
      <c r="AWW83" s="203"/>
      <c r="AWX83" s="203"/>
      <c r="AWY83" s="203"/>
      <c r="AWZ83" s="203"/>
      <c r="AXA83" s="203"/>
      <c r="AXB83" s="203"/>
      <c r="AXC83" s="203"/>
      <c r="AXD83" s="203"/>
      <c r="AXE83" s="203"/>
      <c r="AXF83" s="203"/>
      <c r="AXG83" s="203"/>
      <c r="AXH83" s="203"/>
      <c r="AXI83" s="203"/>
      <c r="AXJ83" s="203"/>
      <c r="AXK83" s="203"/>
      <c r="AXL83" s="203"/>
      <c r="AXM83" s="203"/>
      <c r="AXN83" s="203"/>
      <c r="AXO83" s="203"/>
      <c r="AXP83" s="203"/>
      <c r="AXQ83" s="203"/>
      <c r="AXR83" s="203"/>
      <c r="AXS83" s="203"/>
      <c r="AXT83" s="203"/>
      <c r="AXU83" s="203"/>
      <c r="AXV83" s="203"/>
      <c r="AXW83" s="203"/>
      <c r="AXX83" s="203"/>
      <c r="AXY83" s="203"/>
      <c r="AXZ83" s="203"/>
      <c r="AYA83" s="203"/>
      <c r="AYB83" s="203"/>
      <c r="AYC83" s="203"/>
      <c r="AYD83" s="203"/>
      <c r="AYE83" s="203"/>
      <c r="AYF83" s="203"/>
      <c r="AYG83" s="203"/>
      <c r="AYH83" s="203"/>
      <c r="AYI83" s="203"/>
      <c r="AYJ83" s="203"/>
      <c r="AYK83" s="203"/>
      <c r="AYL83" s="203"/>
      <c r="AYM83" s="203"/>
      <c r="AYN83" s="203"/>
      <c r="AYO83" s="203"/>
      <c r="AYP83" s="203"/>
      <c r="AYQ83" s="203"/>
      <c r="AYR83" s="203"/>
      <c r="AYS83" s="203"/>
      <c r="AYT83" s="203"/>
      <c r="AYU83" s="203"/>
      <c r="AYV83" s="203"/>
      <c r="AYW83" s="203"/>
      <c r="AYX83" s="203"/>
      <c r="AYY83" s="203"/>
      <c r="AYZ83" s="203"/>
      <c r="AZA83" s="203"/>
      <c r="AZB83" s="203"/>
      <c r="AZC83" s="203"/>
      <c r="AZD83" s="203"/>
      <c r="AZE83" s="203"/>
      <c r="AZF83" s="203"/>
      <c r="AZG83" s="203"/>
      <c r="AZH83" s="203"/>
      <c r="AZI83" s="203"/>
      <c r="AZJ83" s="203"/>
      <c r="AZK83" s="203"/>
      <c r="AZL83" s="203"/>
      <c r="AZM83" s="203"/>
      <c r="AZN83" s="203"/>
      <c r="AZO83" s="203"/>
      <c r="AZP83" s="203"/>
      <c r="AZQ83" s="203"/>
      <c r="AZR83" s="203"/>
      <c r="AZS83" s="203"/>
      <c r="AZT83" s="203"/>
      <c r="AZU83" s="203"/>
      <c r="AZV83" s="203"/>
      <c r="AZW83" s="203"/>
      <c r="AZX83" s="203"/>
      <c r="AZY83" s="203"/>
      <c r="AZZ83" s="203"/>
      <c r="BAA83" s="203"/>
      <c r="BAB83" s="203"/>
      <c r="BAC83" s="203"/>
      <c r="BAD83" s="203"/>
      <c r="BAE83" s="203"/>
      <c r="BAF83" s="203"/>
      <c r="BAG83" s="203"/>
      <c r="BAH83" s="203"/>
      <c r="BAI83" s="203"/>
      <c r="BAJ83" s="203"/>
      <c r="BAK83" s="203"/>
      <c r="BAL83" s="203"/>
      <c r="BAM83" s="203"/>
      <c r="BAN83" s="203"/>
      <c r="BAO83" s="203"/>
      <c r="BAP83" s="203"/>
      <c r="BAQ83" s="203"/>
      <c r="BAR83" s="203"/>
      <c r="BAS83" s="203"/>
      <c r="BAT83" s="203"/>
      <c r="BAU83" s="203"/>
      <c r="BAV83" s="203"/>
      <c r="BAW83" s="203"/>
      <c r="BAX83" s="203"/>
      <c r="BAY83" s="203"/>
      <c r="BAZ83" s="203"/>
      <c r="BBA83" s="203"/>
      <c r="BBB83" s="203"/>
      <c r="BBC83" s="203"/>
      <c r="BBD83" s="203"/>
      <c r="BBE83" s="203"/>
      <c r="BBF83" s="203"/>
      <c r="BBG83" s="203"/>
      <c r="BBH83" s="203"/>
      <c r="BBI83" s="203"/>
      <c r="BBJ83" s="203"/>
      <c r="BBK83" s="203"/>
      <c r="BBL83" s="203"/>
      <c r="BBM83" s="203"/>
      <c r="BBN83" s="203"/>
      <c r="BBO83" s="203"/>
      <c r="BBP83" s="203"/>
      <c r="BBQ83" s="203"/>
      <c r="BBR83" s="203"/>
      <c r="BBS83" s="203"/>
      <c r="BBT83" s="203"/>
      <c r="BBU83" s="203"/>
      <c r="BBV83" s="203"/>
      <c r="BBW83" s="203"/>
      <c r="BBX83" s="203"/>
      <c r="BBY83" s="203"/>
      <c r="BBZ83" s="203"/>
      <c r="BCA83" s="203"/>
      <c r="BCB83" s="203"/>
      <c r="BCC83" s="203"/>
      <c r="BCD83" s="203"/>
      <c r="BCE83" s="203"/>
      <c r="BCF83" s="203"/>
      <c r="BCG83" s="203"/>
      <c r="BCH83" s="203"/>
      <c r="BCI83" s="203"/>
      <c r="BCJ83" s="203"/>
      <c r="BCK83" s="203"/>
      <c r="BCL83" s="203"/>
      <c r="BCM83" s="203"/>
      <c r="BCN83" s="203"/>
      <c r="BCO83" s="203"/>
      <c r="BCP83" s="203"/>
      <c r="BCQ83" s="203"/>
      <c r="BCR83" s="203"/>
      <c r="BCS83" s="203"/>
      <c r="BCT83" s="203"/>
      <c r="BCU83" s="203"/>
      <c r="BCV83" s="203"/>
      <c r="BCW83" s="203"/>
      <c r="BCX83" s="203"/>
      <c r="BCY83" s="203"/>
      <c r="BCZ83" s="203"/>
      <c r="BDA83" s="203"/>
      <c r="BDB83" s="203"/>
      <c r="BDC83" s="203"/>
      <c r="BDD83" s="203"/>
      <c r="BDE83" s="203"/>
      <c r="BDF83" s="203"/>
      <c r="BDG83" s="203"/>
      <c r="BDH83" s="203"/>
      <c r="BDI83" s="203"/>
      <c r="BDJ83" s="203"/>
      <c r="BDK83" s="203"/>
      <c r="BDL83" s="203"/>
      <c r="BDM83" s="203"/>
      <c r="BDN83" s="203"/>
      <c r="BDO83" s="203"/>
      <c r="BDP83" s="203"/>
      <c r="BDQ83" s="203"/>
      <c r="BDR83" s="203"/>
      <c r="BDS83" s="203"/>
      <c r="BDT83" s="203"/>
      <c r="BDU83" s="203"/>
      <c r="BDV83" s="203"/>
      <c r="BDW83" s="203"/>
      <c r="BDX83" s="203"/>
      <c r="BDY83" s="203"/>
      <c r="BDZ83" s="203"/>
      <c r="BEA83" s="203"/>
      <c r="BEB83" s="203"/>
      <c r="BEC83" s="203"/>
      <c r="BED83" s="203"/>
      <c r="BEE83" s="203"/>
      <c r="BEF83" s="203"/>
      <c r="BEG83" s="203"/>
      <c r="BEH83" s="203"/>
      <c r="BEI83" s="203"/>
      <c r="BEJ83" s="203"/>
      <c r="BEK83" s="203"/>
      <c r="BEL83" s="203"/>
      <c r="BEM83" s="203"/>
      <c r="BEN83" s="203"/>
      <c r="BEO83" s="203"/>
      <c r="BEP83" s="203"/>
      <c r="BEQ83" s="203"/>
      <c r="BER83" s="203"/>
      <c r="BES83" s="203"/>
      <c r="BET83" s="203"/>
      <c r="BEU83" s="203"/>
      <c r="BEV83" s="203"/>
      <c r="BEW83" s="203"/>
      <c r="BEX83" s="203"/>
      <c r="BEY83" s="203"/>
      <c r="BEZ83" s="203"/>
      <c r="BFA83" s="203"/>
      <c r="BFB83" s="203"/>
      <c r="BFC83" s="203"/>
      <c r="BFD83" s="203"/>
      <c r="BFE83" s="203"/>
      <c r="BFF83" s="203"/>
      <c r="BFG83" s="203"/>
      <c r="BFH83" s="203"/>
      <c r="BFI83" s="203"/>
      <c r="BFJ83" s="203"/>
      <c r="BFK83" s="203"/>
      <c r="BFL83" s="203"/>
      <c r="BFM83" s="203"/>
      <c r="BFN83" s="203"/>
      <c r="BFO83" s="203"/>
      <c r="BFP83" s="203"/>
      <c r="BFQ83" s="203"/>
      <c r="BFR83" s="203"/>
      <c r="BFS83" s="203"/>
      <c r="BFT83" s="203"/>
      <c r="BFU83" s="203"/>
      <c r="BFV83" s="203"/>
      <c r="BFW83" s="203"/>
    </row>
    <row r="84" spans="1:1531" s="22" customFormat="1" ht="46.15" customHeight="1" x14ac:dyDescent="0.2">
      <c r="A84" s="261" t="s">
        <v>468</v>
      </c>
      <c r="B84" s="125"/>
      <c r="C84" s="88" t="s">
        <v>498</v>
      </c>
      <c r="D84" s="125"/>
      <c r="E84" s="89" t="s">
        <v>562</v>
      </c>
      <c r="F84" s="88"/>
      <c r="G84" s="89" t="s">
        <v>476</v>
      </c>
      <c r="H84" s="88"/>
      <c r="I84" s="111">
        <v>85</v>
      </c>
      <c r="J84" s="125"/>
      <c r="K84" s="88" t="s">
        <v>110</v>
      </c>
      <c r="L84" s="125"/>
      <c r="M84" s="88" t="s">
        <v>497</v>
      </c>
      <c r="N84" s="125"/>
      <c r="O84" s="125">
        <v>2011</v>
      </c>
      <c r="P84" s="129" t="s">
        <v>680</v>
      </c>
      <c r="Q84" s="125">
        <v>0</v>
      </c>
      <c r="R84" s="125"/>
      <c r="S84" s="106">
        <v>0</v>
      </c>
      <c r="T84" s="125"/>
      <c r="U84" s="114">
        <v>14</v>
      </c>
      <c r="V84" s="125"/>
      <c r="W84" s="119">
        <f>14*85</f>
        <v>1190</v>
      </c>
      <c r="X84" s="125"/>
      <c r="Y84" s="187">
        <v>0</v>
      </c>
      <c r="Z84" s="125"/>
      <c r="AA84" s="106">
        <v>0</v>
      </c>
      <c r="AB84" s="125"/>
      <c r="AC84" s="114">
        <v>0</v>
      </c>
      <c r="AD84" s="125"/>
      <c r="AE84" s="119">
        <v>0</v>
      </c>
      <c r="AF84" s="114">
        <v>0</v>
      </c>
      <c r="AG84" s="125"/>
      <c r="AH84" s="119">
        <v>0</v>
      </c>
      <c r="AI84" s="114">
        <v>0</v>
      </c>
      <c r="AJ84" s="125"/>
      <c r="AK84" s="119"/>
      <c r="AL84" s="114"/>
      <c r="AM84" s="125"/>
      <c r="AN84" s="119"/>
      <c r="AP84" s="471"/>
      <c r="AQ84" s="485"/>
      <c r="AT84" s="490"/>
      <c r="AU84" s="479" t="s">
        <v>713</v>
      </c>
    </row>
    <row r="85" spans="1:1531" s="132" customFormat="1" ht="46.15" customHeight="1" x14ac:dyDescent="0.2">
      <c r="A85" s="261" t="s">
        <v>468</v>
      </c>
      <c r="B85" s="125"/>
      <c r="C85" s="88" t="s">
        <v>498</v>
      </c>
      <c r="D85" s="125"/>
      <c r="E85" s="89" t="s">
        <v>563</v>
      </c>
      <c r="F85" s="88"/>
      <c r="G85" s="89" t="s">
        <v>476</v>
      </c>
      <c r="H85" s="88"/>
      <c r="I85" s="111">
        <v>85</v>
      </c>
      <c r="J85" s="125"/>
      <c r="K85" s="88" t="s">
        <v>110</v>
      </c>
      <c r="L85" s="125"/>
      <c r="M85" s="88" t="s">
        <v>497</v>
      </c>
      <c r="N85" s="125"/>
      <c r="O85" s="125">
        <v>2011</v>
      </c>
      <c r="P85" s="129" t="s">
        <v>680</v>
      </c>
      <c r="Q85" s="125">
        <v>0</v>
      </c>
      <c r="R85" s="125"/>
      <c r="S85" s="106">
        <v>0</v>
      </c>
      <c r="T85" s="125"/>
      <c r="U85" s="114">
        <v>13</v>
      </c>
      <c r="V85" s="125"/>
      <c r="W85" s="119">
        <f>13*85</f>
        <v>1105</v>
      </c>
      <c r="X85" s="125"/>
      <c r="Y85" s="187">
        <v>0</v>
      </c>
      <c r="Z85" s="125"/>
      <c r="AA85" s="106">
        <v>0</v>
      </c>
      <c r="AB85" s="125"/>
      <c r="AC85" s="114">
        <v>0</v>
      </c>
      <c r="AD85" s="125"/>
      <c r="AE85" s="119">
        <v>0</v>
      </c>
      <c r="AF85" s="114">
        <v>0</v>
      </c>
      <c r="AG85" s="125"/>
      <c r="AH85" s="119">
        <v>0</v>
      </c>
      <c r="AI85" s="114">
        <v>0</v>
      </c>
      <c r="AJ85" s="125"/>
      <c r="AK85" s="119"/>
      <c r="AL85" s="114"/>
      <c r="AM85" s="125"/>
      <c r="AN85" s="119"/>
      <c r="AO85" s="300"/>
      <c r="AP85" s="468"/>
      <c r="AQ85" s="482"/>
      <c r="AR85" s="300"/>
      <c r="AS85" s="300"/>
      <c r="AT85" s="487"/>
      <c r="AU85" s="480" t="s">
        <v>713</v>
      </c>
    </row>
    <row r="86" spans="1:1531" s="22" customFormat="1" ht="46.15" customHeight="1" x14ac:dyDescent="0.2">
      <c r="A86" s="261" t="s">
        <v>468</v>
      </c>
      <c r="B86" s="125"/>
      <c r="C86" s="88" t="s">
        <v>498</v>
      </c>
      <c r="D86" s="125"/>
      <c r="E86" s="89" t="s">
        <v>564</v>
      </c>
      <c r="F86" s="88"/>
      <c r="G86" s="89" t="s">
        <v>476</v>
      </c>
      <c r="H86" s="88"/>
      <c r="I86" s="111" t="s">
        <v>565</v>
      </c>
      <c r="J86" s="125"/>
      <c r="K86" s="88" t="s">
        <v>110</v>
      </c>
      <c r="L86" s="125"/>
      <c r="M86" s="88" t="s">
        <v>497</v>
      </c>
      <c r="N86" s="125"/>
      <c r="O86" s="125">
        <v>2011</v>
      </c>
      <c r="P86" s="129" t="s">
        <v>680</v>
      </c>
      <c r="Q86" s="125">
        <v>34</v>
      </c>
      <c r="R86" s="125"/>
      <c r="S86" s="106">
        <f>34*95</f>
        <v>3230</v>
      </c>
      <c r="T86" s="125"/>
      <c r="U86" s="115">
        <v>16</v>
      </c>
      <c r="V86" s="125"/>
      <c r="W86" s="119">
        <f>(1*25)+(1*70)+(14*95)</f>
        <v>1425</v>
      </c>
      <c r="X86" s="125"/>
      <c r="Y86" s="187">
        <v>0</v>
      </c>
      <c r="Z86" s="125"/>
      <c r="AA86" s="106">
        <v>0</v>
      </c>
      <c r="AB86" s="125"/>
      <c r="AC86" s="115">
        <v>0</v>
      </c>
      <c r="AD86" s="125"/>
      <c r="AE86" s="119">
        <v>0</v>
      </c>
      <c r="AF86" s="115">
        <v>0</v>
      </c>
      <c r="AG86" s="125"/>
      <c r="AH86" s="119">
        <v>0</v>
      </c>
      <c r="AI86" s="115">
        <v>0</v>
      </c>
      <c r="AJ86" s="125"/>
      <c r="AK86" s="119"/>
      <c r="AL86" s="115"/>
      <c r="AM86" s="125"/>
      <c r="AN86" s="119"/>
      <c r="AP86" s="471"/>
      <c r="AQ86" s="485"/>
      <c r="AT86" s="490"/>
      <c r="AU86" s="479" t="s">
        <v>713</v>
      </c>
    </row>
    <row r="87" spans="1:1531" s="22" customFormat="1" ht="46.15" customHeight="1" x14ac:dyDescent="0.2">
      <c r="A87" s="261" t="s">
        <v>468</v>
      </c>
      <c r="B87" s="125"/>
      <c r="C87" s="88" t="s">
        <v>498</v>
      </c>
      <c r="D87" s="125"/>
      <c r="E87" s="89" t="s">
        <v>492</v>
      </c>
      <c r="F87" s="88"/>
      <c r="G87" s="89" t="s">
        <v>476</v>
      </c>
      <c r="H87" s="88"/>
      <c r="I87" s="111">
        <v>85</v>
      </c>
      <c r="J87" s="125"/>
      <c r="K87" s="88" t="s">
        <v>110</v>
      </c>
      <c r="L87" s="125"/>
      <c r="M87" s="88" t="s">
        <v>497</v>
      </c>
      <c r="N87" s="125"/>
      <c r="O87" s="125">
        <v>2011</v>
      </c>
      <c r="P87" s="129" t="s">
        <v>680</v>
      </c>
      <c r="Q87" s="125">
        <v>0</v>
      </c>
      <c r="R87" s="125"/>
      <c r="S87" s="106">
        <v>0</v>
      </c>
      <c r="T87" s="125"/>
      <c r="U87" s="114">
        <v>13</v>
      </c>
      <c r="V87" s="125"/>
      <c r="W87" s="119">
        <f>13*85</f>
        <v>1105</v>
      </c>
      <c r="X87" s="125"/>
      <c r="Y87" s="187">
        <v>0</v>
      </c>
      <c r="Z87" s="125"/>
      <c r="AA87" s="106">
        <v>0</v>
      </c>
      <c r="AB87" s="125"/>
      <c r="AC87" s="114">
        <v>0</v>
      </c>
      <c r="AD87" s="125"/>
      <c r="AE87" s="119">
        <v>0</v>
      </c>
      <c r="AF87" s="114">
        <v>0</v>
      </c>
      <c r="AG87" s="125"/>
      <c r="AH87" s="119">
        <v>0</v>
      </c>
      <c r="AI87" s="114">
        <v>0</v>
      </c>
      <c r="AJ87" s="125"/>
      <c r="AK87" s="119"/>
      <c r="AL87" s="114"/>
      <c r="AM87" s="125"/>
      <c r="AN87" s="119"/>
      <c r="AO87" s="255"/>
      <c r="AP87" s="468"/>
      <c r="AQ87" s="482"/>
      <c r="AR87" s="255"/>
      <c r="AS87" s="255"/>
      <c r="AT87" s="487"/>
      <c r="AU87" s="480" t="s">
        <v>713</v>
      </c>
    </row>
    <row r="88" spans="1:1531" s="22" customFormat="1" ht="46.15" customHeight="1" x14ac:dyDescent="0.2">
      <c r="A88" s="261" t="s">
        <v>750</v>
      </c>
      <c r="B88" s="206"/>
      <c r="C88" s="88" t="s">
        <v>498</v>
      </c>
      <c r="D88" s="108"/>
      <c r="E88" s="89" t="s">
        <v>739</v>
      </c>
      <c r="F88" s="109"/>
      <c r="G88" s="89" t="s">
        <v>476</v>
      </c>
      <c r="H88" s="109"/>
      <c r="I88" s="111">
        <v>300</v>
      </c>
      <c r="J88" s="108"/>
      <c r="K88" s="88" t="s">
        <v>110</v>
      </c>
      <c r="L88" s="108"/>
      <c r="M88" s="108"/>
      <c r="N88" s="108"/>
      <c r="O88" s="125">
        <v>2016</v>
      </c>
      <c r="P88" s="129" t="s">
        <v>680</v>
      </c>
      <c r="Q88" s="108">
        <f>SUM(Q2:Q87)</f>
        <v>2605</v>
      </c>
      <c r="R88" s="108"/>
      <c r="S88" s="193">
        <f>SUM(S2:S87)</f>
        <v>1172700</v>
      </c>
      <c r="T88" s="108"/>
      <c r="U88" s="108">
        <f>SUM(U2:U87)</f>
        <v>2553</v>
      </c>
      <c r="V88" s="108"/>
      <c r="W88" s="193">
        <f>SUM(W2:W87)</f>
        <v>1163745</v>
      </c>
      <c r="X88" s="108"/>
      <c r="Y88" s="108"/>
      <c r="Z88" s="108"/>
      <c r="AA88" s="193"/>
      <c r="AB88" s="108"/>
      <c r="AC88" s="108"/>
      <c r="AD88" s="108"/>
      <c r="AE88" s="193"/>
      <c r="AF88" s="108"/>
      <c r="AG88" s="108"/>
      <c r="AH88" s="193"/>
      <c r="AI88" s="108"/>
      <c r="AJ88" s="108"/>
      <c r="AK88" s="193"/>
      <c r="AL88" s="143">
        <v>1</v>
      </c>
      <c r="AM88" s="143"/>
      <c r="AN88" s="248">
        <v>300</v>
      </c>
      <c r="AP88" s="471">
        <v>2</v>
      </c>
      <c r="AQ88" s="485">
        <v>600</v>
      </c>
      <c r="AT88" s="490">
        <v>2100</v>
      </c>
      <c r="AU88" s="479" t="s">
        <v>713</v>
      </c>
    </row>
    <row r="89" spans="1:1531" s="181" customFormat="1" ht="46.15" customHeight="1" x14ac:dyDescent="0.2">
      <c r="A89" s="261" t="s">
        <v>750</v>
      </c>
      <c r="B89" s="249"/>
      <c r="C89" s="88" t="s">
        <v>749</v>
      </c>
      <c r="D89" s="249"/>
      <c r="E89" s="249" t="s">
        <v>751</v>
      </c>
      <c r="F89" s="249"/>
      <c r="G89" s="249" t="s">
        <v>752</v>
      </c>
      <c r="H89" s="141"/>
      <c r="I89" s="245">
        <v>250</v>
      </c>
      <c r="J89" s="143"/>
      <c r="K89" s="88" t="s">
        <v>110</v>
      </c>
      <c r="L89" s="143"/>
      <c r="M89" s="143"/>
      <c r="N89" s="143"/>
      <c r="O89" s="143">
        <v>2016</v>
      </c>
      <c r="P89" s="129" t="s">
        <v>680</v>
      </c>
      <c r="Q89" s="143"/>
      <c r="R89" s="143"/>
      <c r="S89" s="246"/>
      <c r="T89" s="143"/>
      <c r="U89" s="143"/>
      <c r="V89" s="143"/>
      <c r="W89" s="143"/>
      <c r="X89" s="143"/>
      <c r="Y89" s="247"/>
      <c r="Z89" s="143"/>
      <c r="AA89" s="246"/>
      <c r="AB89" s="143"/>
      <c r="AC89" s="143"/>
      <c r="AD89" s="143"/>
      <c r="AE89" s="143"/>
      <c r="AF89" s="143"/>
      <c r="AG89" s="143"/>
      <c r="AH89" s="143"/>
      <c r="AI89" s="143"/>
      <c r="AJ89" s="143"/>
      <c r="AK89" s="143"/>
      <c r="AL89" s="143">
        <v>3</v>
      </c>
      <c r="AM89" s="143"/>
      <c r="AN89" s="248">
        <v>750</v>
      </c>
      <c r="AO89" s="255"/>
      <c r="AP89" s="468"/>
      <c r="AQ89" s="482">
        <v>1500</v>
      </c>
      <c r="AR89" s="255"/>
      <c r="AS89" s="255"/>
      <c r="AT89" s="487"/>
      <c r="AU89" s="480" t="s">
        <v>713</v>
      </c>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c r="IG89" s="22"/>
      <c r="IH89" s="22"/>
      <c r="II89" s="22"/>
      <c r="IJ89" s="22"/>
      <c r="IK89" s="22"/>
      <c r="IL89" s="22"/>
      <c r="IM89" s="22"/>
      <c r="IN89" s="22"/>
      <c r="IO89" s="22"/>
      <c r="IP89" s="22"/>
      <c r="IQ89" s="22"/>
      <c r="IR89" s="22"/>
      <c r="IS89" s="22"/>
      <c r="IT89" s="22"/>
      <c r="IU89" s="22"/>
      <c r="IV89" s="22"/>
      <c r="IW89" s="22"/>
      <c r="IX89" s="22"/>
      <c r="IY89" s="22"/>
      <c r="IZ89" s="22"/>
      <c r="JA89" s="22"/>
      <c r="JB89" s="22"/>
      <c r="JC89" s="22"/>
      <c r="JD89" s="22"/>
      <c r="JE89" s="22"/>
      <c r="JF89" s="22"/>
      <c r="JG89" s="22"/>
      <c r="JH89" s="22"/>
      <c r="JI89" s="22"/>
      <c r="JJ89" s="22"/>
      <c r="JK89" s="22"/>
      <c r="JL89" s="22"/>
      <c r="JM89" s="22"/>
      <c r="JN89" s="22"/>
      <c r="JO89" s="22"/>
      <c r="JP89" s="22"/>
      <c r="JQ89" s="22"/>
      <c r="JR89" s="22"/>
      <c r="JS89" s="22"/>
      <c r="JT89" s="22"/>
      <c r="JU89" s="22"/>
      <c r="JV89" s="22"/>
      <c r="JW89" s="22"/>
      <c r="JX89" s="22"/>
      <c r="JY89" s="22"/>
      <c r="JZ89" s="22"/>
      <c r="KA89" s="22"/>
      <c r="KB89" s="22"/>
      <c r="KC89" s="22"/>
      <c r="KD89" s="22"/>
      <c r="KE89" s="22"/>
      <c r="KF89" s="22"/>
      <c r="KG89" s="22"/>
      <c r="KH89" s="22"/>
      <c r="KI89" s="22"/>
      <c r="KJ89" s="22"/>
      <c r="KK89" s="22"/>
      <c r="KL89" s="22"/>
      <c r="KM89" s="22"/>
      <c r="KN89" s="22"/>
      <c r="KO89" s="22"/>
      <c r="KP89" s="22"/>
      <c r="KQ89" s="22"/>
      <c r="KR89" s="22"/>
      <c r="KS89" s="22"/>
      <c r="KT89" s="22"/>
      <c r="KU89" s="22"/>
      <c r="KV89" s="22"/>
      <c r="KW89" s="22"/>
      <c r="KX89" s="22"/>
      <c r="KY89" s="22"/>
      <c r="KZ89" s="22"/>
      <c r="LA89" s="22"/>
      <c r="LB89" s="22"/>
      <c r="LC89" s="22"/>
      <c r="LD89" s="22"/>
      <c r="LE89" s="22"/>
      <c r="LF89" s="22"/>
      <c r="LG89" s="22"/>
      <c r="LH89" s="22"/>
      <c r="LI89" s="22"/>
      <c r="LJ89" s="22"/>
      <c r="LK89" s="22"/>
      <c r="LL89" s="22"/>
      <c r="LM89" s="22"/>
      <c r="LN89" s="22"/>
      <c r="LO89" s="22"/>
      <c r="LP89" s="22"/>
      <c r="LQ89" s="22"/>
      <c r="LR89" s="22"/>
      <c r="LS89" s="22"/>
      <c r="LT89" s="22"/>
      <c r="LU89" s="22"/>
      <c r="LV89" s="22"/>
      <c r="LW89" s="22"/>
      <c r="LX89" s="22"/>
      <c r="LY89" s="22"/>
      <c r="LZ89" s="22"/>
      <c r="MA89" s="22"/>
      <c r="MB89" s="22"/>
      <c r="MC89" s="22"/>
      <c r="MD89" s="22"/>
      <c r="ME89" s="22"/>
      <c r="MF89" s="22"/>
      <c r="MG89" s="22"/>
      <c r="MH89" s="22"/>
      <c r="MI89" s="22"/>
      <c r="MJ89" s="22"/>
      <c r="MK89" s="22"/>
      <c r="ML89" s="22"/>
      <c r="MM89" s="22"/>
      <c r="MN89" s="22"/>
      <c r="MO89" s="22"/>
      <c r="MP89" s="22"/>
      <c r="MQ89" s="22"/>
      <c r="MR89" s="22"/>
      <c r="MS89" s="22"/>
      <c r="MT89" s="22"/>
      <c r="MU89" s="22"/>
      <c r="MV89" s="22"/>
      <c r="MW89" s="22"/>
      <c r="MX89" s="22"/>
      <c r="MY89" s="22"/>
      <c r="MZ89" s="22"/>
      <c r="NA89" s="22"/>
      <c r="NB89" s="22"/>
      <c r="NC89" s="22"/>
      <c r="ND89" s="22"/>
      <c r="NE89" s="22"/>
      <c r="NF89" s="22"/>
      <c r="NG89" s="22"/>
      <c r="NH89" s="22"/>
      <c r="NI89" s="22"/>
      <c r="NJ89" s="22"/>
      <c r="NK89" s="22"/>
      <c r="NL89" s="22"/>
      <c r="NM89" s="22"/>
      <c r="NN89" s="22"/>
      <c r="NO89" s="22"/>
      <c r="NP89" s="22"/>
      <c r="NQ89" s="22"/>
      <c r="NR89" s="22"/>
      <c r="NS89" s="22"/>
      <c r="NT89" s="22"/>
      <c r="NU89" s="22"/>
      <c r="NV89" s="22"/>
      <c r="NW89" s="22"/>
      <c r="NX89" s="22"/>
      <c r="NY89" s="22"/>
      <c r="NZ89" s="22"/>
      <c r="OA89" s="22"/>
      <c r="OB89" s="22"/>
      <c r="OC89" s="22"/>
      <c r="OD89" s="22"/>
      <c r="OE89" s="22"/>
      <c r="OF89" s="22"/>
      <c r="OG89" s="22"/>
      <c r="OH89" s="22"/>
      <c r="OI89" s="22"/>
      <c r="OJ89" s="22"/>
      <c r="OK89" s="22"/>
      <c r="OL89" s="22"/>
      <c r="OM89" s="22"/>
      <c r="ON89" s="22"/>
      <c r="OO89" s="22"/>
      <c r="OP89" s="22"/>
      <c r="OQ89" s="22"/>
      <c r="OR89" s="22"/>
      <c r="OS89" s="22"/>
      <c r="OT89" s="22"/>
      <c r="OU89" s="22"/>
      <c r="OV89" s="22"/>
      <c r="OW89" s="22"/>
      <c r="OX89" s="22"/>
      <c r="OY89" s="22"/>
      <c r="OZ89" s="22"/>
      <c r="PA89" s="22"/>
      <c r="PB89" s="22"/>
      <c r="PC89" s="22"/>
      <c r="PD89" s="22"/>
      <c r="PE89" s="22"/>
      <c r="PF89" s="22"/>
      <c r="PG89" s="22"/>
      <c r="PH89" s="22"/>
      <c r="PI89" s="22"/>
      <c r="PJ89" s="22"/>
      <c r="PK89" s="22"/>
      <c r="PL89" s="22"/>
      <c r="PM89" s="22"/>
      <c r="PN89" s="22"/>
      <c r="PO89" s="22"/>
      <c r="PP89" s="22"/>
      <c r="PQ89" s="22"/>
      <c r="PR89" s="22"/>
      <c r="PS89" s="22"/>
      <c r="PT89" s="22"/>
      <c r="PU89" s="22"/>
      <c r="PV89" s="22"/>
      <c r="PW89" s="22"/>
      <c r="PX89" s="22"/>
      <c r="PY89" s="22"/>
      <c r="PZ89" s="22"/>
      <c r="QA89" s="22"/>
      <c r="QB89" s="22"/>
      <c r="QC89" s="22"/>
      <c r="QD89" s="22"/>
      <c r="QE89" s="22"/>
      <c r="QF89" s="22"/>
      <c r="QG89" s="22"/>
      <c r="QH89" s="22"/>
      <c r="QI89" s="22"/>
      <c r="QJ89" s="22"/>
      <c r="QK89" s="22"/>
      <c r="QL89" s="22"/>
      <c r="QM89" s="22"/>
      <c r="QN89" s="22"/>
      <c r="QO89" s="22"/>
      <c r="QP89" s="22"/>
      <c r="QQ89" s="22"/>
      <c r="QR89" s="22"/>
      <c r="QS89" s="22"/>
      <c r="QT89" s="22"/>
      <c r="QU89" s="22"/>
      <c r="QV89" s="22"/>
      <c r="QW89" s="22"/>
      <c r="QX89" s="22"/>
      <c r="QY89" s="22"/>
      <c r="QZ89" s="22"/>
      <c r="RA89" s="22"/>
      <c r="RB89" s="22"/>
      <c r="RC89" s="22"/>
      <c r="RD89" s="22"/>
      <c r="RE89" s="22"/>
      <c r="RF89" s="22"/>
      <c r="RG89" s="22"/>
      <c r="RH89" s="22"/>
      <c r="RI89" s="22"/>
      <c r="RJ89" s="22"/>
      <c r="RK89" s="22"/>
      <c r="RL89" s="22"/>
      <c r="RM89" s="22"/>
      <c r="RN89" s="22"/>
      <c r="RO89" s="22"/>
      <c r="RP89" s="22"/>
      <c r="RQ89" s="22"/>
      <c r="RR89" s="22"/>
      <c r="RS89" s="22"/>
      <c r="RT89" s="22"/>
      <c r="RU89" s="22"/>
      <c r="RV89" s="22"/>
      <c r="RW89" s="22"/>
      <c r="RX89" s="22"/>
      <c r="RY89" s="22"/>
      <c r="RZ89" s="22"/>
      <c r="SA89" s="22"/>
      <c r="SB89" s="22"/>
      <c r="SC89" s="22"/>
      <c r="SD89" s="22"/>
      <c r="SE89" s="22"/>
      <c r="SF89" s="22"/>
      <c r="SG89" s="22"/>
      <c r="SH89" s="22"/>
      <c r="SI89" s="22"/>
      <c r="SJ89" s="22"/>
      <c r="SK89" s="22"/>
      <c r="SL89" s="22"/>
      <c r="SM89" s="22"/>
      <c r="SN89" s="22"/>
      <c r="SO89" s="22"/>
      <c r="SP89" s="22"/>
      <c r="SQ89" s="22"/>
      <c r="SR89" s="22"/>
      <c r="SS89" s="22"/>
      <c r="ST89" s="22"/>
      <c r="SU89" s="22"/>
      <c r="SV89" s="22"/>
      <c r="SW89" s="22"/>
      <c r="SX89" s="22"/>
      <c r="SY89" s="22"/>
      <c r="SZ89" s="22"/>
      <c r="TA89" s="22"/>
      <c r="TB89" s="22"/>
      <c r="TC89" s="22"/>
      <c r="TD89" s="22"/>
      <c r="TE89" s="22"/>
      <c r="TF89" s="22"/>
      <c r="TG89" s="22"/>
      <c r="TH89" s="22"/>
      <c r="TI89" s="22"/>
      <c r="TJ89" s="22"/>
      <c r="TK89" s="22"/>
      <c r="TL89" s="22"/>
      <c r="TM89" s="22"/>
      <c r="TN89" s="22"/>
      <c r="TO89" s="22"/>
      <c r="TP89" s="22"/>
      <c r="TQ89" s="22"/>
      <c r="TR89" s="22"/>
      <c r="TS89" s="22"/>
      <c r="TT89" s="22"/>
      <c r="TU89" s="22"/>
      <c r="TV89" s="22"/>
      <c r="TW89" s="22"/>
      <c r="TX89" s="22"/>
      <c r="TY89" s="22"/>
      <c r="TZ89" s="22"/>
      <c r="UA89" s="22"/>
      <c r="UB89" s="22"/>
      <c r="UC89" s="22"/>
      <c r="UD89" s="22"/>
      <c r="UE89" s="22"/>
      <c r="UF89" s="22"/>
      <c r="UG89" s="22"/>
      <c r="UH89" s="22"/>
      <c r="UI89" s="22"/>
      <c r="UJ89" s="22"/>
      <c r="UK89" s="22"/>
      <c r="UL89" s="22"/>
      <c r="UM89" s="22"/>
      <c r="UN89" s="22"/>
      <c r="UO89" s="22"/>
      <c r="UP89" s="22"/>
      <c r="UQ89" s="22"/>
      <c r="UR89" s="22"/>
      <c r="US89" s="22"/>
      <c r="UT89" s="22"/>
      <c r="UU89" s="22"/>
      <c r="UV89" s="22"/>
      <c r="UW89" s="22"/>
      <c r="UX89" s="22"/>
      <c r="UY89" s="22"/>
      <c r="UZ89" s="22"/>
      <c r="VA89" s="22"/>
      <c r="VB89" s="22"/>
      <c r="VC89" s="22"/>
      <c r="VD89" s="22"/>
      <c r="VE89" s="22"/>
      <c r="VF89" s="22"/>
      <c r="VG89" s="22"/>
      <c r="VH89" s="22"/>
      <c r="VI89" s="22"/>
      <c r="VJ89" s="22"/>
      <c r="VK89" s="22"/>
      <c r="VL89" s="22"/>
      <c r="VM89" s="22"/>
      <c r="VN89" s="22"/>
      <c r="VO89" s="22"/>
      <c r="VP89" s="22"/>
      <c r="VQ89" s="22"/>
      <c r="VR89" s="22"/>
      <c r="VS89" s="22"/>
      <c r="VT89" s="22"/>
      <c r="VU89" s="22"/>
      <c r="VV89" s="22"/>
      <c r="VW89" s="22"/>
      <c r="VX89" s="22"/>
      <c r="VY89" s="22"/>
      <c r="VZ89" s="22"/>
      <c r="WA89" s="22"/>
      <c r="WB89" s="22"/>
      <c r="WC89" s="22"/>
      <c r="WD89" s="22"/>
      <c r="WE89" s="22"/>
      <c r="WF89" s="22"/>
      <c r="WG89" s="22"/>
      <c r="WH89" s="22"/>
      <c r="WI89" s="22"/>
      <c r="WJ89" s="22"/>
      <c r="WK89" s="22"/>
      <c r="WL89" s="22"/>
      <c r="WM89" s="22"/>
      <c r="WN89" s="22"/>
      <c r="WO89" s="22"/>
      <c r="WP89" s="22"/>
      <c r="WQ89" s="22"/>
      <c r="WR89" s="22"/>
      <c r="WS89" s="22"/>
      <c r="WT89" s="22"/>
      <c r="WU89" s="22"/>
      <c r="WV89" s="22"/>
      <c r="WW89" s="22"/>
      <c r="WX89" s="22"/>
      <c r="WY89" s="22"/>
      <c r="WZ89" s="22"/>
      <c r="XA89" s="22"/>
      <c r="XB89" s="22"/>
      <c r="XC89" s="22"/>
      <c r="XD89" s="22"/>
      <c r="XE89" s="22"/>
      <c r="XF89" s="22"/>
      <c r="XG89" s="22"/>
      <c r="XH89" s="22"/>
      <c r="XI89" s="22"/>
      <c r="XJ89" s="22"/>
      <c r="XK89" s="22"/>
      <c r="XL89" s="22"/>
      <c r="XM89" s="22"/>
      <c r="XN89" s="22"/>
      <c r="XO89" s="22"/>
      <c r="XP89" s="22"/>
      <c r="XQ89" s="22"/>
      <c r="XR89" s="22"/>
      <c r="XS89" s="22"/>
      <c r="XT89" s="22"/>
      <c r="XU89" s="22"/>
      <c r="XV89" s="22"/>
      <c r="XW89" s="22"/>
      <c r="XX89" s="22"/>
      <c r="XY89" s="22"/>
      <c r="XZ89" s="22"/>
      <c r="YA89" s="22"/>
      <c r="YB89" s="22"/>
      <c r="YC89" s="22"/>
      <c r="YD89" s="22"/>
      <c r="YE89" s="22"/>
      <c r="YF89" s="22"/>
      <c r="YG89" s="22"/>
      <c r="YH89" s="22"/>
      <c r="YI89" s="22"/>
      <c r="YJ89" s="22"/>
      <c r="YK89" s="22"/>
      <c r="YL89" s="22"/>
      <c r="YM89" s="22"/>
      <c r="YN89" s="22"/>
      <c r="YO89" s="22"/>
      <c r="YP89" s="22"/>
      <c r="YQ89" s="22"/>
      <c r="YR89" s="22"/>
      <c r="YS89" s="22"/>
      <c r="YT89" s="22"/>
      <c r="YU89" s="22"/>
      <c r="YV89" s="22"/>
      <c r="YW89" s="22"/>
      <c r="YX89" s="22"/>
      <c r="YY89" s="22"/>
      <c r="YZ89" s="22"/>
      <c r="ZA89" s="22"/>
      <c r="ZB89" s="22"/>
      <c r="ZC89" s="22"/>
      <c r="ZD89" s="22"/>
      <c r="ZE89" s="22"/>
      <c r="ZF89" s="22"/>
      <c r="ZG89" s="22"/>
      <c r="ZH89" s="22"/>
      <c r="ZI89" s="22"/>
      <c r="ZJ89" s="22"/>
      <c r="ZK89" s="22"/>
      <c r="ZL89" s="22"/>
      <c r="ZM89" s="22"/>
      <c r="ZN89" s="22"/>
      <c r="ZO89" s="22"/>
      <c r="ZP89" s="22"/>
      <c r="ZQ89" s="22"/>
      <c r="ZR89" s="22"/>
      <c r="ZS89" s="22"/>
      <c r="ZT89" s="22"/>
      <c r="ZU89" s="22"/>
      <c r="ZV89" s="22"/>
      <c r="ZW89" s="22"/>
      <c r="ZX89" s="22"/>
      <c r="ZY89" s="22"/>
      <c r="ZZ89" s="22"/>
      <c r="AAA89" s="22"/>
      <c r="AAB89" s="22"/>
      <c r="AAC89" s="22"/>
      <c r="AAD89" s="22"/>
      <c r="AAE89" s="22"/>
      <c r="AAF89" s="22"/>
      <c r="AAG89" s="22"/>
      <c r="AAH89" s="22"/>
      <c r="AAI89" s="22"/>
      <c r="AAJ89" s="22"/>
      <c r="AAK89" s="22"/>
      <c r="AAL89" s="22"/>
      <c r="AAM89" s="22"/>
      <c r="AAN89" s="22"/>
      <c r="AAO89" s="22"/>
      <c r="AAP89" s="22"/>
      <c r="AAQ89" s="22"/>
      <c r="AAR89" s="22"/>
      <c r="AAS89" s="22"/>
      <c r="AAT89" s="22"/>
      <c r="AAU89" s="22"/>
      <c r="AAV89" s="22"/>
      <c r="AAW89" s="22"/>
      <c r="AAX89" s="22"/>
      <c r="AAY89" s="22"/>
      <c r="AAZ89" s="22"/>
      <c r="ABA89" s="22"/>
      <c r="ABB89" s="22"/>
      <c r="ABC89" s="22"/>
      <c r="ABD89" s="22"/>
      <c r="ABE89" s="22"/>
      <c r="ABF89" s="22"/>
      <c r="ABG89" s="22"/>
      <c r="ABH89" s="22"/>
      <c r="ABI89" s="22"/>
      <c r="ABJ89" s="22"/>
      <c r="ABK89" s="22"/>
      <c r="ABL89" s="22"/>
      <c r="ABM89" s="22"/>
      <c r="ABN89" s="22"/>
      <c r="ABO89" s="22"/>
      <c r="ABP89" s="22"/>
      <c r="ABQ89" s="22"/>
      <c r="ABR89" s="22"/>
      <c r="ABS89" s="22"/>
      <c r="ABT89" s="22"/>
      <c r="ABU89" s="22"/>
      <c r="ABV89" s="22"/>
      <c r="ABW89" s="22"/>
      <c r="ABX89" s="22"/>
      <c r="ABY89" s="22"/>
      <c r="ABZ89" s="22"/>
      <c r="ACA89" s="22"/>
      <c r="ACB89" s="22"/>
      <c r="ACC89" s="22"/>
      <c r="ACD89" s="22"/>
      <c r="ACE89" s="22"/>
      <c r="ACF89" s="22"/>
      <c r="ACG89" s="22"/>
      <c r="ACH89" s="22"/>
      <c r="ACI89" s="22"/>
      <c r="ACJ89" s="22"/>
      <c r="ACK89" s="22"/>
      <c r="ACL89" s="22"/>
      <c r="ACM89" s="22"/>
      <c r="ACN89" s="22"/>
      <c r="ACO89" s="22"/>
      <c r="ACP89" s="22"/>
      <c r="ACQ89" s="22"/>
      <c r="ACR89" s="22"/>
      <c r="ACS89" s="22"/>
      <c r="ACT89" s="22"/>
      <c r="ACU89" s="22"/>
      <c r="ACV89" s="22"/>
      <c r="ACW89" s="22"/>
      <c r="ACX89" s="22"/>
      <c r="ACY89" s="22"/>
      <c r="ACZ89" s="22"/>
      <c r="ADA89" s="22"/>
      <c r="ADB89" s="22"/>
      <c r="ADC89" s="22"/>
      <c r="ADD89" s="22"/>
      <c r="ADE89" s="22"/>
      <c r="ADF89" s="22"/>
      <c r="ADG89" s="22"/>
      <c r="ADH89" s="22"/>
      <c r="ADI89" s="22"/>
      <c r="ADJ89" s="22"/>
      <c r="ADK89" s="22"/>
      <c r="ADL89" s="22"/>
      <c r="ADM89" s="22"/>
      <c r="ADN89" s="22"/>
      <c r="ADO89" s="22"/>
      <c r="ADP89" s="22"/>
      <c r="ADQ89" s="22"/>
      <c r="ADR89" s="22"/>
      <c r="ADS89" s="22"/>
      <c r="ADT89" s="22"/>
      <c r="ADU89" s="22"/>
      <c r="ADV89" s="22"/>
      <c r="ADW89" s="22"/>
      <c r="ADX89" s="22"/>
      <c r="ADY89" s="22"/>
      <c r="ADZ89" s="22"/>
      <c r="AEA89" s="22"/>
      <c r="AEB89" s="22"/>
      <c r="AEC89" s="22"/>
      <c r="AED89" s="22"/>
      <c r="AEE89" s="22"/>
      <c r="AEF89" s="22"/>
      <c r="AEG89" s="22"/>
      <c r="AEH89" s="22"/>
      <c r="AEI89" s="22"/>
      <c r="AEJ89" s="22"/>
      <c r="AEK89" s="22"/>
      <c r="AEL89" s="22"/>
      <c r="AEM89" s="22"/>
      <c r="AEN89" s="22"/>
      <c r="AEO89" s="22"/>
      <c r="AEP89" s="22"/>
      <c r="AEQ89" s="22"/>
      <c r="AER89" s="22"/>
      <c r="AES89" s="22"/>
      <c r="AET89" s="22"/>
      <c r="AEU89" s="22"/>
      <c r="AEV89" s="22"/>
      <c r="AEW89" s="22"/>
      <c r="AEX89" s="22"/>
      <c r="AEY89" s="22"/>
      <c r="AEZ89" s="22"/>
      <c r="AFA89" s="22"/>
      <c r="AFB89" s="22"/>
      <c r="AFC89" s="22"/>
      <c r="AFD89" s="22"/>
      <c r="AFE89" s="22"/>
      <c r="AFF89" s="22"/>
      <c r="AFG89" s="22"/>
      <c r="AFH89" s="22"/>
      <c r="AFI89" s="22"/>
      <c r="AFJ89" s="22"/>
      <c r="AFK89" s="22"/>
      <c r="AFL89" s="22"/>
      <c r="AFM89" s="22"/>
      <c r="AFN89" s="22"/>
      <c r="AFO89" s="22"/>
      <c r="AFP89" s="22"/>
      <c r="AFQ89" s="22"/>
      <c r="AFR89" s="22"/>
      <c r="AFS89" s="22"/>
      <c r="AFT89" s="22"/>
      <c r="AFU89" s="22"/>
      <c r="AFV89" s="22"/>
      <c r="AFW89" s="22"/>
      <c r="AFX89" s="22"/>
      <c r="AFY89" s="22"/>
      <c r="AFZ89" s="22"/>
      <c r="AGA89" s="22"/>
      <c r="AGB89" s="22"/>
      <c r="AGC89" s="22"/>
      <c r="AGD89" s="22"/>
      <c r="AGE89" s="22"/>
      <c r="AGF89" s="22"/>
      <c r="AGG89" s="22"/>
      <c r="AGH89" s="22"/>
      <c r="AGI89" s="22"/>
      <c r="AGJ89" s="22"/>
      <c r="AGK89" s="22"/>
      <c r="AGL89" s="22"/>
      <c r="AGM89" s="22"/>
      <c r="AGN89" s="22"/>
      <c r="AGO89" s="22"/>
      <c r="AGP89" s="22"/>
      <c r="AGQ89" s="22"/>
      <c r="AGR89" s="22"/>
      <c r="AGS89" s="22"/>
      <c r="AGT89" s="22"/>
      <c r="AGU89" s="22"/>
      <c r="AGV89" s="22"/>
      <c r="AGW89" s="22"/>
      <c r="AGX89" s="22"/>
      <c r="AGY89" s="22"/>
      <c r="AGZ89" s="22"/>
      <c r="AHA89" s="22"/>
      <c r="AHB89" s="22"/>
      <c r="AHC89" s="22"/>
      <c r="AHD89" s="22"/>
      <c r="AHE89" s="22"/>
      <c r="AHF89" s="22"/>
      <c r="AHG89" s="22"/>
      <c r="AHH89" s="22"/>
      <c r="AHI89" s="22"/>
      <c r="AHJ89" s="22"/>
      <c r="AHK89" s="22"/>
      <c r="AHL89" s="22"/>
      <c r="AHM89" s="22"/>
      <c r="AHN89" s="22"/>
      <c r="AHO89" s="22"/>
      <c r="AHP89" s="22"/>
      <c r="AHQ89" s="22"/>
      <c r="AHR89" s="22"/>
      <c r="AHS89" s="22"/>
      <c r="AHT89" s="22"/>
      <c r="AHU89" s="22"/>
      <c r="AHV89" s="22"/>
      <c r="AHW89" s="22"/>
      <c r="AHX89" s="22"/>
      <c r="AHY89" s="22"/>
      <c r="AHZ89" s="22"/>
      <c r="AIA89" s="22"/>
      <c r="AIB89" s="22"/>
      <c r="AIC89" s="22"/>
      <c r="AID89" s="22"/>
      <c r="AIE89" s="22"/>
      <c r="AIF89" s="22"/>
      <c r="AIG89" s="22"/>
      <c r="AIH89" s="22"/>
      <c r="AII89" s="22"/>
      <c r="AIJ89" s="22"/>
      <c r="AIK89" s="22"/>
      <c r="AIL89" s="22"/>
      <c r="AIM89" s="22"/>
      <c r="AIN89" s="22"/>
      <c r="AIO89" s="22"/>
      <c r="AIP89" s="22"/>
      <c r="AIQ89" s="22"/>
      <c r="AIR89" s="22"/>
      <c r="AIS89" s="22"/>
      <c r="AIT89" s="22"/>
      <c r="AIU89" s="22"/>
      <c r="AIV89" s="22"/>
      <c r="AIW89" s="22"/>
      <c r="AIX89" s="22"/>
      <c r="AIY89" s="22"/>
      <c r="AIZ89" s="22"/>
      <c r="AJA89" s="22"/>
      <c r="AJB89" s="22"/>
      <c r="AJC89" s="22"/>
      <c r="AJD89" s="22"/>
      <c r="AJE89" s="22"/>
      <c r="AJF89" s="22"/>
      <c r="AJG89" s="22"/>
      <c r="AJH89" s="22"/>
      <c r="AJI89" s="22"/>
      <c r="AJJ89" s="22"/>
      <c r="AJK89" s="22"/>
      <c r="AJL89" s="22"/>
      <c r="AJM89" s="22"/>
      <c r="AJN89" s="22"/>
      <c r="AJO89" s="22"/>
      <c r="AJP89" s="22"/>
      <c r="AJQ89" s="22"/>
      <c r="AJR89" s="22"/>
      <c r="AJS89" s="22"/>
      <c r="AJT89" s="22"/>
      <c r="AJU89" s="22"/>
      <c r="AJV89" s="22"/>
      <c r="AJW89" s="22"/>
      <c r="AJX89" s="22"/>
      <c r="AJY89" s="22"/>
      <c r="AJZ89" s="22"/>
      <c r="AKA89" s="22"/>
      <c r="AKB89" s="22"/>
      <c r="AKC89" s="22"/>
      <c r="AKD89" s="22"/>
      <c r="AKE89" s="22"/>
      <c r="AKF89" s="22"/>
      <c r="AKG89" s="22"/>
      <c r="AKH89" s="22"/>
      <c r="AKI89" s="22"/>
      <c r="AKJ89" s="22"/>
      <c r="AKK89" s="22"/>
      <c r="AKL89" s="22"/>
      <c r="AKM89" s="22"/>
      <c r="AKN89" s="22"/>
      <c r="AKO89" s="22"/>
      <c r="AKP89" s="22"/>
      <c r="AKQ89" s="22"/>
      <c r="AKR89" s="22"/>
      <c r="AKS89" s="22"/>
      <c r="AKT89" s="22"/>
      <c r="AKU89" s="22"/>
      <c r="AKV89" s="22"/>
      <c r="AKW89" s="22"/>
      <c r="AKX89" s="22"/>
      <c r="AKY89" s="22"/>
      <c r="AKZ89" s="22"/>
      <c r="ALA89" s="22"/>
      <c r="ALB89" s="22"/>
      <c r="ALC89" s="22"/>
      <c r="ALD89" s="22"/>
      <c r="ALE89" s="22"/>
      <c r="ALF89" s="22"/>
      <c r="ALG89" s="22"/>
      <c r="ALH89" s="22"/>
      <c r="ALI89" s="22"/>
      <c r="ALJ89" s="22"/>
      <c r="ALK89" s="22"/>
      <c r="ALL89" s="22"/>
      <c r="ALM89" s="22"/>
      <c r="ALN89" s="22"/>
      <c r="ALO89" s="22"/>
      <c r="ALP89" s="22"/>
      <c r="ALQ89" s="22"/>
      <c r="ALR89" s="22"/>
      <c r="ALS89" s="22"/>
      <c r="ALT89" s="22"/>
      <c r="ALU89" s="22"/>
      <c r="ALV89" s="22"/>
      <c r="ALW89" s="22"/>
      <c r="ALX89" s="22"/>
      <c r="ALY89" s="22"/>
      <c r="ALZ89" s="22"/>
      <c r="AMA89" s="22"/>
      <c r="AMB89" s="22"/>
      <c r="AMC89" s="22"/>
      <c r="AMD89" s="22"/>
      <c r="AME89" s="22"/>
      <c r="AMF89" s="22"/>
      <c r="AMG89" s="22"/>
      <c r="AMH89" s="22"/>
      <c r="AMI89" s="22"/>
      <c r="AMJ89" s="22"/>
      <c r="AMK89" s="22"/>
      <c r="AML89" s="22"/>
      <c r="AMM89" s="22"/>
      <c r="AMN89" s="22"/>
      <c r="AMO89" s="22"/>
      <c r="AMP89" s="22"/>
      <c r="AMQ89" s="22"/>
      <c r="AMR89" s="22"/>
      <c r="AMS89" s="22"/>
      <c r="AMT89" s="22"/>
      <c r="AMU89" s="22"/>
      <c r="AMV89" s="22"/>
      <c r="AMW89" s="22"/>
      <c r="AMX89" s="22"/>
      <c r="AMY89" s="22"/>
      <c r="AMZ89" s="22"/>
      <c r="ANA89" s="22"/>
      <c r="ANB89" s="22"/>
      <c r="ANC89" s="22"/>
      <c r="AND89" s="22"/>
      <c r="ANE89" s="22"/>
      <c r="ANF89" s="22"/>
      <c r="ANG89" s="22"/>
      <c r="ANH89" s="22"/>
      <c r="ANI89" s="22"/>
      <c r="ANJ89" s="22"/>
      <c r="ANK89" s="22"/>
      <c r="ANL89" s="22"/>
      <c r="ANM89" s="22"/>
      <c r="ANN89" s="22"/>
      <c r="ANO89" s="22"/>
      <c r="ANP89" s="22"/>
      <c r="ANQ89" s="22"/>
      <c r="ANR89" s="22"/>
      <c r="ANS89" s="22"/>
      <c r="ANT89" s="22"/>
      <c r="ANU89" s="22"/>
      <c r="ANV89" s="22"/>
      <c r="ANW89" s="22"/>
      <c r="ANX89" s="22"/>
      <c r="ANY89" s="22"/>
      <c r="ANZ89" s="22"/>
      <c r="AOA89" s="22"/>
      <c r="AOB89" s="22"/>
      <c r="AOC89" s="22"/>
      <c r="AOD89" s="22"/>
      <c r="AOE89" s="22"/>
      <c r="AOF89" s="22"/>
      <c r="AOG89" s="22"/>
      <c r="AOH89" s="22"/>
      <c r="AOI89" s="22"/>
      <c r="AOJ89" s="22"/>
      <c r="AOK89" s="22"/>
      <c r="AOL89" s="22"/>
      <c r="AOM89" s="22"/>
      <c r="AON89" s="22"/>
      <c r="AOO89" s="22"/>
      <c r="AOP89" s="22"/>
      <c r="AOQ89" s="22"/>
      <c r="AOR89" s="22"/>
      <c r="AOS89" s="22"/>
      <c r="AOT89" s="22"/>
      <c r="AOU89" s="22"/>
      <c r="AOV89" s="22"/>
      <c r="AOW89" s="22"/>
      <c r="AOX89" s="22"/>
      <c r="AOY89" s="22"/>
      <c r="AOZ89" s="22"/>
      <c r="APA89" s="22"/>
      <c r="APB89" s="22"/>
      <c r="APC89" s="22"/>
      <c r="APD89" s="22"/>
      <c r="APE89" s="22"/>
      <c r="APF89" s="22"/>
      <c r="APG89" s="22"/>
      <c r="APH89" s="22"/>
      <c r="API89" s="22"/>
      <c r="APJ89" s="22"/>
      <c r="APK89" s="22"/>
      <c r="APL89" s="22"/>
      <c r="APM89" s="22"/>
      <c r="APN89" s="22"/>
      <c r="APO89" s="22"/>
      <c r="APP89" s="22"/>
      <c r="APQ89" s="22"/>
      <c r="APR89" s="22"/>
      <c r="APS89" s="22"/>
      <c r="APT89" s="22"/>
      <c r="APU89" s="22"/>
      <c r="APV89" s="22"/>
      <c r="APW89" s="22"/>
      <c r="APX89" s="22"/>
      <c r="APY89" s="22"/>
      <c r="APZ89" s="22"/>
      <c r="AQA89" s="22"/>
      <c r="AQB89" s="22"/>
      <c r="AQC89" s="22"/>
      <c r="AQD89" s="22"/>
      <c r="AQE89" s="22"/>
      <c r="AQF89" s="22"/>
      <c r="AQG89" s="22"/>
      <c r="AQH89" s="22"/>
      <c r="AQI89" s="22"/>
      <c r="AQJ89" s="22"/>
      <c r="AQK89" s="22"/>
      <c r="AQL89" s="22"/>
      <c r="AQM89" s="22"/>
      <c r="AQN89" s="22"/>
      <c r="AQO89" s="22"/>
      <c r="AQP89" s="22"/>
      <c r="AQQ89" s="22"/>
      <c r="AQR89" s="22"/>
      <c r="AQS89" s="22"/>
      <c r="AQT89" s="22"/>
      <c r="AQU89" s="22"/>
      <c r="AQV89" s="22"/>
      <c r="AQW89" s="22"/>
      <c r="AQX89" s="22"/>
      <c r="AQY89" s="22"/>
      <c r="AQZ89" s="22"/>
      <c r="ARA89" s="22"/>
      <c r="ARB89" s="22"/>
      <c r="ARC89" s="22"/>
      <c r="ARD89" s="22"/>
      <c r="ARE89" s="22"/>
      <c r="ARF89" s="22"/>
      <c r="ARG89" s="22"/>
      <c r="ARH89" s="22"/>
      <c r="ARI89" s="22"/>
      <c r="ARJ89" s="22"/>
      <c r="ARK89" s="22"/>
      <c r="ARL89" s="22"/>
      <c r="ARM89" s="22"/>
      <c r="ARN89" s="22"/>
      <c r="ARO89" s="22"/>
      <c r="ARP89" s="22"/>
      <c r="ARQ89" s="22"/>
      <c r="ARR89" s="22"/>
      <c r="ARS89" s="22"/>
      <c r="ART89" s="22"/>
      <c r="ARU89" s="22"/>
      <c r="ARV89" s="22"/>
      <c r="ARW89" s="22"/>
      <c r="ARX89" s="22"/>
      <c r="ARY89" s="22"/>
      <c r="ARZ89" s="22"/>
      <c r="ASA89" s="22"/>
      <c r="ASB89" s="22"/>
      <c r="ASC89" s="22"/>
      <c r="ASD89" s="22"/>
      <c r="ASE89" s="22"/>
      <c r="ASF89" s="22"/>
      <c r="ASG89" s="22"/>
      <c r="ASH89" s="22"/>
      <c r="ASI89" s="22"/>
      <c r="ASJ89" s="22"/>
      <c r="ASK89" s="22"/>
      <c r="ASL89" s="22"/>
      <c r="ASM89" s="22"/>
      <c r="ASN89" s="22"/>
      <c r="ASO89" s="22"/>
      <c r="ASP89" s="22"/>
      <c r="ASQ89" s="22"/>
      <c r="ASR89" s="22"/>
      <c r="ASS89" s="22"/>
      <c r="AST89" s="22"/>
      <c r="ASU89" s="22"/>
      <c r="ASV89" s="22"/>
      <c r="ASW89" s="22"/>
      <c r="ASX89" s="22"/>
      <c r="ASY89" s="22"/>
      <c r="ASZ89" s="22"/>
      <c r="ATA89" s="22"/>
      <c r="ATB89" s="22"/>
      <c r="ATC89" s="22"/>
      <c r="ATD89" s="22"/>
      <c r="ATE89" s="22"/>
      <c r="ATF89" s="22"/>
      <c r="ATG89" s="22"/>
      <c r="ATH89" s="22"/>
      <c r="ATI89" s="22"/>
      <c r="ATJ89" s="22"/>
      <c r="ATK89" s="22"/>
      <c r="ATL89" s="22"/>
      <c r="ATM89" s="22"/>
      <c r="ATN89" s="22"/>
      <c r="ATO89" s="22"/>
      <c r="ATP89" s="22"/>
      <c r="ATQ89" s="22"/>
      <c r="ATR89" s="22"/>
      <c r="ATS89" s="22"/>
      <c r="ATT89" s="22"/>
      <c r="ATU89" s="22"/>
      <c r="ATV89" s="22"/>
      <c r="ATW89" s="22"/>
      <c r="ATX89" s="22"/>
      <c r="ATY89" s="22"/>
      <c r="ATZ89" s="22"/>
      <c r="AUA89" s="22"/>
      <c r="AUB89" s="22"/>
      <c r="AUC89" s="22"/>
      <c r="AUD89" s="22"/>
      <c r="AUE89" s="22"/>
      <c r="AUF89" s="22"/>
      <c r="AUG89" s="22"/>
      <c r="AUH89" s="22"/>
      <c r="AUI89" s="22"/>
      <c r="AUJ89" s="22"/>
      <c r="AUK89" s="22"/>
      <c r="AUL89" s="22"/>
      <c r="AUM89" s="22"/>
      <c r="AUN89" s="22"/>
      <c r="AUO89" s="22"/>
      <c r="AUP89" s="22"/>
      <c r="AUQ89" s="22"/>
      <c r="AUR89" s="22"/>
      <c r="AUS89" s="22"/>
      <c r="AUT89" s="22"/>
      <c r="AUU89" s="22"/>
      <c r="AUV89" s="22"/>
      <c r="AUW89" s="22"/>
      <c r="AUX89" s="22"/>
      <c r="AUY89" s="22"/>
      <c r="AUZ89" s="22"/>
      <c r="AVA89" s="22"/>
      <c r="AVB89" s="22"/>
      <c r="AVC89" s="22"/>
      <c r="AVD89" s="22"/>
      <c r="AVE89" s="22"/>
      <c r="AVF89" s="22"/>
      <c r="AVG89" s="22"/>
      <c r="AVH89" s="22"/>
      <c r="AVI89" s="22"/>
      <c r="AVJ89" s="22"/>
      <c r="AVK89" s="22"/>
      <c r="AVL89" s="22"/>
      <c r="AVM89" s="22"/>
      <c r="AVN89" s="22"/>
      <c r="AVO89" s="22"/>
      <c r="AVP89" s="22"/>
      <c r="AVQ89" s="22"/>
      <c r="AVR89" s="22"/>
      <c r="AVS89" s="22"/>
      <c r="AVT89" s="22"/>
      <c r="AVU89" s="22"/>
      <c r="AVV89" s="22"/>
      <c r="AVW89" s="22"/>
      <c r="AVX89" s="22"/>
      <c r="AVY89" s="22"/>
      <c r="AVZ89" s="22"/>
      <c r="AWA89" s="22"/>
      <c r="AWB89" s="22"/>
      <c r="AWC89" s="22"/>
      <c r="AWD89" s="22"/>
      <c r="AWE89" s="22"/>
      <c r="AWF89" s="22"/>
      <c r="AWG89" s="22"/>
      <c r="AWH89" s="22"/>
      <c r="AWI89" s="22"/>
      <c r="AWJ89" s="22"/>
      <c r="AWK89" s="22"/>
      <c r="AWL89" s="22"/>
      <c r="AWM89" s="22"/>
      <c r="AWN89" s="22"/>
      <c r="AWO89" s="22"/>
      <c r="AWP89" s="22"/>
      <c r="AWQ89" s="22"/>
      <c r="AWR89" s="22"/>
      <c r="AWS89" s="22"/>
      <c r="AWT89" s="22"/>
      <c r="AWU89" s="22"/>
      <c r="AWV89" s="22"/>
      <c r="AWW89" s="22"/>
      <c r="AWX89" s="22"/>
      <c r="AWY89" s="22"/>
      <c r="AWZ89" s="22"/>
      <c r="AXA89" s="22"/>
      <c r="AXB89" s="22"/>
      <c r="AXC89" s="22"/>
      <c r="AXD89" s="22"/>
      <c r="AXE89" s="22"/>
      <c r="AXF89" s="22"/>
      <c r="AXG89" s="22"/>
      <c r="AXH89" s="22"/>
      <c r="AXI89" s="22"/>
      <c r="AXJ89" s="22"/>
      <c r="AXK89" s="22"/>
      <c r="AXL89" s="22"/>
      <c r="AXM89" s="22"/>
      <c r="AXN89" s="22"/>
      <c r="AXO89" s="22"/>
      <c r="AXP89" s="22"/>
      <c r="AXQ89" s="22"/>
      <c r="AXR89" s="22"/>
      <c r="AXS89" s="22"/>
      <c r="AXT89" s="22"/>
      <c r="AXU89" s="22"/>
      <c r="AXV89" s="22"/>
      <c r="AXW89" s="22"/>
      <c r="AXX89" s="22"/>
      <c r="AXY89" s="22"/>
      <c r="AXZ89" s="22"/>
      <c r="AYA89" s="22"/>
      <c r="AYB89" s="22"/>
      <c r="AYC89" s="22"/>
      <c r="AYD89" s="22"/>
      <c r="AYE89" s="22"/>
      <c r="AYF89" s="22"/>
      <c r="AYG89" s="22"/>
      <c r="AYH89" s="22"/>
      <c r="AYI89" s="22"/>
      <c r="AYJ89" s="22"/>
      <c r="AYK89" s="22"/>
      <c r="AYL89" s="22"/>
      <c r="AYM89" s="22"/>
      <c r="AYN89" s="22"/>
      <c r="AYO89" s="22"/>
      <c r="AYP89" s="22"/>
      <c r="AYQ89" s="22"/>
      <c r="AYR89" s="22"/>
      <c r="AYS89" s="22"/>
      <c r="AYT89" s="22"/>
      <c r="AYU89" s="22"/>
      <c r="AYV89" s="22"/>
      <c r="AYW89" s="22"/>
      <c r="AYX89" s="22"/>
      <c r="AYY89" s="22"/>
      <c r="AYZ89" s="22"/>
      <c r="AZA89" s="22"/>
      <c r="AZB89" s="22"/>
      <c r="AZC89" s="22"/>
      <c r="AZD89" s="22"/>
      <c r="AZE89" s="22"/>
      <c r="AZF89" s="22"/>
      <c r="AZG89" s="22"/>
      <c r="AZH89" s="22"/>
      <c r="AZI89" s="22"/>
      <c r="AZJ89" s="22"/>
      <c r="AZK89" s="22"/>
      <c r="AZL89" s="22"/>
      <c r="AZM89" s="22"/>
      <c r="AZN89" s="22"/>
      <c r="AZO89" s="22"/>
      <c r="AZP89" s="22"/>
      <c r="AZQ89" s="22"/>
      <c r="AZR89" s="22"/>
      <c r="AZS89" s="22"/>
      <c r="AZT89" s="22"/>
      <c r="AZU89" s="22"/>
      <c r="AZV89" s="22"/>
      <c r="AZW89" s="22"/>
      <c r="AZX89" s="22"/>
      <c r="AZY89" s="22"/>
      <c r="AZZ89" s="22"/>
      <c r="BAA89" s="22"/>
      <c r="BAB89" s="22"/>
      <c r="BAC89" s="22"/>
      <c r="BAD89" s="22"/>
      <c r="BAE89" s="22"/>
      <c r="BAF89" s="22"/>
      <c r="BAG89" s="22"/>
      <c r="BAH89" s="22"/>
      <c r="BAI89" s="22"/>
      <c r="BAJ89" s="22"/>
      <c r="BAK89" s="22"/>
      <c r="BAL89" s="22"/>
      <c r="BAM89" s="22"/>
      <c r="BAN89" s="22"/>
      <c r="BAO89" s="22"/>
      <c r="BAP89" s="22"/>
      <c r="BAQ89" s="22"/>
      <c r="BAR89" s="22"/>
      <c r="BAS89" s="22"/>
      <c r="BAT89" s="22"/>
      <c r="BAU89" s="22"/>
      <c r="BAV89" s="22"/>
      <c r="BAW89" s="22"/>
      <c r="BAX89" s="22"/>
      <c r="BAY89" s="22"/>
      <c r="BAZ89" s="22"/>
      <c r="BBA89" s="22"/>
      <c r="BBB89" s="22"/>
      <c r="BBC89" s="22"/>
      <c r="BBD89" s="22"/>
      <c r="BBE89" s="22"/>
      <c r="BBF89" s="22"/>
      <c r="BBG89" s="22"/>
      <c r="BBH89" s="22"/>
      <c r="BBI89" s="22"/>
      <c r="BBJ89" s="22"/>
      <c r="BBK89" s="22"/>
      <c r="BBL89" s="22"/>
      <c r="BBM89" s="22"/>
      <c r="BBN89" s="22"/>
      <c r="BBO89" s="22"/>
      <c r="BBP89" s="22"/>
      <c r="BBQ89" s="22"/>
      <c r="BBR89" s="22"/>
      <c r="BBS89" s="22"/>
      <c r="BBT89" s="22"/>
      <c r="BBU89" s="22"/>
      <c r="BBV89" s="22"/>
      <c r="BBW89" s="22"/>
      <c r="BBX89" s="22"/>
      <c r="BBY89" s="22"/>
      <c r="BBZ89" s="22"/>
      <c r="BCA89" s="22"/>
      <c r="BCB89" s="22"/>
      <c r="BCC89" s="22"/>
      <c r="BCD89" s="22"/>
      <c r="BCE89" s="22"/>
      <c r="BCF89" s="22"/>
      <c r="BCG89" s="22"/>
      <c r="BCH89" s="22"/>
      <c r="BCI89" s="22"/>
      <c r="BCJ89" s="22"/>
      <c r="BCK89" s="22"/>
      <c r="BCL89" s="22"/>
      <c r="BCM89" s="22"/>
      <c r="BCN89" s="22"/>
      <c r="BCO89" s="22"/>
      <c r="BCP89" s="22"/>
      <c r="BCQ89" s="22"/>
      <c r="BCR89" s="22"/>
      <c r="BCS89" s="22"/>
      <c r="BCT89" s="22"/>
      <c r="BCU89" s="22"/>
      <c r="BCV89" s="22"/>
      <c r="BCW89" s="22"/>
      <c r="BCX89" s="22"/>
      <c r="BCY89" s="22"/>
      <c r="BCZ89" s="22"/>
      <c r="BDA89" s="22"/>
      <c r="BDB89" s="22"/>
      <c r="BDC89" s="22"/>
      <c r="BDD89" s="22"/>
      <c r="BDE89" s="22"/>
      <c r="BDF89" s="22"/>
      <c r="BDG89" s="22"/>
      <c r="BDH89" s="22"/>
      <c r="BDI89" s="22"/>
      <c r="BDJ89" s="22"/>
      <c r="BDK89" s="22"/>
      <c r="BDL89" s="22"/>
      <c r="BDM89" s="22"/>
      <c r="BDN89" s="22"/>
      <c r="BDO89" s="22"/>
      <c r="BDP89" s="22"/>
      <c r="BDQ89" s="22"/>
      <c r="BDR89" s="22"/>
      <c r="BDS89" s="22"/>
      <c r="BDT89" s="22"/>
      <c r="BDU89" s="22"/>
      <c r="BDV89" s="22"/>
      <c r="BDW89" s="22"/>
      <c r="BDX89" s="22"/>
      <c r="BDY89" s="22"/>
      <c r="BDZ89" s="22"/>
      <c r="BEA89" s="22"/>
      <c r="BEB89" s="22"/>
      <c r="BEC89" s="22"/>
      <c r="BED89" s="22"/>
      <c r="BEE89" s="22"/>
      <c r="BEF89" s="22"/>
      <c r="BEG89" s="22"/>
      <c r="BEH89" s="22"/>
      <c r="BEI89" s="22"/>
      <c r="BEJ89" s="22"/>
      <c r="BEK89" s="22"/>
      <c r="BEL89" s="22"/>
      <c r="BEM89" s="22"/>
      <c r="BEN89" s="22"/>
      <c r="BEO89" s="22"/>
      <c r="BEP89" s="22"/>
      <c r="BEQ89" s="22"/>
      <c r="BER89" s="22"/>
      <c r="BES89" s="22"/>
      <c r="BET89" s="22"/>
      <c r="BEU89" s="22"/>
      <c r="BEV89" s="22"/>
      <c r="BEW89" s="22"/>
      <c r="BEX89" s="22"/>
      <c r="BEY89" s="22"/>
      <c r="BEZ89" s="22"/>
      <c r="BFA89" s="22"/>
      <c r="BFB89" s="22"/>
      <c r="BFC89" s="22"/>
      <c r="BFD89" s="22"/>
      <c r="BFE89" s="22"/>
      <c r="BFF89" s="22"/>
      <c r="BFG89" s="22"/>
      <c r="BFH89" s="22"/>
      <c r="BFI89" s="22"/>
      <c r="BFJ89" s="22"/>
      <c r="BFK89" s="22"/>
      <c r="BFL89" s="22"/>
      <c r="BFM89" s="22"/>
      <c r="BFN89" s="22"/>
      <c r="BFO89" s="22"/>
      <c r="BFP89" s="22"/>
      <c r="BFQ89" s="22"/>
      <c r="BFR89" s="22"/>
      <c r="BFS89" s="22"/>
      <c r="BFT89" s="22"/>
      <c r="BFU89" s="22"/>
      <c r="BFV89" s="22"/>
      <c r="BFW89" s="22"/>
    </row>
    <row r="90" spans="1:1531" s="181" customFormat="1" ht="46.15" customHeight="1" x14ac:dyDescent="0.2">
      <c r="A90" s="261" t="s">
        <v>468</v>
      </c>
      <c r="B90" s="249"/>
      <c r="C90" s="88" t="s">
        <v>498</v>
      </c>
      <c r="D90" s="249"/>
      <c r="E90" s="249" t="s">
        <v>740</v>
      </c>
      <c r="F90" s="249"/>
      <c r="G90" s="249" t="s">
        <v>476</v>
      </c>
      <c r="H90" s="141"/>
      <c r="I90" s="245" t="s">
        <v>637</v>
      </c>
      <c r="J90" s="143"/>
      <c r="K90" s="88" t="s">
        <v>110</v>
      </c>
      <c r="L90" s="143"/>
      <c r="M90" s="143"/>
      <c r="N90" s="143"/>
      <c r="O90" s="143">
        <v>2016</v>
      </c>
      <c r="P90" s="129" t="s">
        <v>680</v>
      </c>
      <c r="Q90" s="143"/>
      <c r="R90" s="143"/>
      <c r="S90" s="246"/>
      <c r="T90" s="143"/>
      <c r="U90" s="143"/>
      <c r="V90" s="143"/>
      <c r="W90" s="143"/>
      <c r="X90" s="143"/>
      <c r="Y90" s="247"/>
      <c r="Z90" s="143"/>
      <c r="AA90" s="246"/>
      <c r="AB90" s="143"/>
      <c r="AC90" s="143"/>
      <c r="AD90" s="143"/>
      <c r="AE90" s="143"/>
      <c r="AF90" s="143"/>
      <c r="AG90" s="143"/>
      <c r="AH90" s="143"/>
      <c r="AI90" s="143"/>
      <c r="AJ90" s="143"/>
      <c r="AK90" s="143"/>
      <c r="AL90" s="143">
        <v>44</v>
      </c>
      <c r="AM90" s="143"/>
      <c r="AN90" s="248" t="s">
        <v>637</v>
      </c>
      <c r="AP90" s="473"/>
      <c r="AQ90" s="486">
        <v>4100</v>
      </c>
      <c r="AT90" s="491">
        <v>1100</v>
      </c>
      <c r="AU90" s="481" t="s">
        <v>713</v>
      </c>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c r="IG90" s="22"/>
      <c r="IH90" s="22"/>
      <c r="II90" s="22"/>
      <c r="IJ90" s="22"/>
      <c r="IK90" s="22"/>
      <c r="IL90" s="22"/>
      <c r="IM90" s="22"/>
      <c r="IN90" s="22"/>
      <c r="IO90" s="22"/>
      <c r="IP90" s="22"/>
      <c r="IQ90" s="22"/>
      <c r="IR90" s="22"/>
      <c r="IS90" s="22"/>
      <c r="IT90" s="22"/>
      <c r="IU90" s="22"/>
      <c r="IV90" s="22"/>
      <c r="IW90" s="22"/>
      <c r="IX90" s="22"/>
      <c r="IY90" s="22"/>
      <c r="IZ90" s="22"/>
      <c r="JA90" s="22"/>
      <c r="JB90" s="22"/>
      <c r="JC90" s="22"/>
      <c r="JD90" s="22"/>
      <c r="JE90" s="22"/>
      <c r="JF90" s="22"/>
      <c r="JG90" s="22"/>
      <c r="JH90" s="22"/>
      <c r="JI90" s="22"/>
      <c r="JJ90" s="22"/>
      <c r="JK90" s="22"/>
      <c r="JL90" s="22"/>
      <c r="JM90" s="22"/>
      <c r="JN90" s="22"/>
      <c r="JO90" s="22"/>
      <c r="JP90" s="22"/>
      <c r="JQ90" s="22"/>
      <c r="JR90" s="22"/>
      <c r="JS90" s="22"/>
      <c r="JT90" s="22"/>
      <c r="JU90" s="22"/>
      <c r="JV90" s="22"/>
      <c r="JW90" s="22"/>
      <c r="JX90" s="22"/>
      <c r="JY90" s="22"/>
      <c r="JZ90" s="22"/>
      <c r="KA90" s="22"/>
      <c r="KB90" s="22"/>
      <c r="KC90" s="22"/>
      <c r="KD90" s="22"/>
      <c r="KE90" s="22"/>
      <c r="KF90" s="22"/>
      <c r="KG90" s="22"/>
      <c r="KH90" s="22"/>
      <c r="KI90" s="22"/>
      <c r="KJ90" s="22"/>
      <c r="KK90" s="22"/>
      <c r="KL90" s="22"/>
      <c r="KM90" s="22"/>
      <c r="KN90" s="22"/>
      <c r="KO90" s="22"/>
      <c r="KP90" s="22"/>
      <c r="KQ90" s="22"/>
      <c r="KR90" s="22"/>
      <c r="KS90" s="22"/>
      <c r="KT90" s="22"/>
      <c r="KU90" s="22"/>
      <c r="KV90" s="22"/>
      <c r="KW90" s="22"/>
      <c r="KX90" s="22"/>
      <c r="KY90" s="22"/>
      <c r="KZ90" s="22"/>
      <c r="LA90" s="22"/>
      <c r="LB90" s="22"/>
      <c r="LC90" s="22"/>
      <c r="LD90" s="22"/>
      <c r="LE90" s="22"/>
      <c r="LF90" s="22"/>
      <c r="LG90" s="22"/>
      <c r="LH90" s="22"/>
      <c r="LI90" s="22"/>
      <c r="LJ90" s="22"/>
      <c r="LK90" s="22"/>
      <c r="LL90" s="22"/>
      <c r="LM90" s="22"/>
      <c r="LN90" s="22"/>
      <c r="LO90" s="22"/>
      <c r="LP90" s="22"/>
      <c r="LQ90" s="22"/>
      <c r="LR90" s="22"/>
      <c r="LS90" s="22"/>
      <c r="LT90" s="22"/>
      <c r="LU90" s="22"/>
      <c r="LV90" s="22"/>
      <c r="LW90" s="22"/>
      <c r="LX90" s="22"/>
      <c r="LY90" s="22"/>
      <c r="LZ90" s="22"/>
      <c r="MA90" s="22"/>
      <c r="MB90" s="22"/>
      <c r="MC90" s="22"/>
      <c r="MD90" s="22"/>
      <c r="ME90" s="22"/>
      <c r="MF90" s="22"/>
      <c r="MG90" s="22"/>
      <c r="MH90" s="22"/>
      <c r="MI90" s="22"/>
      <c r="MJ90" s="22"/>
      <c r="MK90" s="22"/>
      <c r="ML90" s="22"/>
      <c r="MM90" s="22"/>
      <c r="MN90" s="22"/>
      <c r="MO90" s="22"/>
      <c r="MP90" s="22"/>
      <c r="MQ90" s="22"/>
      <c r="MR90" s="22"/>
      <c r="MS90" s="22"/>
      <c r="MT90" s="22"/>
      <c r="MU90" s="22"/>
      <c r="MV90" s="22"/>
      <c r="MW90" s="22"/>
      <c r="MX90" s="22"/>
      <c r="MY90" s="22"/>
      <c r="MZ90" s="22"/>
      <c r="NA90" s="22"/>
      <c r="NB90" s="22"/>
      <c r="NC90" s="22"/>
      <c r="ND90" s="22"/>
      <c r="NE90" s="22"/>
      <c r="NF90" s="22"/>
      <c r="NG90" s="22"/>
      <c r="NH90" s="22"/>
      <c r="NI90" s="22"/>
      <c r="NJ90" s="22"/>
      <c r="NK90" s="22"/>
      <c r="NL90" s="22"/>
      <c r="NM90" s="22"/>
      <c r="NN90" s="22"/>
      <c r="NO90" s="22"/>
      <c r="NP90" s="22"/>
      <c r="NQ90" s="22"/>
      <c r="NR90" s="22"/>
      <c r="NS90" s="22"/>
      <c r="NT90" s="22"/>
      <c r="NU90" s="22"/>
      <c r="NV90" s="22"/>
      <c r="NW90" s="22"/>
      <c r="NX90" s="22"/>
      <c r="NY90" s="22"/>
      <c r="NZ90" s="22"/>
      <c r="OA90" s="22"/>
      <c r="OB90" s="22"/>
      <c r="OC90" s="22"/>
      <c r="OD90" s="22"/>
      <c r="OE90" s="22"/>
      <c r="OF90" s="22"/>
      <c r="OG90" s="22"/>
      <c r="OH90" s="22"/>
      <c r="OI90" s="22"/>
      <c r="OJ90" s="22"/>
      <c r="OK90" s="22"/>
      <c r="OL90" s="22"/>
      <c r="OM90" s="22"/>
      <c r="ON90" s="22"/>
      <c r="OO90" s="22"/>
      <c r="OP90" s="22"/>
      <c r="OQ90" s="22"/>
      <c r="OR90" s="22"/>
      <c r="OS90" s="22"/>
      <c r="OT90" s="22"/>
      <c r="OU90" s="22"/>
      <c r="OV90" s="22"/>
      <c r="OW90" s="22"/>
      <c r="OX90" s="22"/>
      <c r="OY90" s="22"/>
      <c r="OZ90" s="22"/>
      <c r="PA90" s="22"/>
      <c r="PB90" s="22"/>
      <c r="PC90" s="22"/>
      <c r="PD90" s="22"/>
      <c r="PE90" s="22"/>
      <c r="PF90" s="22"/>
      <c r="PG90" s="22"/>
      <c r="PH90" s="22"/>
      <c r="PI90" s="22"/>
      <c r="PJ90" s="22"/>
      <c r="PK90" s="22"/>
      <c r="PL90" s="22"/>
      <c r="PM90" s="22"/>
      <c r="PN90" s="22"/>
      <c r="PO90" s="22"/>
      <c r="PP90" s="22"/>
      <c r="PQ90" s="22"/>
      <c r="PR90" s="22"/>
      <c r="PS90" s="22"/>
      <c r="PT90" s="22"/>
      <c r="PU90" s="22"/>
      <c r="PV90" s="22"/>
      <c r="PW90" s="22"/>
      <c r="PX90" s="22"/>
      <c r="PY90" s="22"/>
      <c r="PZ90" s="22"/>
      <c r="QA90" s="22"/>
      <c r="QB90" s="22"/>
      <c r="QC90" s="22"/>
      <c r="QD90" s="22"/>
      <c r="QE90" s="22"/>
      <c r="QF90" s="22"/>
      <c r="QG90" s="22"/>
      <c r="QH90" s="22"/>
      <c r="QI90" s="22"/>
      <c r="QJ90" s="22"/>
      <c r="QK90" s="22"/>
      <c r="QL90" s="22"/>
      <c r="QM90" s="22"/>
      <c r="QN90" s="22"/>
      <c r="QO90" s="22"/>
      <c r="QP90" s="22"/>
      <c r="QQ90" s="22"/>
      <c r="QR90" s="22"/>
      <c r="QS90" s="22"/>
      <c r="QT90" s="22"/>
      <c r="QU90" s="22"/>
      <c r="QV90" s="22"/>
      <c r="QW90" s="22"/>
      <c r="QX90" s="22"/>
      <c r="QY90" s="22"/>
      <c r="QZ90" s="22"/>
      <c r="RA90" s="22"/>
      <c r="RB90" s="22"/>
      <c r="RC90" s="22"/>
      <c r="RD90" s="22"/>
      <c r="RE90" s="22"/>
      <c r="RF90" s="22"/>
      <c r="RG90" s="22"/>
      <c r="RH90" s="22"/>
      <c r="RI90" s="22"/>
      <c r="RJ90" s="22"/>
      <c r="RK90" s="22"/>
      <c r="RL90" s="22"/>
      <c r="RM90" s="22"/>
      <c r="RN90" s="22"/>
      <c r="RO90" s="22"/>
      <c r="RP90" s="22"/>
      <c r="RQ90" s="22"/>
      <c r="RR90" s="22"/>
      <c r="RS90" s="22"/>
      <c r="RT90" s="22"/>
      <c r="RU90" s="22"/>
      <c r="RV90" s="22"/>
      <c r="RW90" s="22"/>
      <c r="RX90" s="22"/>
      <c r="RY90" s="22"/>
      <c r="RZ90" s="22"/>
      <c r="SA90" s="22"/>
      <c r="SB90" s="22"/>
      <c r="SC90" s="22"/>
      <c r="SD90" s="22"/>
      <c r="SE90" s="22"/>
      <c r="SF90" s="22"/>
      <c r="SG90" s="22"/>
      <c r="SH90" s="22"/>
      <c r="SI90" s="22"/>
      <c r="SJ90" s="22"/>
      <c r="SK90" s="22"/>
      <c r="SL90" s="22"/>
      <c r="SM90" s="22"/>
      <c r="SN90" s="22"/>
      <c r="SO90" s="22"/>
      <c r="SP90" s="22"/>
      <c r="SQ90" s="22"/>
      <c r="SR90" s="22"/>
      <c r="SS90" s="22"/>
      <c r="ST90" s="22"/>
      <c r="SU90" s="22"/>
      <c r="SV90" s="22"/>
      <c r="SW90" s="22"/>
      <c r="SX90" s="22"/>
      <c r="SY90" s="22"/>
      <c r="SZ90" s="22"/>
      <c r="TA90" s="22"/>
      <c r="TB90" s="22"/>
      <c r="TC90" s="22"/>
      <c r="TD90" s="22"/>
      <c r="TE90" s="22"/>
      <c r="TF90" s="22"/>
      <c r="TG90" s="22"/>
      <c r="TH90" s="22"/>
      <c r="TI90" s="22"/>
      <c r="TJ90" s="22"/>
      <c r="TK90" s="22"/>
      <c r="TL90" s="22"/>
      <c r="TM90" s="22"/>
      <c r="TN90" s="22"/>
      <c r="TO90" s="22"/>
      <c r="TP90" s="22"/>
      <c r="TQ90" s="22"/>
      <c r="TR90" s="22"/>
      <c r="TS90" s="22"/>
      <c r="TT90" s="22"/>
      <c r="TU90" s="22"/>
      <c r="TV90" s="22"/>
      <c r="TW90" s="22"/>
      <c r="TX90" s="22"/>
      <c r="TY90" s="22"/>
      <c r="TZ90" s="22"/>
      <c r="UA90" s="22"/>
      <c r="UB90" s="22"/>
      <c r="UC90" s="22"/>
      <c r="UD90" s="22"/>
      <c r="UE90" s="22"/>
      <c r="UF90" s="22"/>
      <c r="UG90" s="22"/>
      <c r="UH90" s="22"/>
      <c r="UI90" s="22"/>
      <c r="UJ90" s="22"/>
      <c r="UK90" s="22"/>
      <c r="UL90" s="22"/>
      <c r="UM90" s="22"/>
      <c r="UN90" s="22"/>
      <c r="UO90" s="22"/>
      <c r="UP90" s="22"/>
      <c r="UQ90" s="22"/>
      <c r="UR90" s="22"/>
      <c r="US90" s="22"/>
      <c r="UT90" s="22"/>
      <c r="UU90" s="22"/>
      <c r="UV90" s="22"/>
      <c r="UW90" s="22"/>
      <c r="UX90" s="22"/>
      <c r="UY90" s="22"/>
      <c r="UZ90" s="22"/>
      <c r="VA90" s="22"/>
      <c r="VB90" s="22"/>
      <c r="VC90" s="22"/>
      <c r="VD90" s="22"/>
      <c r="VE90" s="22"/>
      <c r="VF90" s="22"/>
      <c r="VG90" s="22"/>
      <c r="VH90" s="22"/>
      <c r="VI90" s="22"/>
      <c r="VJ90" s="22"/>
      <c r="VK90" s="22"/>
      <c r="VL90" s="22"/>
      <c r="VM90" s="22"/>
      <c r="VN90" s="22"/>
      <c r="VO90" s="22"/>
      <c r="VP90" s="22"/>
      <c r="VQ90" s="22"/>
      <c r="VR90" s="22"/>
      <c r="VS90" s="22"/>
      <c r="VT90" s="22"/>
      <c r="VU90" s="22"/>
      <c r="VV90" s="22"/>
      <c r="VW90" s="22"/>
      <c r="VX90" s="22"/>
      <c r="VY90" s="22"/>
      <c r="VZ90" s="22"/>
      <c r="WA90" s="22"/>
      <c r="WB90" s="22"/>
      <c r="WC90" s="22"/>
      <c r="WD90" s="22"/>
      <c r="WE90" s="22"/>
      <c r="WF90" s="22"/>
      <c r="WG90" s="22"/>
      <c r="WH90" s="22"/>
      <c r="WI90" s="22"/>
      <c r="WJ90" s="22"/>
      <c r="WK90" s="22"/>
      <c r="WL90" s="22"/>
      <c r="WM90" s="22"/>
      <c r="WN90" s="22"/>
      <c r="WO90" s="22"/>
      <c r="WP90" s="22"/>
      <c r="WQ90" s="22"/>
      <c r="WR90" s="22"/>
      <c r="WS90" s="22"/>
      <c r="WT90" s="22"/>
      <c r="WU90" s="22"/>
      <c r="WV90" s="22"/>
      <c r="WW90" s="22"/>
      <c r="WX90" s="22"/>
      <c r="WY90" s="22"/>
      <c r="WZ90" s="22"/>
      <c r="XA90" s="22"/>
      <c r="XB90" s="22"/>
      <c r="XC90" s="22"/>
      <c r="XD90" s="22"/>
      <c r="XE90" s="22"/>
      <c r="XF90" s="22"/>
      <c r="XG90" s="22"/>
      <c r="XH90" s="22"/>
      <c r="XI90" s="22"/>
      <c r="XJ90" s="22"/>
      <c r="XK90" s="22"/>
      <c r="XL90" s="22"/>
      <c r="XM90" s="22"/>
      <c r="XN90" s="22"/>
      <c r="XO90" s="22"/>
      <c r="XP90" s="22"/>
      <c r="XQ90" s="22"/>
      <c r="XR90" s="22"/>
      <c r="XS90" s="22"/>
      <c r="XT90" s="22"/>
      <c r="XU90" s="22"/>
      <c r="XV90" s="22"/>
      <c r="XW90" s="22"/>
      <c r="XX90" s="22"/>
      <c r="XY90" s="22"/>
      <c r="XZ90" s="22"/>
      <c r="YA90" s="22"/>
      <c r="YB90" s="22"/>
      <c r="YC90" s="22"/>
      <c r="YD90" s="22"/>
      <c r="YE90" s="22"/>
      <c r="YF90" s="22"/>
      <c r="YG90" s="22"/>
      <c r="YH90" s="22"/>
      <c r="YI90" s="22"/>
      <c r="YJ90" s="22"/>
      <c r="YK90" s="22"/>
      <c r="YL90" s="22"/>
      <c r="YM90" s="22"/>
      <c r="YN90" s="22"/>
      <c r="YO90" s="22"/>
      <c r="YP90" s="22"/>
      <c r="YQ90" s="22"/>
      <c r="YR90" s="22"/>
      <c r="YS90" s="22"/>
      <c r="YT90" s="22"/>
      <c r="YU90" s="22"/>
      <c r="YV90" s="22"/>
      <c r="YW90" s="22"/>
      <c r="YX90" s="22"/>
      <c r="YY90" s="22"/>
      <c r="YZ90" s="22"/>
      <c r="ZA90" s="22"/>
      <c r="ZB90" s="22"/>
      <c r="ZC90" s="22"/>
      <c r="ZD90" s="22"/>
      <c r="ZE90" s="22"/>
      <c r="ZF90" s="22"/>
      <c r="ZG90" s="22"/>
      <c r="ZH90" s="22"/>
      <c r="ZI90" s="22"/>
      <c r="ZJ90" s="22"/>
      <c r="ZK90" s="22"/>
      <c r="ZL90" s="22"/>
      <c r="ZM90" s="22"/>
      <c r="ZN90" s="22"/>
      <c r="ZO90" s="22"/>
      <c r="ZP90" s="22"/>
      <c r="ZQ90" s="22"/>
      <c r="ZR90" s="22"/>
      <c r="ZS90" s="22"/>
      <c r="ZT90" s="22"/>
      <c r="ZU90" s="22"/>
      <c r="ZV90" s="22"/>
      <c r="ZW90" s="22"/>
      <c r="ZX90" s="22"/>
      <c r="ZY90" s="22"/>
      <c r="ZZ90" s="22"/>
      <c r="AAA90" s="22"/>
      <c r="AAB90" s="22"/>
      <c r="AAC90" s="22"/>
      <c r="AAD90" s="22"/>
      <c r="AAE90" s="22"/>
      <c r="AAF90" s="22"/>
      <c r="AAG90" s="22"/>
      <c r="AAH90" s="22"/>
      <c r="AAI90" s="22"/>
      <c r="AAJ90" s="22"/>
      <c r="AAK90" s="22"/>
      <c r="AAL90" s="22"/>
      <c r="AAM90" s="22"/>
      <c r="AAN90" s="22"/>
      <c r="AAO90" s="22"/>
      <c r="AAP90" s="22"/>
      <c r="AAQ90" s="22"/>
      <c r="AAR90" s="22"/>
      <c r="AAS90" s="22"/>
      <c r="AAT90" s="22"/>
      <c r="AAU90" s="22"/>
      <c r="AAV90" s="22"/>
      <c r="AAW90" s="22"/>
      <c r="AAX90" s="22"/>
      <c r="AAY90" s="22"/>
      <c r="AAZ90" s="22"/>
      <c r="ABA90" s="22"/>
      <c r="ABB90" s="22"/>
      <c r="ABC90" s="22"/>
      <c r="ABD90" s="22"/>
      <c r="ABE90" s="22"/>
      <c r="ABF90" s="22"/>
      <c r="ABG90" s="22"/>
      <c r="ABH90" s="22"/>
      <c r="ABI90" s="22"/>
      <c r="ABJ90" s="22"/>
      <c r="ABK90" s="22"/>
      <c r="ABL90" s="22"/>
      <c r="ABM90" s="22"/>
      <c r="ABN90" s="22"/>
      <c r="ABO90" s="22"/>
      <c r="ABP90" s="22"/>
      <c r="ABQ90" s="22"/>
      <c r="ABR90" s="22"/>
      <c r="ABS90" s="22"/>
      <c r="ABT90" s="22"/>
      <c r="ABU90" s="22"/>
      <c r="ABV90" s="22"/>
      <c r="ABW90" s="22"/>
      <c r="ABX90" s="22"/>
      <c r="ABY90" s="22"/>
      <c r="ABZ90" s="22"/>
      <c r="ACA90" s="22"/>
      <c r="ACB90" s="22"/>
      <c r="ACC90" s="22"/>
      <c r="ACD90" s="22"/>
      <c r="ACE90" s="22"/>
      <c r="ACF90" s="22"/>
      <c r="ACG90" s="22"/>
      <c r="ACH90" s="22"/>
      <c r="ACI90" s="22"/>
      <c r="ACJ90" s="22"/>
      <c r="ACK90" s="22"/>
      <c r="ACL90" s="22"/>
      <c r="ACM90" s="22"/>
      <c r="ACN90" s="22"/>
      <c r="ACO90" s="22"/>
      <c r="ACP90" s="22"/>
      <c r="ACQ90" s="22"/>
      <c r="ACR90" s="22"/>
      <c r="ACS90" s="22"/>
      <c r="ACT90" s="22"/>
      <c r="ACU90" s="22"/>
      <c r="ACV90" s="22"/>
      <c r="ACW90" s="22"/>
      <c r="ACX90" s="22"/>
      <c r="ACY90" s="22"/>
      <c r="ACZ90" s="22"/>
      <c r="ADA90" s="22"/>
      <c r="ADB90" s="22"/>
      <c r="ADC90" s="22"/>
      <c r="ADD90" s="22"/>
      <c r="ADE90" s="22"/>
      <c r="ADF90" s="22"/>
      <c r="ADG90" s="22"/>
      <c r="ADH90" s="22"/>
      <c r="ADI90" s="22"/>
      <c r="ADJ90" s="22"/>
      <c r="ADK90" s="22"/>
      <c r="ADL90" s="22"/>
      <c r="ADM90" s="22"/>
      <c r="ADN90" s="22"/>
      <c r="ADO90" s="22"/>
      <c r="ADP90" s="22"/>
      <c r="ADQ90" s="22"/>
      <c r="ADR90" s="22"/>
      <c r="ADS90" s="22"/>
      <c r="ADT90" s="22"/>
      <c r="ADU90" s="22"/>
      <c r="ADV90" s="22"/>
      <c r="ADW90" s="22"/>
      <c r="ADX90" s="22"/>
      <c r="ADY90" s="22"/>
      <c r="ADZ90" s="22"/>
      <c r="AEA90" s="22"/>
      <c r="AEB90" s="22"/>
      <c r="AEC90" s="22"/>
      <c r="AED90" s="22"/>
      <c r="AEE90" s="22"/>
      <c r="AEF90" s="22"/>
      <c r="AEG90" s="22"/>
      <c r="AEH90" s="22"/>
      <c r="AEI90" s="22"/>
      <c r="AEJ90" s="22"/>
      <c r="AEK90" s="22"/>
      <c r="AEL90" s="22"/>
      <c r="AEM90" s="22"/>
      <c r="AEN90" s="22"/>
      <c r="AEO90" s="22"/>
      <c r="AEP90" s="22"/>
      <c r="AEQ90" s="22"/>
      <c r="AER90" s="22"/>
      <c r="AES90" s="22"/>
      <c r="AET90" s="22"/>
      <c r="AEU90" s="22"/>
      <c r="AEV90" s="22"/>
      <c r="AEW90" s="22"/>
      <c r="AEX90" s="22"/>
      <c r="AEY90" s="22"/>
      <c r="AEZ90" s="22"/>
      <c r="AFA90" s="22"/>
      <c r="AFB90" s="22"/>
      <c r="AFC90" s="22"/>
      <c r="AFD90" s="22"/>
      <c r="AFE90" s="22"/>
      <c r="AFF90" s="22"/>
      <c r="AFG90" s="22"/>
      <c r="AFH90" s="22"/>
      <c r="AFI90" s="22"/>
      <c r="AFJ90" s="22"/>
      <c r="AFK90" s="22"/>
      <c r="AFL90" s="22"/>
      <c r="AFM90" s="22"/>
      <c r="AFN90" s="22"/>
      <c r="AFO90" s="22"/>
      <c r="AFP90" s="22"/>
      <c r="AFQ90" s="22"/>
      <c r="AFR90" s="22"/>
      <c r="AFS90" s="22"/>
      <c r="AFT90" s="22"/>
      <c r="AFU90" s="22"/>
      <c r="AFV90" s="22"/>
      <c r="AFW90" s="22"/>
      <c r="AFX90" s="22"/>
      <c r="AFY90" s="22"/>
      <c r="AFZ90" s="22"/>
      <c r="AGA90" s="22"/>
      <c r="AGB90" s="22"/>
      <c r="AGC90" s="22"/>
      <c r="AGD90" s="22"/>
      <c r="AGE90" s="22"/>
      <c r="AGF90" s="22"/>
      <c r="AGG90" s="22"/>
      <c r="AGH90" s="22"/>
      <c r="AGI90" s="22"/>
      <c r="AGJ90" s="22"/>
      <c r="AGK90" s="22"/>
      <c r="AGL90" s="22"/>
      <c r="AGM90" s="22"/>
      <c r="AGN90" s="22"/>
      <c r="AGO90" s="22"/>
      <c r="AGP90" s="22"/>
      <c r="AGQ90" s="22"/>
      <c r="AGR90" s="22"/>
      <c r="AGS90" s="22"/>
      <c r="AGT90" s="22"/>
      <c r="AGU90" s="22"/>
      <c r="AGV90" s="22"/>
      <c r="AGW90" s="22"/>
      <c r="AGX90" s="22"/>
      <c r="AGY90" s="22"/>
      <c r="AGZ90" s="22"/>
      <c r="AHA90" s="22"/>
      <c r="AHB90" s="22"/>
      <c r="AHC90" s="22"/>
      <c r="AHD90" s="22"/>
      <c r="AHE90" s="22"/>
      <c r="AHF90" s="22"/>
      <c r="AHG90" s="22"/>
      <c r="AHH90" s="22"/>
      <c r="AHI90" s="22"/>
      <c r="AHJ90" s="22"/>
      <c r="AHK90" s="22"/>
      <c r="AHL90" s="22"/>
      <c r="AHM90" s="22"/>
      <c r="AHN90" s="22"/>
      <c r="AHO90" s="22"/>
      <c r="AHP90" s="22"/>
      <c r="AHQ90" s="22"/>
      <c r="AHR90" s="22"/>
      <c r="AHS90" s="22"/>
      <c r="AHT90" s="22"/>
      <c r="AHU90" s="22"/>
      <c r="AHV90" s="22"/>
      <c r="AHW90" s="22"/>
      <c r="AHX90" s="22"/>
      <c r="AHY90" s="22"/>
      <c r="AHZ90" s="22"/>
      <c r="AIA90" s="22"/>
      <c r="AIB90" s="22"/>
      <c r="AIC90" s="22"/>
      <c r="AID90" s="22"/>
      <c r="AIE90" s="22"/>
      <c r="AIF90" s="22"/>
      <c r="AIG90" s="22"/>
      <c r="AIH90" s="22"/>
      <c r="AII90" s="22"/>
      <c r="AIJ90" s="22"/>
      <c r="AIK90" s="22"/>
      <c r="AIL90" s="22"/>
      <c r="AIM90" s="22"/>
      <c r="AIN90" s="22"/>
      <c r="AIO90" s="22"/>
      <c r="AIP90" s="22"/>
      <c r="AIQ90" s="22"/>
      <c r="AIR90" s="22"/>
      <c r="AIS90" s="22"/>
      <c r="AIT90" s="22"/>
      <c r="AIU90" s="22"/>
      <c r="AIV90" s="22"/>
      <c r="AIW90" s="22"/>
      <c r="AIX90" s="22"/>
      <c r="AIY90" s="22"/>
      <c r="AIZ90" s="22"/>
      <c r="AJA90" s="22"/>
      <c r="AJB90" s="22"/>
      <c r="AJC90" s="22"/>
      <c r="AJD90" s="22"/>
      <c r="AJE90" s="22"/>
      <c r="AJF90" s="22"/>
      <c r="AJG90" s="22"/>
      <c r="AJH90" s="22"/>
      <c r="AJI90" s="22"/>
      <c r="AJJ90" s="22"/>
      <c r="AJK90" s="22"/>
      <c r="AJL90" s="22"/>
      <c r="AJM90" s="22"/>
      <c r="AJN90" s="22"/>
      <c r="AJO90" s="22"/>
      <c r="AJP90" s="22"/>
      <c r="AJQ90" s="22"/>
      <c r="AJR90" s="22"/>
      <c r="AJS90" s="22"/>
      <c r="AJT90" s="22"/>
      <c r="AJU90" s="22"/>
      <c r="AJV90" s="22"/>
      <c r="AJW90" s="22"/>
      <c r="AJX90" s="22"/>
      <c r="AJY90" s="22"/>
      <c r="AJZ90" s="22"/>
      <c r="AKA90" s="22"/>
      <c r="AKB90" s="22"/>
      <c r="AKC90" s="22"/>
      <c r="AKD90" s="22"/>
      <c r="AKE90" s="22"/>
      <c r="AKF90" s="22"/>
      <c r="AKG90" s="22"/>
      <c r="AKH90" s="22"/>
      <c r="AKI90" s="22"/>
      <c r="AKJ90" s="22"/>
      <c r="AKK90" s="22"/>
      <c r="AKL90" s="22"/>
      <c r="AKM90" s="22"/>
      <c r="AKN90" s="22"/>
      <c r="AKO90" s="22"/>
      <c r="AKP90" s="22"/>
      <c r="AKQ90" s="22"/>
      <c r="AKR90" s="22"/>
      <c r="AKS90" s="22"/>
      <c r="AKT90" s="22"/>
      <c r="AKU90" s="22"/>
      <c r="AKV90" s="22"/>
      <c r="AKW90" s="22"/>
      <c r="AKX90" s="22"/>
      <c r="AKY90" s="22"/>
      <c r="AKZ90" s="22"/>
      <c r="ALA90" s="22"/>
      <c r="ALB90" s="22"/>
      <c r="ALC90" s="22"/>
      <c r="ALD90" s="22"/>
      <c r="ALE90" s="22"/>
      <c r="ALF90" s="22"/>
      <c r="ALG90" s="22"/>
      <c r="ALH90" s="22"/>
      <c r="ALI90" s="22"/>
      <c r="ALJ90" s="22"/>
      <c r="ALK90" s="22"/>
      <c r="ALL90" s="22"/>
      <c r="ALM90" s="22"/>
      <c r="ALN90" s="22"/>
      <c r="ALO90" s="22"/>
      <c r="ALP90" s="22"/>
      <c r="ALQ90" s="22"/>
      <c r="ALR90" s="22"/>
      <c r="ALS90" s="22"/>
      <c r="ALT90" s="22"/>
      <c r="ALU90" s="22"/>
      <c r="ALV90" s="22"/>
      <c r="ALW90" s="22"/>
      <c r="ALX90" s="22"/>
      <c r="ALY90" s="22"/>
      <c r="ALZ90" s="22"/>
      <c r="AMA90" s="22"/>
      <c r="AMB90" s="22"/>
      <c r="AMC90" s="22"/>
      <c r="AMD90" s="22"/>
      <c r="AME90" s="22"/>
      <c r="AMF90" s="22"/>
      <c r="AMG90" s="22"/>
      <c r="AMH90" s="22"/>
      <c r="AMI90" s="22"/>
      <c r="AMJ90" s="22"/>
      <c r="AMK90" s="22"/>
      <c r="AML90" s="22"/>
      <c r="AMM90" s="22"/>
      <c r="AMN90" s="22"/>
      <c r="AMO90" s="22"/>
      <c r="AMP90" s="22"/>
      <c r="AMQ90" s="22"/>
      <c r="AMR90" s="22"/>
      <c r="AMS90" s="22"/>
      <c r="AMT90" s="22"/>
      <c r="AMU90" s="22"/>
      <c r="AMV90" s="22"/>
      <c r="AMW90" s="22"/>
      <c r="AMX90" s="22"/>
      <c r="AMY90" s="22"/>
      <c r="AMZ90" s="22"/>
      <c r="ANA90" s="22"/>
      <c r="ANB90" s="22"/>
      <c r="ANC90" s="22"/>
      <c r="AND90" s="22"/>
      <c r="ANE90" s="22"/>
      <c r="ANF90" s="22"/>
      <c r="ANG90" s="22"/>
      <c r="ANH90" s="22"/>
      <c r="ANI90" s="22"/>
      <c r="ANJ90" s="22"/>
      <c r="ANK90" s="22"/>
      <c r="ANL90" s="22"/>
      <c r="ANM90" s="22"/>
      <c r="ANN90" s="22"/>
      <c r="ANO90" s="22"/>
      <c r="ANP90" s="22"/>
      <c r="ANQ90" s="22"/>
      <c r="ANR90" s="22"/>
      <c r="ANS90" s="22"/>
      <c r="ANT90" s="22"/>
      <c r="ANU90" s="22"/>
      <c r="ANV90" s="22"/>
      <c r="ANW90" s="22"/>
      <c r="ANX90" s="22"/>
      <c r="ANY90" s="22"/>
      <c r="ANZ90" s="22"/>
      <c r="AOA90" s="22"/>
      <c r="AOB90" s="22"/>
      <c r="AOC90" s="22"/>
      <c r="AOD90" s="22"/>
      <c r="AOE90" s="22"/>
      <c r="AOF90" s="22"/>
      <c r="AOG90" s="22"/>
      <c r="AOH90" s="22"/>
      <c r="AOI90" s="22"/>
      <c r="AOJ90" s="22"/>
      <c r="AOK90" s="22"/>
      <c r="AOL90" s="22"/>
      <c r="AOM90" s="22"/>
      <c r="AON90" s="22"/>
      <c r="AOO90" s="22"/>
      <c r="AOP90" s="22"/>
      <c r="AOQ90" s="22"/>
      <c r="AOR90" s="22"/>
      <c r="AOS90" s="22"/>
      <c r="AOT90" s="22"/>
      <c r="AOU90" s="22"/>
      <c r="AOV90" s="22"/>
      <c r="AOW90" s="22"/>
      <c r="AOX90" s="22"/>
      <c r="AOY90" s="22"/>
      <c r="AOZ90" s="22"/>
      <c r="APA90" s="22"/>
      <c r="APB90" s="22"/>
      <c r="APC90" s="22"/>
      <c r="APD90" s="22"/>
      <c r="APE90" s="22"/>
      <c r="APF90" s="22"/>
      <c r="APG90" s="22"/>
      <c r="APH90" s="22"/>
      <c r="API90" s="22"/>
      <c r="APJ90" s="22"/>
      <c r="APK90" s="22"/>
      <c r="APL90" s="22"/>
      <c r="APM90" s="22"/>
      <c r="APN90" s="22"/>
      <c r="APO90" s="22"/>
      <c r="APP90" s="22"/>
      <c r="APQ90" s="22"/>
      <c r="APR90" s="22"/>
      <c r="APS90" s="22"/>
      <c r="APT90" s="22"/>
      <c r="APU90" s="22"/>
      <c r="APV90" s="22"/>
      <c r="APW90" s="22"/>
      <c r="APX90" s="22"/>
      <c r="APY90" s="22"/>
      <c r="APZ90" s="22"/>
      <c r="AQA90" s="22"/>
      <c r="AQB90" s="22"/>
      <c r="AQC90" s="22"/>
      <c r="AQD90" s="22"/>
      <c r="AQE90" s="22"/>
      <c r="AQF90" s="22"/>
      <c r="AQG90" s="22"/>
      <c r="AQH90" s="22"/>
      <c r="AQI90" s="22"/>
      <c r="AQJ90" s="22"/>
      <c r="AQK90" s="22"/>
      <c r="AQL90" s="22"/>
      <c r="AQM90" s="22"/>
      <c r="AQN90" s="22"/>
      <c r="AQO90" s="22"/>
      <c r="AQP90" s="22"/>
      <c r="AQQ90" s="22"/>
      <c r="AQR90" s="22"/>
      <c r="AQS90" s="22"/>
      <c r="AQT90" s="22"/>
      <c r="AQU90" s="22"/>
      <c r="AQV90" s="22"/>
      <c r="AQW90" s="22"/>
      <c r="AQX90" s="22"/>
      <c r="AQY90" s="22"/>
      <c r="AQZ90" s="22"/>
      <c r="ARA90" s="22"/>
      <c r="ARB90" s="22"/>
      <c r="ARC90" s="22"/>
      <c r="ARD90" s="22"/>
      <c r="ARE90" s="22"/>
      <c r="ARF90" s="22"/>
      <c r="ARG90" s="22"/>
      <c r="ARH90" s="22"/>
      <c r="ARI90" s="22"/>
      <c r="ARJ90" s="22"/>
      <c r="ARK90" s="22"/>
      <c r="ARL90" s="22"/>
      <c r="ARM90" s="22"/>
      <c r="ARN90" s="22"/>
      <c r="ARO90" s="22"/>
      <c r="ARP90" s="22"/>
      <c r="ARQ90" s="22"/>
      <c r="ARR90" s="22"/>
      <c r="ARS90" s="22"/>
      <c r="ART90" s="22"/>
      <c r="ARU90" s="22"/>
      <c r="ARV90" s="22"/>
      <c r="ARW90" s="22"/>
      <c r="ARX90" s="22"/>
      <c r="ARY90" s="22"/>
      <c r="ARZ90" s="22"/>
      <c r="ASA90" s="22"/>
      <c r="ASB90" s="22"/>
      <c r="ASC90" s="22"/>
      <c r="ASD90" s="22"/>
      <c r="ASE90" s="22"/>
      <c r="ASF90" s="22"/>
      <c r="ASG90" s="22"/>
      <c r="ASH90" s="22"/>
      <c r="ASI90" s="22"/>
      <c r="ASJ90" s="22"/>
      <c r="ASK90" s="22"/>
      <c r="ASL90" s="22"/>
      <c r="ASM90" s="22"/>
      <c r="ASN90" s="22"/>
      <c r="ASO90" s="22"/>
      <c r="ASP90" s="22"/>
      <c r="ASQ90" s="22"/>
      <c r="ASR90" s="22"/>
      <c r="ASS90" s="22"/>
      <c r="AST90" s="22"/>
      <c r="ASU90" s="22"/>
      <c r="ASV90" s="22"/>
      <c r="ASW90" s="22"/>
      <c r="ASX90" s="22"/>
      <c r="ASY90" s="22"/>
      <c r="ASZ90" s="22"/>
      <c r="ATA90" s="22"/>
      <c r="ATB90" s="22"/>
      <c r="ATC90" s="22"/>
      <c r="ATD90" s="22"/>
      <c r="ATE90" s="22"/>
      <c r="ATF90" s="22"/>
      <c r="ATG90" s="22"/>
      <c r="ATH90" s="22"/>
      <c r="ATI90" s="22"/>
      <c r="ATJ90" s="22"/>
      <c r="ATK90" s="22"/>
      <c r="ATL90" s="22"/>
      <c r="ATM90" s="22"/>
      <c r="ATN90" s="22"/>
      <c r="ATO90" s="22"/>
      <c r="ATP90" s="22"/>
      <c r="ATQ90" s="22"/>
      <c r="ATR90" s="22"/>
      <c r="ATS90" s="22"/>
      <c r="ATT90" s="22"/>
      <c r="ATU90" s="22"/>
      <c r="ATV90" s="22"/>
      <c r="ATW90" s="22"/>
      <c r="ATX90" s="22"/>
      <c r="ATY90" s="22"/>
      <c r="ATZ90" s="22"/>
      <c r="AUA90" s="22"/>
      <c r="AUB90" s="22"/>
      <c r="AUC90" s="22"/>
      <c r="AUD90" s="22"/>
      <c r="AUE90" s="22"/>
      <c r="AUF90" s="22"/>
      <c r="AUG90" s="22"/>
      <c r="AUH90" s="22"/>
      <c r="AUI90" s="22"/>
      <c r="AUJ90" s="22"/>
      <c r="AUK90" s="22"/>
      <c r="AUL90" s="22"/>
      <c r="AUM90" s="22"/>
      <c r="AUN90" s="22"/>
      <c r="AUO90" s="22"/>
      <c r="AUP90" s="22"/>
      <c r="AUQ90" s="22"/>
      <c r="AUR90" s="22"/>
      <c r="AUS90" s="22"/>
      <c r="AUT90" s="22"/>
      <c r="AUU90" s="22"/>
      <c r="AUV90" s="22"/>
      <c r="AUW90" s="22"/>
      <c r="AUX90" s="22"/>
      <c r="AUY90" s="22"/>
      <c r="AUZ90" s="22"/>
      <c r="AVA90" s="22"/>
      <c r="AVB90" s="22"/>
      <c r="AVC90" s="22"/>
      <c r="AVD90" s="22"/>
      <c r="AVE90" s="22"/>
      <c r="AVF90" s="22"/>
      <c r="AVG90" s="22"/>
      <c r="AVH90" s="22"/>
      <c r="AVI90" s="22"/>
      <c r="AVJ90" s="22"/>
      <c r="AVK90" s="22"/>
      <c r="AVL90" s="22"/>
      <c r="AVM90" s="22"/>
      <c r="AVN90" s="22"/>
      <c r="AVO90" s="22"/>
      <c r="AVP90" s="22"/>
      <c r="AVQ90" s="22"/>
      <c r="AVR90" s="22"/>
      <c r="AVS90" s="22"/>
      <c r="AVT90" s="22"/>
      <c r="AVU90" s="22"/>
      <c r="AVV90" s="22"/>
      <c r="AVW90" s="22"/>
      <c r="AVX90" s="22"/>
      <c r="AVY90" s="22"/>
      <c r="AVZ90" s="22"/>
      <c r="AWA90" s="22"/>
      <c r="AWB90" s="22"/>
      <c r="AWC90" s="22"/>
      <c r="AWD90" s="22"/>
      <c r="AWE90" s="22"/>
      <c r="AWF90" s="22"/>
      <c r="AWG90" s="22"/>
      <c r="AWH90" s="22"/>
      <c r="AWI90" s="22"/>
      <c r="AWJ90" s="22"/>
      <c r="AWK90" s="22"/>
      <c r="AWL90" s="22"/>
      <c r="AWM90" s="22"/>
      <c r="AWN90" s="22"/>
      <c r="AWO90" s="22"/>
      <c r="AWP90" s="22"/>
      <c r="AWQ90" s="22"/>
      <c r="AWR90" s="22"/>
      <c r="AWS90" s="22"/>
      <c r="AWT90" s="22"/>
      <c r="AWU90" s="22"/>
      <c r="AWV90" s="22"/>
      <c r="AWW90" s="22"/>
      <c r="AWX90" s="22"/>
      <c r="AWY90" s="22"/>
      <c r="AWZ90" s="22"/>
      <c r="AXA90" s="22"/>
      <c r="AXB90" s="22"/>
      <c r="AXC90" s="22"/>
      <c r="AXD90" s="22"/>
      <c r="AXE90" s="22"/>
      <c r="AXF90" s="22"/>
      <c r="AXG90" s="22"/>
      <c r="AXH90" s="22"/>
      <c r="AXI90" s="22"/>
      <c r="AXJ90" s="22"/>
      <c r="AXK90" s="22"/>
      <c r="AXL90" s="22"/>
      <c r="AXM90" s="22"/>
      <c r="AXN90" s="22"/>
      <c r="AXO90" s="22"/>
      <c r="AXP90" s="22"/>
      <c r="AXQ90" s="22"/>
      <c r="AXR90" s="22"/>
      <c r="AXS90" s="22"/>
      <c r="AXT90" s="22"/>
      <c r="AXU90" s="22"/>
      <c r="AXV90" s="22"/>
      <c r="AXW90" s="22"/>
      <c r="AXX90" s="22"/>
      <c r="AXY90" s="22"/>
      <c r="AXZ90" s="22"/>
      <c r="AYA90" s="22"/>
      <c r="AYB90" s="22"/>
      <c r="AYC90" s="22"/>
      <c r="AYD90" s="22"/>
      <c r="AYE90" s="22"/>
      <c r="AYF90" s="22"/>
      <c r="AYG90" s="22"/>
      <c r="AYH90" s="22"/>
      <c r="AYI90" s="22"/>
      <c r="AYJ90" s="22"/>
      <c r="AYK90" s="22"/>
      <c r="AYL90" s="22"/>
      <c r="AYM90" s="22"/>
      <c r="AYN90" s="22"/>
      <c r="AYO90" s="22"/>
      <c r="AYP90" s="22"/>
      <c r="AYQ90" s="22"/>
      <c r="AYR90" s="22"/>
      <c r="AYS90" s="22"/>
      <c r="AYT90" s="22"/>
      <c r="AYU90" s="22"/>
      <c r="AYV90" s="22"/>
      <c r="AYW90" s="22"/>
      <c r="AYX90" s="22"/>
      <c r="AYY90" s="22"/>
      <c r="AYZ90" s="22"/>
      <c r="AZA90" s="22"/>
      <c r="AZB90" s="22"/>
      <c r="AZC90" s="22"/>
      <c r="AZD90" s="22"/>
      <c r="AZE90" s="22"/>
      <c r="AZF90" s="22"/>
      <c r="AZG90" s="22"/>
      <c r="AZH90" s="22"/>
      <c r="AZI90" s="22"/>
      <c r="AZJ90" s="22"/>
      <c r="AZK90" s="22"/>
      <c r="AZL90" s="22"/>
      <c r="AZM90" s="22"/>
      <c r="AZN90" s="22"/>
      <c r="AZO90" s="22"/>
      <c r="AZP90" s="22"/>
      <c r="AZQ90" s="22"/>
      <c r="AZR90" s="22"/>
      <c r="AZS90" s="22"/>
      <c r="AZT90" s="22"/>
      <c r="AZU90" s="22"/>
      <c r="AZV90" s="22"/>
      <c r="AZW90" s="22"/>
      <c r="AZX90" s="22"/>
      <c r="AZY90" s="22"/>
      <c r="AZZ90" s="22"/>
      <c r="BAA90" s="22"/>
      <c r="BAB90" s="22"/>
      <c r="BAC90" s="22"/>
      <c r="BAD90" s="22"/>
      <c r="BAE90" s="22"/>
      <c r="BAF90" s="22"/>
      <c r="BAG90" s="22"/>
      <c r="BAH90" s="22"/>
      <c r="BAI90" s="22"/>
      <c r="BAJ90" s="22"/>
      <c r="BAK90" s="22"/>
      <c r="BAL90" s="22"/>
      <c r="BAM90" s="22"/>
      <c r="BAN90" s="22"/>
      <c r="BAO90" s="22"/>
      <c r="BAP90" s="22"/>
      <c r="BAQ90" s="22"/>
      <c r="BAR90" s="22"/>
      <c r="BAS90" s="22"/>
      <c r="BAT90" s="22"/>
      <c r="BAU90" s="22"/>
      <c r="BAV90" s="22"/>
      <c r="BAW90" s="22"/>
      <c r="BAX90" s="22"/>
      <c r="BAY90" s="22"/>
      <c r="BAZ90" s="22"/>
      <c r="BBA90" s="22"/>
      <c r="BBB90" s="22"/>
      <c r="BBC90" s="22"/>
      <c r="BBD90" s="22"/>
      <c r="BBE90" s="22"/>
      <c r="BBF90" s="22"/>
      <c r="BBG90" s="22"/>
      <c r="BBH90" s="22"/>
      <c r="BBI90" s="22"/>
      <c r="BBJ90" s="22"/>
      <c r="BBK90" s="22"/>
      <c r="BBL90" s="22"/>
      <c r="BBM90" s="22"/>
      <c r="BBN90" s="22"/>
      <c r="BBO90" s="22"/>
      <c r="BBP90" s="22"/>
      <c r="BBQ90" s="22"/>
      <c r="BBR90" s="22"/>
      <c r="BBS90" s="22"/>
      <c r="BBT90" s="22"/>
      <c r="BBU90" s="22"/>
      <c r="BBV90" s="22"/>
      <c r="BBW90" s="22"/>
      <c r="BBX90" s="22"/>
      <c r="BBY90" s="22"/>
      <c r="BBZ90" s="22"/>
      <c r="BCA90" s="22"/>
      <c r="BCB90" s="22"/>
      <c r="BCC90" s="22"/>
      <c r="BCD90" s="22"/>
      <c r="BCE90" s="22"/>
      <c r="BCF90" s="22"/>
      <c r="BCG90" s="22"/>
      <c r="BCH90" s="22"/>
      <c r="BCI90" s="22"/>
      <c r="BCJ90" s="22"/>
      <c r="BCK90" s="22"/>
      <c r="BCL90" s="22"/>
      <c r="BCM90" s="22"/>
      <c r="BCN90" s="22"/>
      <c r="BCO90" s="22"/>
      <c r="BCP90" s="22"/>
      <c r="BCQ90" s="22"/>
      <c r="BCR90" s="22"/>
      <c r="BCS90" s="22"/>
      <c r="BCT90" s="22"/>
      <c r="BCU90" s="22"/>
      <c r="BCV90" s="22"/>
      <c r="BCW90" s="22"/>
      <c r="BCX90" s="22"/>
      <c r="BCY90" s="22"/>
      <c r="BCZ90" s="22"/>
      <c r="BDA90" s="22"/>
      <c r="BDB90" s="22"/>
      <c r="BDC90" s="22"/>
      <c r="BDD90" s="22"/>
      <c r="BDE90" s="22"/>
      <c r="BDF90" s="22"/>
      <c r="BDG90" s="22"/>
      <c r="BDH90" s="22"/>
      <c r="BDI90" s="22"/>
      <c r="BDJ90" s="22"/>
      <c r="BDK90" s="22"/>
      <c r="BDL90" s="22"/>
      <c r="BDM90" s="22"/>
      <c r="BDN90" s="22"/>
      <c r="BDO90" s="22"/>
      <c r="BDP90" s="22"/>
      <c r="BDQ90" s="22"/>
      <c r="BDR90" s="22"/>
      <c r="BDS90" s="22"/>
      <c r="BDT90" s="22"/>
      <c r="BDU90" s="22"/>
      <c r="BDV90" s="22"/>
      <c r="BDW90" s="22"/>
      <c r="BDX90" s="22"/>
      <c r="BDY90" s="22"/>
      <c r="BDZ90" s="22"/>
      <c r="BEA90" s="22"/>
      <c r="BEB90" s="22"/>
      <c r="BEC90" s="22"/>
      <c r="BED90" s="22"/>
      <c r="BEE90" s="22"/>
      <c r="BEF90" s="22"/>
      <c r="BEG90" s="22"/>
      <c r="BEH90" s="22"/>
      <c r="BEI90" s="22"/>
      <c r="BEJ90" s="22"/>
      <c r="BEK90" s="22"/>
      <c r="BEL90" s="22"/>
      <c r="BEM90" s="22"/>
      <c r="BEN90" s="22"/>
      <c r="BEO90" s="22"/>
      <c r="BEP90" s="22"/>
      <c r="BEQ90" s="22"/>
      <c r="BER90" s="22"/>
      <c r="BES90" s="22"/>
      <c r="BET90" s="22"/>
      <c r="BEU90" s="22"/>
      <c r="BEV90" s="22"/>
      <c r="BEW90" s="22"/>
      <c r="BEX90" s="22"/>
      <c r="BEY90" s="22"/>
      <c r="BEZ90" s="22"/>
      <c r="BFA90" s="22"/>
      <c r="BFB90" s="22"/>
      <c r="BFC90" s="22"/>
      <c r="BFD90" s="22"/>
      <c r="BFE90" s="22"/>
      <c r="BFF90" s="22"/>
      <c r="BFG90" s="22"/>
      <c r="BFH90" s="22"/>
      <c r="BFI90" s="22"/>
      <c r="BFJ90" s="22"/>
      <c r="BFK90" s="22"/>
      <c r="BFL90" s="22"/>
      <c r="BFM90" s="22"/>
      <c r="BFN90" s="22"/>
      <c r="BFO90" s="22"/>
      <c r="BFP90" s="22"/>
      <c r="BFQ90" s="22"/>
      <c r="BFR90" s="22"/>
      <c r="BFS90" s="22"/>
      <c r="BFT90" s="22"/>
      <c r="BFU90" s="22"/>
      <c r="BFV90" s="22"/>
      <c r="BFW90" s="22"/>
    </row>
    <row r="91" spans="1:1531" s="181" customFormat="1" ht="46.15" customHeight="1" x14ac:dyDescent="0.2">
      <c r="A91" s="261" t="s">
        <v>468</v>
      </c>
      <c r="B91" s="249"/>
      <c r="C91" s="88" t="s">
        <v>498</v>
      </c>
      <c r="D91" s="249"/>
      <c r="E91" s="249" t="s">
        <v>770</v>
      </c>
      <c r="F91" s="249"/>
      <c r="G91" s="249" t="s">
        <v>476</v>
      </c>
      <c r="H91" s="141"/>
      <c r="I91" s="245">
        <v>595</v>
      </c>
      <c r="J91" s="143"/>
      <c r="K91" s="88" t="s">
        <v>110</v>
      </c>
      <c r="L91" s="143"/>
      <c r="M91" s="143"/>
      <c r="N91" s="143"/>
      <c r="O91" s="143">
        <v>2015</v>
      </c>
      <c r="P91" s="129" t="s">
        <v>680</v>
      </c>
      <c r="Q91" s="143"/>
      <c r="R91" s="143"/>
      <c r="S91" s="246"/>
      <c r="T91" s="143"/>
      <c r="U91" s="143"/>
      <c r="V91" s="143"/>
      <c r="W91" s="143"/>
      <c r="X91" s="143"/>
      <c r="Y91" s="247"/>
      <c r="Z91" s="143"/>
      <c r="AA91" s="246"/>
      <c r="AB91" s="143"/>
      <c r="AC91" s="143"/>
      <c r="AD91" s="143"/>
      <c r="AE91" s="143"/>
      <c r="AF91" s="143"/>
      <c r="AG91" s="143"/>
      <c r="AH91" s="143"/>
      <c r="AI91" s="143"/>
      <c r="AJ91" s="143"/>
      <c r="AK91" s="143"/>
      <c r="AL91" s="143">
        <v>26</v>
      </c>
      <c r="AM91" s="143"/>
      <c r="AN91" s="248">
        <v>15470</v>
      </c>
      <c r="AP91" s="473"/>
      <c r="AQ91" s="486"/>
      <c r="AT91" s="491">
        <v>4950</v>
      </c>
      <c r="AU91" s="481" t="s">
        <v>713</v>
      </c>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c r="IG91" s="22"/>
      <c r="IH91" s="22"/>
      <c r="II91" s="22"/>
      <c r="IJ91" s="22"/>
      <c r="IK91" s="22"/>
      <c r="IL91" s="22"/>
      <c r="IM91" s="22"/>
      <c r="IN91" s="22"/>
      <c r="IO91" s="22"/>
      <c r="IP91" s="22"/>
      <c r="IQ91" s="22"/>
      <c r="IR91" s="22"/>
      <c r="IS91" s="22"/>
      <c r="IT91" s="22"/>
      <c r="IU91" s="22"/>
      <c r="IV91" s="22"/>
      <c r="IW91" s="22"/>
      <c r="IX91" s="22"/>
      <c r="IY91" s="22"/>
      <c r="IZ91" s="22"/>
      <c r="JA91" s="22"/>
      <c r="JB91" s="22"/>
      <c r="JC91" s="22"/>
      <c r="JD91" s="22"/>
      <c r="JE91" s="22"/>
      <c r="JF91" s="22"/>
      <c r="JG91" s="22"/>
      <c r="JH91" s="22"/>
      <c r="JI91" s="22"/>
      <c r="JJ91" s="22"/>
      <c r="JK91" s="22"/>
      <c r="JL91" s="22"/>
      <c r="JM91" s="22"/>
      <c r="JN91" s="22"/>
      <c r="JO91" s="22"/>
      <c r="JP91" s="22"/>
      <c r="JQ91" s="22"/>
      <c r="JR91" s="22"/>
      <c r="JS91" s="22"/>
      <c r="JT91" s="22"/>
      <c r="JU91" s="22"/>
      <c r="JV91" s="22"/>
      <c r="JW91" s="22"/>
      <c r="JX91" s="22"/>
      <c r="JY91" s="22"/>
      <c r="JZ91" s="22"/>
      <c r="KA91" s="22"/>
      <c r="KB91" s="22"/>
      <c r="KC91" s="22"/>
      <c r="KD91" s="22"/>
      <c r="KE91" s="22"/>
      <c r="KF91" s="22"/>
      <c r="KG91" s="22"/>
      <c r="KH91" s="22"/>
      <c r="KI91" s="22"/>
      <c r="KJ91" s="22"/>
      <c r="KK91" s="22"/>
      <c r="KL91" s="22"/>
      <c r="KM91" s="22"/>
      <c r="KN91" s="22"/>
      <c r="KO91" s="22"/>
      <c r="KP91" s="22"/>
      <c r="KQ91" s="22"/>
      <c r="KR91" s="22"/>
      <c r="KS91" s="22"/>
      <c r="KT91" s="22"/>
      <c r="KU91" s="22"/>
      <c r="KV91" s="22"/>
      <c r="KW91" s="22"/>
      <c r="KX91" s="22"/>
      <c r="KY91" s="22"/>
      <c r="KZ91" s="22"/>
      <c r="LA91" s="22"/>
      <c r="LB91" s="22"/>
      <c r="LC91" s="22"/>
      <c r="LD91" s="22"/>
      <c r="LE91" s="22"/>
      <c r="LF91" s="22"/>
      <c r="LG91" s="22"/>
      <c r="LH91" s="22"/>
      <c r="LI91" s="22"/>
      <c r="LJ91" s="22"/>
      <c r="LK91" s="22"/>
      <c r="LL91" s="22"/>
      <c r="LM91" s="22"/>
      <c r="LN91" s="22"/>
      <c r="LO91" s="22"/>
      <c r="LP91" s="22"/>
      <c r="LQ91" s="22"/>
      <c r="LR91" s="22"/>
      <c r="LS91" s="22"/>
      <c r="LT91" s="22"/>
      <c r="LU91" s="22"/>
      <c r="LV91" s="22"/>
      <c r="LW91" s="22"/>
      <c r="LX91" s="22"/>
      <c r="LY91" s="22"/>
      <c r="LZ91" s="22"/>
      <c r="MA91" s="22"/>
      <c r="MB91" s="22"/>
      <c r="MC91" s="22"/>
      <c r="MD91" s="22"/>
      <c r="ME91" s="22"/>
      <c r="MF91" s="22"/>
      <c r="MG91" s="22"/>
      <c r="MH91" s="22"/>
      <c r="MI91" s="22"/>
      <c r="MJ91" s="22"/>
      <c r="MK91" s="22"/>
      <c r="ML91" s="22"/>
      <c r="MM91" s="22"/>
      <c r="MN91" s="22"/>
      <c r="MO91" s="22"/>
      <c r="MP91" s="22"/>
      <c r="MQ91" s="22"/>
      <c r="MR91" s="22"/>
      <c r="MS91" s="22"/>
      <c r="MT91" s="22"/>
      <c r="MU91" s="22"/>
      <c r="MV91" s="22"/>
      <c r="MW91" s="22"/>
      <c r="MX91" s="22"/>
      <c r="MY91" s="22"/>
      <c r="MZ91" s="22"/>
      <c r="NA91" s="22"/>
      <c r="NB91" s="22"/>
      <c r="NC91" s="22"/>
      <c r="ND91" s="22"/>
      <c r="NE91" s="22"/>
      <c r="NF91" s="22"/>
      <c r="NG91" s="22"/>
      <c r="NH91" s="22"/>
      <c r="NI91" s="22"/>
      <c r="NJ91" s="22"/>
      <c r="NK91" s="22"/>
      <c r="NL91" s="22"/>
      <c r="NM91" s="22"/>
      <c r="NN91" s="22"/>
      <c r="NO91" s="22"/>
      <c r="NP91" s="22"/>
      <c r="NQ91" s="22"/>
      <c r="NR91" s="22"/>
      <c r="NS91" s="22"/>
      <c r="NT91" s="22"/>
      <c r="NU91" s="22"/>
      <c r="NV91" s="22"/>
      <c r="NW91" s="22"/>
      <c r="NX91" s="22"/>
      <c r="NY91" s="22"/>
      <c r="NZ91" s="22"/>
      <c r="OA91" s="22"/>
      <c r="OB91" s="22"/>
      <c r="OC91" s="22"/>
      <c r="OD91" s="22"/>
      <c r="OE91" s="22"/>
      <c r="OF91" s="22"/>
      <c r="OG91" s="22"/>
      <c r="OH91" s="22"/>
      <c r="OI91" s="22"/>
      <c r="OJ91" s="22"/>
      <c r="OK91" s="22"/>
      <c r="OL91" s="22"/>
      <c r="OM91" s="22"/>
      <c r="ON91" s="22"/>
      <c r="OO91" s="22"/>
      <c r="OP91" s="22"/>
      <c r="OQ91" s="22"/>
      <c r="OR91" s="22"/>
      <c r="OS91" s="22"/>
      <c r="OT91" s="22"/>
      <c r="OU91" s="22"/>
      <c r="OV91" s="22"/>
      <c r="OW91" s="22"/>
      <c r="OX91" s="22"/>
      <c r="OY91" s="22"/>
      <c r="OZ91" s="22"/>
      <c r="PA91" s="22"/>
      <c r="PB91" s="22"/>
      <c r="PC91" s="22"/>
      <c r="PD91" s="22"/>
      <c r="PE91" s="22"/>
      <c r="PF91" s="22"/>
      <c r="PG91" s="22"/>
      <c r="PH91" s="22"/>
      <c r="PI91" s="22"/>
      <c r="PJ91" s="22"/>
      <c r="PK91" s="22"/>
      <c r="PL91" s="22"/>
      <c r="PM91" s="22"/>
      <c r="PN91" s="22"/>
      <c r="PO91" s="22"/>
      <c r="PP91" s="22"/>
      <c r="PQ91" s="22"/>
      <c r="PR91" s="22"/>
      <c r="PS91" s="22"/>
      <c r="PT91" s="22"/>
      <c r="PU91" s="22"/>
      <c r="PV91" s="22"/>
      <c r="PW91" s="22"/>
      <c r="PX91" s="22"/>
      <c r="PY91" s="22"/>
      <c r="PZ91" s="22"/>
      <c r="QA91" s="22"/>
      <c r="QB91" s="22"/>
      <c r="QC91" s="22"/>
      <c r="QD91" s="22"/>
      <c r="QE91" s="22"/>
      <c r="QF91" s="22"/>
      <c r="QG91" s="22"/>
      <c r="QH91" s="22"/>
      <c r="QI91" s="22"/>
      <c r="QJ91" s="22"/>
      <c r="QK91" s="22"/>
      <c r="QL91" s="22"/>
      <c r="QM91" s="22"/>
      <c r="QN91" s="22"/>
      <c r="QO91" s="22"/>
      <c r="QP91" s="22"/>
      <c r="QQ91" s="22"/>
      <c r="QR91" s="22"/>
      <c r="QS91" s="22"/>
      <c r="QT91" s="22"/>
      <c r="QU91" s="22"/>
      <c r="QV91" s="22"/>
      <c r="QW91" s="22"/>
      <c r="QX91" s="22"/>
      <c r="QY91" s="22"/>
      <c r="QZ91" s="22"/>
      <c r="RA91" s="22"/>
      <c r="RB91" s="22"/>
      <c r="RC91" s="22"/>
      <c r="RD91" s="22"/>
      <c r="RE91" s="22"/>
      <c r="RF91" s="22"/>
      <c r="RG91" s="22"/>
      <c r="RH91" s="22"/>
      <c r="RI91" s="22"/>
      <c r="RJ91" s="22"/>
      <c r="RK91" s="22"/>
      <c r="RL91" s="22"/>
      <c r="RM91" s="22"/>
      <c r="RN91" s="22"/>
      <c r="RO91" s="22"/>
      <c r="RP91" s="22"/>
      <c r="RQ91" s="22"/>
      <c r="RR91" s="22"/>
      <c r="RS91" s="22"/>
      <c r="RT91" s="22"/>
      <c r="RU91" s="22"/>
      <c r="RV91" s="22"/>
      <c r="RW91" s="22"/>
      <c r="RX91" s="22"/>
      <c r="RY91" s="22"/>
      <c r="RZ91" s="22"/>
      <c r="SA91" s="22"/>
      <c r="SB91" s="22"/>
      <c r="SC91" s="22"/>
      <c r="SD91" s="22"/>
      <c r="SE91" s="22"/>
      <c r="SF91" s="22"/>
      <c r="SG91" s="22"/>
      <c r="SH91" s="22"/>
      <c r="SI91" s="22"/>
      <c r="SJ91" s="22"/>
      <c r="SK91" s="22"/>
      <c r="SL91" s="22"/>
      <c r="SM91" s="22"/>
      <c r="SN91" s="22"/>
      <c r="SO91" s="22"/>
      <c r="SP91" s="22"/>
      <c r="SQ91" s="22"/>
      <c r="SR91" s="22"/>
      <c r="SS91" s="22"/>
      <c r="ST91" s="22"/>
      <c r="SU91" s="22"/>
      <c r="SV91" s="22"/>
      <c r="SW91" s="22"/>
      <c r="SX91" s="22"/>
      <c r="SY91" s="22"/>
      <c r="SZ91" s="22"/>
      <c r="TA91" s="22"/>
      <c r="TB91" s="22"/>
      <c r="TC91" s="22"/>
      <c r="TD91" s="22"/>
      <c r="TE91" s="22"/>
      <c r="TF91" s="22"/>
      <c r="TG91" s="22"/>
      <c r="TH91" s="22"/>
      <c r="TI91" s="22"/>
      <c r="TJ91" s="22"/>
      <c r="TK91" s="22"/>
      <c r="TL91" s="22"/>
      <c r="TM91" s="22"/>
      <c r="TN91" s="22"/>
      <c r="TO91" s="22"/>
      <c r="TP91" s="22"/>
      <c r="TQ91" s="22"/>
      <c r="TR91" s="22"/>
      <c r="TS91" s="22"/>
      <c r="TT91" s="22"/>
      <c r="TU91" s="22"/>
      <c r="TV91" s="22"/>
      <c r="TW91" s="22"/>
      <c r="TX91" s="22"/>
      <c r="TY91" s="22"/>
      <c r="TZ91" s="22"/>
      <c r="UA91" s="22"/>
      <c r="UB91" s="22"/>
      <c r="UC91" s="22"/>
      <c r="UD91" s="22"/>
      <c r="UE91" s="22"/>
      <c r="UF91" s="22"/>
      <c r="UG91" s="22"/>
      <c r="UH91" s="22"/>
      <c r="UI91" s="22"/>
      <c r="UJ91" s="22"/>
      <c r="UK91" s="22"/>
      <c r="UL91" s="22"/>
      <c r="UM91" s="22"/>
      <c r="UN91" s="22"/>
      <c r="UO91" s="22"/>
      <c r="UP91" s="22"/>
      <c r="UQ91" s="22"/>
      <c r="UR91" s="22"/>
      <c r="US91" s="22"/>
      <c r="UT91" s="22"/>
      <c r="UU91" s="22"/>
      <c r="UV91" s="22"/>
      <c r="UW91" s="22"/>
      <c r="UX91" s="22"/>
      <c r="UY91" s="22"/>
      <c r="UZ91" s="22"/>
      <c r="VA91" s="22"/>
      <c r="VB91" s="22"/>
      <c r="VC91" s="22"/>
      <c r="VD91" s="22"/>
      <c r="VE91" s="22"/>
      <c r="VF91" s="22"/>
      <c r="VG91" s="22"/>
      <c r="VH91" s="22"/>
      <c r="VI91" s="22"/>
      <c r="VJ91" s="22"/>
      <c r="VK91" s="22"/>
      <c r="VL91" s="22"/>
      <c r="VM91" s="22"/>
      <c r="VN91" s="22"/>
      <c r="VO91" s="22"/>
      <c r="VP91" s="22"/>
      <c r="VQ91" s="22"/>
      <c r="VR91" s="22"/>
      <c r="VS91" s="22"/>
      <c r="VT91" s="22"/>
      <c r="VU91" s="22"/>
      <c r="VV91" s="22"/>
      <c r="VW91" s="22"/>
      <c r="VX91" s="22"/>
      <c r="VY91" s="22"/>
      <c r="VZ91" s="22"/>
      <c r="WA91" s="22"/>
      <c r="WB91" s="22"/>
      <c r="WC91" s="22"/>
      <c r="WD91" s="22"/>
      <c r="WE91" s="22"/>
      <c r="WF91" s="22"/>
      <c r="WG91" s="22"/>
      <c r="WH91" s="22"/>
      <c r="WI91" s="22"/>
      <c r="WJ91" s="22"/>
      <c r="WK91" s="22"/>
      <c r="WL91" s="22"/>
      <c r="WM91" s="22"/>
      <c r="WN91" s="22"/>
      <c r="WO91" s="22"/>
      <c r="WP91" s="22"/>
      <c r="WQ91" s="22"/>
      <c r="WR91" s="22"/>
      <c r="WS91" s="22"/>
      <c r="WT91" s="22"/>
      <c r="WU91" s="22"/>
      <c r="WV91" s="22"/>
      <c r="WW91" s="22"/>
      <c r="WX91" s="22"/>
      <c r="WY91" s="22"/>
      <c r="WZ91" s="22"/>
      <c r="XA91" s="22"/>
      <c r="XB91" s="22"/>
      <c r="XC91" s="22"/>
      <c r="XD91" s="22"/>
      <c r="XE91" s="22"/>
      <c r="XF91" s="22"/>
      <c r="XG91" s="22"/>
      <c r="XH91" s="22"/>
      <c r="XI91" s="22"/>
      <c r="XJ91" s="22"/>
      <c r="XK91" s="22"/>
      <c r="XL91" s="22"/>
      <c r="XM91" s="22"/>
      <c r="XN91" s="22"/>
      <c r="XO91" s="22"/>
      <c r="XP91" s="22"/>
      <c r="XQ91" s="22"/>
      <c r="XR91" s="22"/>
      <c r="XS91" s="22"/>
      <c r="XT91" s="22"/>
      <c r="XU91" s="22"/>
      <c r="XV91" s="22"/>
      <c r="XW91" s="22"/>
      <c r="XX91" s="22"/>
      <c r="XY91" s="22"/>
      <c r="XZ91" s="22"/>
      <c r="YA91" s="22"/>
      <c r="YB91" s="22"/>
      <c r="YC91" s="22"/>
      <c r="YD91" s="22"/>
      <c r="YE91" s="22"/>
      <c r="YF91" s="22"/>
      <c r="YG91" s="22"/>
      <c r="YH91" s="22"/>
      <c r="YI91" s="22"/>
      <c r="YJ91" s="22"/>
      <c r="YK91" s="22"/>
      <c r="YL91" s="22"/>
      <c r="YM91" s="22"/>
      <c r="YN91" s="22"/>
      <c r="YO91" s="22"/>
      <c r="YP91" s="22"/>
      <c r="YQ91" s="22"/>
      <c r="YR91" s="22"/>
      <c r="YS91" s="22"/>
      <c r="YT91" s="22"/>
      <c r="YU91" s="22"/>
      <c r="YV91" s="22"/>
      <c r="YW91" s="22"/>
      <c r="YX91" s="22"/>
      <c r="YY91" s="22"/>
      <c r="YZ91" s="22"/>
      <c r="ZA91" s="22"/>
      <c r="ZB91" s="22"/>
      <c r="ZC91" s="22"/>
      <c r="ZD91" s="22"/>
      <c r="ZE91" s="22"/>
      <c r="ZF91" s="22"/>
      <c r="ZG91" s="22"/>
      <c r="ZH91" s="22"/>
      <c r="ZI91" s="22"/>
      <c r="ZJ91" s="22"/>
      <c r="ZK91" s="22"/>
      <c r="ZL91" s="22"/>
      <c r="ZM91" s="22"/>
      <c r="ZN91" s="22"/>
      <c r="ZO91" s="22"/>
      <c r="ZP91" s="22"/>
      <c r="ZQ91" s="22"/>
      <c r="ZR91" s="22"/>
      <c r="ZS91" s="22"/>
      <c r="ZT91" s="22"/>
      <c r="ZU91" s="22"/>
      <c r="ZV91" s="22"/>
      <c r="ZW91" s="22"/>
      <c r="ZX91" s="22"/>
      <c r="ZY91" s="22"/>
      <c r="ZZ91" s="22"/>
      <c r="AAA91" s="22"/>
      <c r="AAB91" s="22"/>
      <c r="AAC91" s="22"/>
      <c r="AAD91" s="22"/>
      <c r="AAE91" s="22"/>
      <c r="AAF91" s="22"/>
      <c r="AAG91" s="22"/>
      <c r="AAH91" s="22"/>
      <c r="AAI91" s="22"/>
      <c r="AAJ91" s="22"/>
      <c r="AAK91" s="22"/>
      <c r="AAL91" s="22"/>
      <c r="AAM91" s="22"/>
      <c r="AAN91" s="22"/>
      <c r="AAO91" s="22"/>
      <c r="AAP91" s="22"/>
      <c r="AAQ91" s="22"/>
      <c r="AAR91" s="22"/>
      <c r="AAS91" s="22"/>
      <c r="AAT91" s="22"/>
      <c r="AAU91" s="22"/>
      <c r="AAV91" s="22"/>
      <c r="AAW91" s="22"/>
      <c r="AAX91" s="22"/>
      <c r="AAY91" s="22"/>
      <c r="AAZ91" s="22"/>
      <c r="ABA91" s="22"/>
      <c r="ABB91" s="22"/>
      <c r="ABC91" s="22"/>
      <c r="ABD91" s="22"/>
      <c r="ABE91" s="22"/>
      <c r="ABF91" s="22"/>
      <c r="ABG91" s="22"/>
      <c r="ABH91" s="22"/>
      <c r="ABI91" s="22"/>
      <c r="ABJ91" s="22"/>
      <c r="ABK91" s="22"/>
      <c r="ABL91" s="22"/>
      <c r="ABM91" s="22"/>
      <c r="ABN91" s="22"/>
      <c r="ABO91" s="22"/>
      <c r="ABP91" s="22"/>
      <c r="ABQ91" s="22"/>
      <c r="ABR91" s="22"/>
      <c r="ABS91" s="22"/>
      <c r="ABT91" s="22"/>
      <c r="ABU91" s="22"/>
      <c r="ABV91" s="22"/>
      <c r="ABW91" s="22"/>
      <c r="ABX91" s="22"/>
      <c r="ABY91" s="22"/>
      <c r="ABZ91" s="22"/>
      <c r="ACA91" s="22"/>
      <c r="ACB91" s="22"/>
      <c r="ACC91" s="22"/>
      <c r="ACD91" s="22"/>
      <c r="ACE91" s="22"/>
      <c r="ACF91" s="22"/>
      <c r="ACG91" s="22"/>
      <c r="ACH91" s="22"/>
      <c r="ACI91" s="22"/>
      <c r="ACJ91" s="22"/>
      <c r="ACK91" s="22"/>
      <c r="ACL91" s="22"/>
      <c r="ACM91" s="22"/>
      <c r="ACN91" s="22"/>
      <c r="ACO91" s="22"/>
      <c r="ACP91" s="22"/>
      <c r="ACQ91" s="22"/>
      <c r="ACR91" s="22"/>
      <c r="ACS91" s="22"/>
      <c r="ACT91" s="22"/>
      <c r="ACU91" s="22"/>
      <c r="ACV91" s="22"/>
      <c r="ACW91" s="22"/>
      <c r="ACX91" s="22"/>
      <c r="ACY91" s="22"/>
      <c r="ACZ91" s="22"/>
      <c r="ADA91" s="22"/>
      <c r="ADB91" s="22"/>
      <c r="ADC91" s="22"/>
      <c r="ADD91" s="22"/>
      <c r="ADE91" s="22"/>
      <c r="ADF91" s="22"/>
      <c r="ADG91" s="22"/>
      <c r="ADH91" s="22"/>
      <c r="ADI91" s="22"/>
      <c r="ADJ91" s="22"/>
      <c r="ADK91" s="22"/>
      <c r="ADL91" s="22"/>
      <c r="ADM91" s="22"/>
      <c r="ADN91" s="22"/>
      <c r="ADO91" s="22"/>
      <c r="ADP91" s="22"/>
      <c r="ADQ91" s="22"/>
      <c r="ADR91" s="22"/>
      <c r="ADS91" s="22"/>
      <c r="ADT91" s="22"/>
      <c r="ADU91" s="22"/>
      <c r="ADV91" s="22"/>
      <c r="ADW91" s="22"/>
      <c r="ADX91" s="22"/>
      <c r="ADY91" s="22"/>
      <c r="ADZ91" s="22"/>
      <c r="AEA91" s="22"/>
      <c r="AEB91" s="22"/>
      <c r="AEC91" s="22"/>
      <c r="AED91" s="22"/>
      <c r="AEE91" s="22"/>
      <c r="AEF91" s="22"/>
      <c r="AEG91" s="22"/>
      <c r="AEH91" s="22"/>
      <c r="AEI91" s="22"/>
      <c r="AEJ91" s="22"/>
      <c r="AEK91" s="22"/>
      <c r="AEL91" s="22"/>
      <c r="AEM91" s="22"/>
      <c r="AEN91" s="22"/>
      <c r="AEO91" s="22"/>
      <c r="AEP91" s="22"/>
      <c r="AEQ91" s="22"/>
      <c r="AER91" s="22"/>
      <c r="AES91" s="22"/>
      <c r="AET91" s="22"/>
      <c r="AEU91" s="22"/>
      <c r="AEV91" s="22"/>
      <c r="AEW91" s="22"/>
      <c r="AEX91" s="22"/>
      <c r="AEY91" s="22"/>
      <c r="AEZ91" s="22"/>
      <c r="AFA91" s="22"/>
      <c r="AFB91" s="22"/>
      <c r="AFC91" s="22"/>
      <c r="AFD91" s="22"/>
      <c r="AFE91" s="22"/>
      <c r="AFF91" s="22"/>
      <c r="AFG91" s="22"/>
      <c r="AFH91" s="22"/>
      <c r="AFI91" s="22"/>
      <c r="AFJ91" s="22"/>
      <c r="AFK91" s="22"/>
      <c r="AFL91" s="22"/>
      <c r="AFM91" s="22"/>
      <c r="AFN91" s="22"/>
      <c r="AFO91" s="22"/>
      <c r="AFP91" s="22"/>
      <c r="AFQ91" s="22"/>
      <c r="AFR91" s="22"/>
      <c r="AFS91" s="22"/>
      <c r="AFT91" s="22"/>
      <c r="AFU91" s="22"/>
      <c r="AFV91" s="22"/>
      <c r="AFW91" s="22"/>
      <c r="AFX91" s="22"/>
      <c r="AFY91" s="22"/>
      <c r="AFZ91" s="22"/>
      <c r="AGA91" s="22"/>
      <c r="AGB91" s="22"/>
      <c r="AGC91" s="22"/>
      <c r="AGD91" s="22"/>
      <c r="AGE91" s="22"/>
      <c r="AGF91" s="22"/>
      <c r="AGG91" s="22"/>
      <c r="AGH91" s="22"/>
      <c r="AGI91" s="22"/>
      <c r="AGJ91" s="22"/>
      <c r="AGK91" s="22"/>
      <c r="AGL91" s="22"/>
      <c r="AGM91" s="22"/>
      <c r="AGN91" s="22"/>
      <c r="AGO91" s="22"/>
      <c r="AGP91" s="22"/>
      <c r="AGQ91" s="22"/>
      <c r="AGR91" s="22"/>
      <c r="AGS91" s="22"/>
      <c r="AGT91" s="22"/>
      <c r="AGU91" s="22"/>
      <c r="AGV91" s="22"/>
      <c r="AGW91" s="22"/>
      <c r="AGX91" s="22"/>
      <c r="AGY91" s="22"/>
      <c r="AGZ91" s="22"/>
      <c r="AHA91" s="22"/>
      <c r="AHB91" s="22"/>
      <c r="AHC91" s="22"/>
      <c r="AHD91" s="22"/>
      <c r="AHE91" s="22"/>
      <c r="AHF91" s="22"/>
      <c r="AHG91" s="22"/>
      <c r="AHH91" s="22"/>
      <c r="AHI91" s="22"/>
      <c r="AHJ91" s="22"/>
      <c r="AHK91" s="22"/>
      <c r="AHL91" s="22"/>
      <c r="AHM91" s="22"/>
      <c r="AHN91" s="22"/>
      <c r="AHO91" s="22"/>
      <c r="AHP91" s="22"/>
      <c r="AHQ91" s="22"/>
      <c r="AHR91" s="22"/>
      <c r="AHS91" s="22"/>
      <c r="AHT91" s="22"/>
      <c r="AHU91" s="22"/>
      <c r="AHV91" s="22"/>
      <c r="AHW91" s="22"/>
      <c r="AHX91" s="22"/>
      <c r="AHY91" s="22"/>
      <c r="AHZ91" s="22"/>
      <c r="AIA91" s="22"/>
      <c r="AIB91" s="22"/>
      <c r="AIC91" s="22"/>
      <c r="AID91" s="22"/>
      <c r="AIE91" s="22"/>
      <c r="AIF91" s="22"/>
      <c r="AIG91" s="22"/>
      <c r="AIH91" s="22"/>
      <c r="AII91" s="22"/>
      <c r="AIJ91" s="22"/>
      <c r="AIK91" s="22"/>
      <c r="AIL91" s="22"/>
      <c r="AIM91" s="22"/>
      <c r="AIN91" s="22"/>
      <c r="AIO91" s="22"/>
      <c r="AIP91" s="22"/>
      <c r="AIQ91" s="22"/>
      <c r="AIR91" s="22"/>
      <c r="AIS91" s="22"/>
      <c r="AIT91" s="22"/>
      <c r="AIU91" s="22"/>
      <c r="AIV91" s="22"/>
      <c r="AIW91" s="22"/>
      <c r="AIX91" s="22"/>
      <c r="AIY91" s="22"/>
      <c r="AIZ91" s="22"/>
      <c r="AJA91" s="22"/>
      <c r="AJB91" s="22"/>
      <c r="AJC91" s="22"/>
      <c r="AJD91" s="22"/>
      <c r="AJE91" s="22"/>
      <c r="AJF91" s="22"/>
      <c r="AJG91" s="22"/>
      <c r="AJH91" s="22"/>
      <c r="AJI91" s="22"/>
      <c r="AJJ91" s="22"/>
      <c r="AJK91" s="22"/>
      <c r="AJL91" s="22"/>
      <c r="AJM91" s="22"/>
      <c r="AJN91" s="22"/>
      <c r="AJO91" s="22"/>
      <c r="AJP91" s="22"/>
      <c r="AJQ91" s="22"/>
      <c r="AJR91" s="22"/>
      <c r="AJS91" s="22"/>
      <c r="AJT91" s="22"/>
      <c r="AJU91" s="22"/>
      <c r="AJV91" s="22"/>
      <c r="AJW91" s="22"/>
      <c r="AJX91" s="22"/>
      <c r="AJY91" s="22"/>
      <c r="AJZ91" s="22"/>
      <c r="AKA91" s="22"/>
      <c r="AKB91" s="22"/>
      <c r="AKC91" s="22"/>
      <c r="AKD91" s="22"/>
      <c r="AKE91" s="22"/>
      <c r="AKF91" s="22"/>
      <c r="AKG91" s="22"/>
      <c r="AKH91" s="22"/>
      <c r="AKI91" s="22"/>
      <c r="AKJ91" s="22"/>
      <c r="AKK91" s="22"/>
      <c r="AKL91" s="22"/>
      <c r="AKM91" s="22"/>
      <c r="AKN91" s="22"/>
      <c r="AKO91" s="22"/>
      <c r="AKP91" s="22"/>
      <c r="AKQ91" s="22"/>
      <c r="AKR91" s="22"/>
      <c r="AKS91" s="22"/>
      <c r="AKT91" s="22"/>
      <c r="AKU91" s="22"/>
      <c r="AKV91" s="22"/>
      <c r="AKW91" s="22"/>
      <c r="AKX91" s="22"/>
      <c r="AKY91" s="22"/>
      <c r="AKZ91" s="22"/>
      <c r="ALA91" s="22"/>
      <c r="ALB91" s="22"/>
      <c r="ALC91" s="22"/>
      <c r="ALD91" s="22"/>
      <c r="ALE91" s="22"/>
      <c r="ALF91" s="22"/>
      <c r="ALG91" s="22"/>
      <c r="ALH91" s="22"/>
      <c r="ALI91" s="22"/>
      <c r="ALJ91" s="22"/>
      <c r="ALK91" s="22"/>
      <c r="ALL91" s="22"/>
      <c r="ALM91" s="22"/>
      <c r="ALN91" s="22"/>
      <c r="ALO91" s="22"/>
      <c r="ALP91" s="22"/>
      <c r="ALQ91" s="22"/>
      <c r="ALR91" s="22"/>
      <c r="ALS91" s="22"/>
      <c r="ALT91" s="22"/>
      <c r="ALU91" s="22"/>
      <c r="ALV91" s="22"/>
      <c r="ALW91" s="22"/>
      <c r="ALX91" s="22"/>
      <c r="ALY91" s="22"/>
      <c r="ALZ91" s="22"/>
      <c r="AMA91" s="22"/>
      <c r="AMB91" s="22"/>
      <c r="AMC91" s="22"/>
      <c r="AMD91" s="22"/>
      <c r="AME91" s="22"/>
      <c r="AMF91" s="22"/>
      <c r="AMG91" s="22"/>
      <c r="AMH91" s="22"/>
      <c r="AMI91" s="22"/>
      <c r="AMJ91" s="22"/>
      <c r="AMK91" s="22"/>
      <c r="AML91" s="22"/>
      <c r="AMM91" s="22"/>
      <c r="AMN91" s="22"/>
      <c r="AMO91" s="22"/>
      <c r="AMP91" s="22"/>
      <c r="AMQ91" s="22"/>
      <c r="AMR91" s="22"/>
      <c r="AMS91" s="22"/>
      <c r="AMT91" s="22"/>
      <c r="AMU91" s="22"/>
      <c r="AMV91" s="22"/>
      <c r="AMW91" s="22"/>
      <c r="AMX91" s="22"/>
      <c r="AMY91" s="22"/>
      <c r="AMZ91" s="22"/>
      <c r="ANA91" s="22"/>
      <c r="ANB91" s="22"/>
      <c r="ANC91" s="22"/>
      <c r="AND91" s="22"/>
      <c r="ANE91" s="22"/>
      <c r="ANF91" s="22"/>
      <c r="ANG91" s="22"/>
      <c r="ANH91" s="22"/>
      <c r="ANI91" s="22"/>
      <c r="ANJ91" s="22"/>
      <c r="ANK91" s="22"/>
      <c r="ANL91" s="22"/>
      <c r="ANM91" s="22"/>
      <c r="ANN91" s="22"/>
      <c r="ANO91" s="22"/>
      <c r="ANP91" s="22"/>
      <c r="ANQ91" s="22"/>
      <c r="ANR91" s="22"/>
      <c r="ANS91" s="22"/>
      <c r="ANT91" s="22"/>
      <c r="ANU91" s="22"/>
      <c r="ANV91" s="22"/>
      <c r="ANW91" s="22"/>
      <c r="ANX91" s="22"/>
      <c r="ANY91" s="22"/>
      <c r="ANZ91" s="22"/>
      <c r="AOA91" s="22"/>
      <c r="AOB91" s="22"/>
      <c r="AOC91" s="22"/>
      <c r="AOD91" s="22"/>
      <c r="AOE91" s="22"/>
      <c r="AOF91" s="22"/>
      <c r="AOG91" s="22"/>
      <c r="AOH91" s="22"/>
      <c r="AOI91" s="22"/>
      <c r="AOJ91" s="22"/>
      <c r="AOK91" s="22"/>
      <c r="AOL91" s="22"/>
      <c r="AOM91" s="22"/>
      <c r="AON91" s="22"/>
      <c r="AOO91" s="22"/>
      <c r="AOP91" s="22"/>
      <c r="AOQ91" s="22"/>
      <c r="AOR91" s="22"/>
      <c r="AOS91" s="22"/>
      <c r="AOT91" s="22"/>
      <c r="AOU91" s="22"/>
      <c r="AOV91" s="22"/>
      <c r="AOW91" s="22"/>
      <c r="AOX91" s="22"/>
      <c r="AOY91" s="22"/>
      <c r="AOZ91" s="22"/>
      <c r="APA91" s="22"/>
      <c r="APB91" s="22"/>
      <c r="APC91" s="22"/>
      <c r="APD91" s="22"/>
      <c r="APE91" s="22"/>
      <c r="APF91" s="22"/>
      <c r="APG91" s="22"/>
      <c r="APH91" s="22"/>
      <c r="API91" s="22"/>
      <c r="APJ91" s="22"/>
      <c r="APK91" s="22"/>
      <c r="APL91" s="22"/>
      <c r="APM91" s="22"/>
      <c r="APN91" s="22"/>
      <c r="APO91" s="22"/>
      <c r="APP91" s="22"/>
      <c r="APQ91" s="22"/>
      <c r="APR91" s="22"/>
      <c r="APS91" s="22"/>
      <c r="APT91" s="22"/>
      <c r="APU91" s="22"/>
      <c r="APV91" s="22"/>
      <c r="APW91" s="22"/>
      <c r="APX91" s="22"/>
      <c r="APY91" s="22"/>
      <c r="APZ91" s="22"/>
      <c r="AQA91" s="22"/>
      <c r="AQB91" s="22"/>
      <c r="AQC91" s="22"/>
      <c r="AQD91" s="22"/>
      <c r="AQE91" s="22"/>
      <c r="AQF91" s="22"/>
      <c r="AQG91" s="22"/>
      <c r="AQH91" s="22"/>
      <c r="AQI91" s="22"/>
      <c r="AQJ91" s="22"/>
      <c r="AQK91" s="22"/>
      <c r="AQL91" s="22"/>
      <c r="AQM91" s="22"/>
      <c r="AQN91" s="22"/>
      <c r="AQO91" s="22"/>
      <c r="AQP91" s="22"/>
      <c r="AQQ91" s="22"/>
      <c r="AQR91" s="22"/>
      <c r="AQS91" s="22"/>
      <c r="AQT91" s="22"/>
      <c r="AQU91" s="22"/>
      <c r="AQV91" s="22"/>
      <c r="AQW91" s="22"/>
      <c r="AQX91" s="22"/>
      <c r="AQY91" s="22"/>
      <c r="AQZ91" s="22"/>
      <c r="ARA91" s="22"/>
      <c r="ARB91" s="22"/>
      <c r="ARC91" s="22"/>
      <c r="ARD91" s="22"/>
      <c r="ARE91" s="22"/>
      <c r="ARF91" s="22"/>
      <c r="ARG91" s="22"/>
      <c r="ARH91" s="22"/>
      <c r="ARI91" s="22"/>
      <c r="ARJ91" s="22"/>
      <c r="ARK91" s="22"/>
      <c r="ARL91" s="22"/>
      <c r="ARM91" s="22"/>
      <c r="ARN91" s="22"/>
      <c r="ARO91" s="22"/>
      <c r="ARP91" s="22"/>
      <c r="ARQ91" s="22"/>
      <c r="ARR91" s="22"/>
      <c r="ARS91" s="22"/>
      <c r="ART91" s="22"/>
      <c r="ARU91" s="22"/>
      <c r="ARV91" s="22"/>
      <c r="ARW91" s="22"/>
      <c r="ARX91" s="22"/>
      <c r="ARY91" s="22"/>
      <c r="ARZ91" s="22"/>
      <c r="ASA91" s="22"/>
      <c r="ASB91" s="22"/>
      <c r="ASC91" s="22"/>
      <c r="ASD91" s="22"/>
      <c r="ASE91" s="22"/>
      <c r="ASF91" s="22"/>
      <c r="ASG91" s="22"/>
      <c r="ASH91" s="22"/>
      <c r="ASI91" s="22"/>
      <c r="ASJ91" s="22"/>
      <c r="ASK91" s="22"/>
      <c r="ASL91" s="22"/>
      <c r="ASM91" s="22"/>
      <c r="ASN91" s="22"/>
      <c r="ASO91" s="22"/>
      <c r="ASP91" s="22"/>
      <c r="ASQ91" s="22"/>
      <c r="ASR91" s="22"/>
      <c r="ASS91" s="22"/>
      <c r="AST91" s="22"/>
      <c r="ASU91" s="22"/>
      <c r="ASV91" s="22"/>
      <c r="ASW91" s="22"/>
      <c r="ASX91" s="22"/>
      <c r="ASY91" s="22"/>
      <c r="ASZ91" s="22"/>
      <c r="ATA91" s="22"/>
      <c r="ATB91" s="22"/>
      <c r="ATC91" s="22"/>
      <c r="ATD91" s="22"/>
      <c r="ATE91" s="22"/>
      <c r="ATF91" s="22"/>
      <c r="ATG91" s="22"/>
      <c r="ATH91" s="22"/>
      <c r="ATI91" s="22"/>
      <c r="ATJ91" s="22"/>
      <c r="ATK91" s="22"/>
      <c r="ATL91" s="22"/>
      <c r="ATM91" s="22"/>
      <c r="ATN91" s="22"/>
      <c r="ATO91" s="22"/>
      <c r="ATP91" s="22"/>
      <c r="ATQ91" s="22"/>
      <c r="ATR91" s="22"/>
      <c r="ATS91" s="22"/>
      <c r="ATT91" s="22"/>
      <c r="ATU91" s="22"/>
      <c r="ATV91" s="22"/>
      <c r="ATW91" s="22"/>
      <c r="ATX91" s="22"/>
      <c r="ATY91" s="22"/>
      <c r="ATZ91" s="22"/>
      <c r="AUA91" s="22"/>
      <c r="AUB91" s="22"/>
      <c r="AUC91" s="22"/>
      <c r="AUD91" s="22"/>
      <c r="AUE91" s="22"/>
      <c r="AUF91" s="22"/>
      <c r="AUG91" s="22"/>
      <c r="AUH91" s="22"/>
      <c r="AUI91" s="22"/>
      <c r="AUJ91" s="22"/>
      <c r="AUK91" s="22"/>
      <c r="AUL91" s="22"/>
      <c r="AUM91" s="22"/>
      <c r="AUN91" s="22"/>
      <c r="AUO91" s="22"/>
      <c r="AUP91" s="22"/>
      <c r="AUQ91" s="22"/>
      <c r="AUR91" s="22"/>
      <c r="AUS91" s="22"/>
      <c r="AUT91" s="22"/>
      <c r="AUU91" s="22"/>
      <c r="AUV91" s="22"/>
      <c r="AUW91" s="22"/>
      <c r="AUX91" s="22"/>
      <c r="AUY91" s="22"/>
      <c r="AUZ91" s="22"/>
      <c r="AVA91" s="22"/>
      <c r="AVB91" s="22"/>
      <c r="AVC91" s="22"/>
      <c r="AVD91" s="22"/>
      <c r="AVE91" s="22"/>
      <c r="AVF91" s="22"/>
      <c r="AVG91" s="22"/>
      <c r="AVH91" s="22"/>
      <c r="AVI91" s="22"/>
      <c r="AVJ91" s="22"/>
      <c r="AVK91" s="22"/>
      <c r="AVL91" s="22"/>
      <c r="AVM91" s="22"/>
      <c r="AVN91" s="22"/>
      <c r="AVO91" s="22"/>
      <c r="AVP91" s="22"/>
      <c r="AVQ91" s="22"/>
      <c r="AVR91" s="22"/>
      <c r="AVS91" s="22"/>
      <c r="AVT91" s="22"/>
      <c r="AVU91" s="22"/>
      <c r="AVV91" s="22"/>
      <c r="AVW91" s="22"/>
      <c r="AVX91" s="22"/>
      <c r="AVY91" s="22"/>
      <c r="AVZ91" s="22"/>
      <c r="AWA91" s="22"/>
      <c r="AWB91" s="22"/>
      <c r="AWC91" s="22"/>
      <c r="AWD91" s="22"/>
      <c r="AWE91" s="22"/>
      <c r="AWF91" s="22"/>
      <c r="AWG91" s="22"/>
      <c r="AWH91" s="22"/>
      <c r="AWI91" s="22"/>
      <c r="AWJ91" s="22"/>
      <c r="AWK91" s="22"/>
      <c r="AWL91" s="22"/>
      <c r="AWM91" s="22"/>
      <c r="AWN91" s="22"/>
      <c r="AWO91" s="22"/>
      <c r="AWP91" s="22"/>
      <c r="AWQ91" s="22"/>
      <c r="AWR91" s="22"/>
      <c r="AWS91" s="22"/>
      <c r="AWT91" s="22"/>
      <c r="AWU91" s="22"/>
      <c r="AWV91" s="22"/>
      <c r="AWW91" s="22"/>
      <c r="AWX91" s="22"/>
      <c r="AWY91" s="22"/>
      <c r="AWZ91" s="22"/>
      <c r="AXA91" s="22"/>
      <c r="AXB91" s="22"/>
      <c r="AXC91" s="22"/>
      <c r="AXD91" s="22"/>
      <c r="AXE91" s="22"/>
      <c r="AXF91" s="22"/>
      <c r="AXG91" s="22"/>
      <c r="AXH91" s="22"/>
      <c r="AXI91" s="22"/>
      <c r="AXJ91" s="22"/>
      <c r="AXK91" s="22"/>
      <c r="AXL91" s="22"/>
      <c r="AXM91" s="22"/>
      <c r="AXN91" s="22"/>
      <c r="AXO91" s="22"/>
      <c r="AXP91" s="22"/>
      <c r="AXQ91" s="22"/>
      <c r="AXR91" s="22"/>
      <c r="AXS91" s="22"/>
      <c r="AXT91" s="22"/>
      <c r="AXU91" s="22"/>
      <c r="AXV91" s="22"/>
      <c r="AXW91" s="22"/>
      <c r="AXX91" s="22"/>
      <c r="AXY91" s="22"/>
      <c r="AXZ91" s="22"/>
      <c r="AYA91" s="22"/>
      <c r="AYB91" s="22"/>
      <c r="AYC91" s="22"/>
      <c r="AYD91" s="22"/>
      <c r="AYE91" s="22"/>
      <c r="AYF91" s="22"/>
      <c r="AYG91" s="22"/>
      <c r="AYH91" s="22"/>
      <c r="AYI91" s="22"/>
      <c r="AYJ91" s="22"/>
      <c r="AYK91" s="22"/>
      <c r="AYL91" s="22"/>
      <c r="AYM91" s="22"/>
      <c r="AYN91" s="22"/>
      <c r="AYO91" s="22"/>
      <c r="AYP91" s="22"/>
      <c r="AYQ91" s="22"/>
      <c r="AYR91" s="22"/>
      <c r="AYS91" s="22"/>
      <c r="AYT91" s="22"/>
      <c r="AYU91" s="22"/>
      <c r="AYV91" s="22"/>
      <c r="AYW91" s="22"/>
      <c r="AYX91" s="22"/>
      <c r="AYY91" s="22"/>
      <c r="AYZ91" s="22"/>
      <c r="AZA91" s="22"/>
      <c r="AZB91" s="22"/>
      <c r="AZC91" s="22"/>
      <c r="AZD91" s="22"/>
      <c r="AZE91" s="22"/>
      <c r="AZF91" s="22"/>
      <c r="AZG91" s="22"/>
      <c r="AZH91" s="22"/>
      <c r="AZI91" s="22"/>
      <c r="AZJ91" s="22"/>
      <c r="AZK91" s="22"/>
      <c r="AZL91" s="22"/>
      <c r="AZM91" s="22"/>
      <c r="AZN91" s="22"/>
      <c r="AZO91" s="22"/>
      <c r="AZP91" s="22"/>
      <c r="AZQ91" s="22"/>
      <c r="AZR91" s="22"/>
      <c r="AZS91" s="22"/>
      <c r="AZT91" s="22"/>
      <c r="AZU91" s="22"/>
      <c r="AZV91" s="22"/>
      <c r="AZW91" s="22"/>
      <c r="AZX91" s="22"/>
      <c r="AZY91" s="22"/>
      <c r="AZZ91" s="22"/>
      <c r="BAA91" s="22"/>
      <c r="BAB91" s="22"/>
      <c r="BAC91" s="22"/>
      <c r="BAD91" s="22"/>
      <c r="BAE91" s="22"/>
      <c r="BAF91" s="22"/>
      <c r="BAG91" s="22"/>
      <c r="BAH91" s="22"/>
      <c r="BAI91" s="22"/>
      <c r="BAJ91" s="22"/>
      <c r="BAK91" s="22"/>
      <c r="BAL91" s="22"/>
      <c r="BAM91" s="22"/>
      <c r="BAN91" s="22"/>
      <c r="BAO91" s="22"/>
      <c r="BAP91" s="22"/>
      <c r="BAQ91" s="22"/>
      <c r="BAR91" s="22"/>
      <c r="BAS91" s="22"/>
      <c r="BAT91" s="22"/>
      <c r="BAU91" s="22"/>
      <c r="BAV91" s="22"/>
      <c r="BAW91" s="22"/>
      <c r="BAX91" s="22"/>
      <c r="BAY91" s="22"/>
      <c r="BAZ91" s="22"/>
      <c r="BBA91" s="22"/>
      <c r="BBB91" s="22"/>
      <c r="BBC91" s="22"/>
      <c r="BBD91" s="22"/>
      <c r="BBE91" s="22"/>
      <c r="BBF91" s="22"/>
      <c r="BBG91" s="22"/>
      <c r="BBH91" s="22"/>
      <c r="BBI91" s="22"/>
      <c r="BBJ91" s="22"/>
      <c r="BBK91" s="22"/>
      <c r="BBL91" s="22"/>
      <c r="BBM91" s="22"/>
      <c r="BBN91" s="22"/>
      <c r="BBO91" s="22"/>
      <c r="BBP91" s="22"/>
      <c r="BBQ91" s="22"/>
      <c r="BBR91" s="22"/>
      <c r="BBS91" s="22"/>
      <c r="BBT91" s="22"/>
      <c r="BBU91" s="22"/>
      <c r="BBV91" s="22"/>
      <c r="BBW91" s="22"/>
      <c r="BBX91" s="22"/>
      <c r="BBY91" s="22"/>
      <c r="BBZ91" s="22"/>
      <c r="BCA91" s="22"/>
      <c r="BCB91" s="22"/>
      <c r="BCC91" s="22"/>
      <c r="BCD91" s="22"/>
      <c r="BCE91" s="22"/>
      <c r="BCF91" s="22"/>
      <c r="BCG91" s="22"/>
      <c r="BCH91" s="22"/>
      <c r="BCI91" s="22"/>
      <c r="BCJ91" s="22"/>
      <c r="BCK91" s="22"/>
      <c r="BCL91" s="22"/>
      <c r="BCM91" s="22"/>
      <c r="BCN91" s="22"/>
      <c r="BCO91" s="22"/>
      <c r="BCP91" s="22"/>
      <c r="BCQ91" s="22"/>
      <c r="BCR91" s="22"/>
      <c r="BCS91" s="22"/>
      <c r="BCT91" s="22"/>
      <c r="BCU91" s="22"/>
      <c r="BCV91" s="22"/>
      <c r="BCW91" s="22"/>
      <c r="BCX91" s="22"/>
      <c r="BCY91" s="22"/>
      <c r="BCZ91" s="22"/>
      <c r="BDA91" s="22"/>
      <c r="BDB91" s="22"/>
      <c r="BDC91" s="22"/>
      <c r="BDD91" s="22"/>
      <c r="BDE91" s="22"/>
      <c r="BDF91" s="22"/>
      <c r="BDG91" s="22"/>
      <c r="BDH91" s="22"/>
      <c r="BDI91" s="22"/>
      <c r="BDJ91" s="22"/>
      <c r="BDK91" s="22"/>
      <c r="BDL91" s="22"/>
      <c r="BDM91" s="22"/>
      <c r="BDN91" s="22"/>
      <c r="BDO91" s="22"/>
      <c r="BDP91" s="22"/>
      <c r="BDQ91" s="22"/>
      <c r="BDR91" s="22"/>
      <c r="BDS91" s="22"/>
      <c r="BDT91" s="22"/>
      <c r="BDU91" s="22"/>
      <c r="BDV91" s="22"/>
      <c r="BDW91" s="22"/>
      <c r="BDX91" s="22"/>
      <c r="BDY91" s="22"/>
      <c r="BDZ91" s="22"/>
      <c r="BEA91" s="22"/>
      <c r="BEB91" s="22"/>
      <c r="BEC91" s="22"/>
      <c r="BED91" s="22"/>
      <c r="BEE91" s="22"/>
      <c r="BEF91" s="22"/>
      <c r="BEG91" s="22"/>
      <c r="BEH91" s="22"/>
      <c r="BEI91" s="22"/>
      <c r="BEJ91" s="22"/>
      <c r="BEK91" s="22"/>
      <c r="BEL91" s="22"/>
      <c r="BEM91" s="22"/>
      <c r="BEN91" s="22"/>
      <c r="BEO91" s="22"/>
      <c r="BEP91" s="22"/>
      <c r="BEQ91" s="22"/>
      <c r="BER91" s="22"/>
      <c r="BES91" s="22"/>
      <c r="BET91" s="22"/>
      <c r="BEU91" s="22"/>
      <c r="BEV91" s="22"/>
      <c r="BEW91" s="22"/>
      <c r="BEX91" s="22"/>
      <c r="BEY91" s="22"/>
      <c r="BEZ91" s="22"/>
      <c r="BFA91" s="22"/>
      <c r="BFB91" s="22"/>
      <c r="BFC91" s="22"/>
      <c r="BFD91" s="22"/>
      <c r="BFE91" s="22"/>
      <c r="BFF91" s="22"/>
      <c r="BFG91" s="22"/>
      <c r="BFH91" s="22"/>
      <c r="BFI91" s="22"/>
      <c r="BFJ91" s="22"/>
      <c r="BFK91" s="22"/>
      <c r="BFL91" s="22"/>
      <c r="BFM91" s="22"/>
      <c r="BFN91" s="22"/>
      <c r="BFO91" s="22"/>
      <c r="BFP91" s="22"/>
      <c r="BFQ91" s="22"/>
      <c r="BFR91" s="22"/>
      <c r="BFS91" s="22"/>
      <c r="BFT91" s="22"/>
      <c r="BFU91" s="22"/>
      <c r="BFV91" s="22"/>
      <c r="BFW91" s="22"/>
    </row>
    <row r="92" spans="1:1531" s="181" customFormat="1" ht="46.15" customHeight="1" x14ac:dyDescent="0.2">
      <c r="A92" s="261" t="s">
        <v>468</v>
      </c>
      <c r="B92" s="249"/>
      <c r="C92" s="88" t="s">
        <v>498</v>
      </c>
      <c r="D92" s="249"/>
      <c r="E92" s="249" t="s">
        <v>741</v>
      </c>
      <c r="F92" s="249"/>
      <c r="G92" s="249" t="s">
        <v>476</v>
      </c>
      <c r="H92" s="141"/>
      <c r="I92" s="245">
        <v>125</v>
      </c>
      <c r="J92" s="143"/>
      <c r="K92" s="88" t="s">
        <v>110</v>
      </c>
      <c r="L92" s="143"/>
      <c r="M92" s="143"/>
      <c r="N92" s="143"/>
      <c r="O92" s="143">
        <v>2015</v>
      </c>
      <c r="P92" s="129" t="s">
        <v>680</v>
      </c>
      <c r="Q92" s="143"/>
      <c r="R92" s="143"/>
      <c r="S92" s="246"/>
      <c r="T92" s="143"/>
      <c r="U92" s="143"/>
      <c r="V92" s="143"/>
      <c r="W92" s="143"/>
      <c r="X92" s="143"/>
      <c r="Y92" s="247"/>
      <c r="Z92" s="143"/>
      <c r="AA92" s="246"/>
      <c r="AB92" s="143"/>
      <c r="AC92" s="143"/>
      <c r="AD92" s="143"/>
      <c r="AE92" s="143"/>
      <c r="AF92" s="143"/>
      <c r="AG92" s="143"/>
      <c r="AH92" s="143"/>
      <c r="AI92" s="143"/>
      <c r="AJ92" s="143"/>
      <c r="AK92" s="143"/>
      <c r="AL92" s="143">
        <v>52</v>
      </c>
      <c r="AM92" s="143"/>
      <c r="AN92" s="248">
        <v>6500</v>
      </c>
      <c r="AP92" s="473"/>
      <c r="AQ92" s="486"/>
      <c r="AT92" s="491">
        <f>1500+2650</f>
        <v>4150</v>
      </c>
      <c r="AU92" s="481" t="s">
        <v>713</v>
      </c>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c r="IG92" s="22"/>
      <c r="IH92" s="22"/>
      <c r="II92" s="22"/>
      <c r="IJ92" s="22"/>
      <c r="IK92" s="22"/>
      <c r="IL92" s="22"/>
      <c r="IM92" s="22"/>
      <c r="IN92" s="22"/>
      <c r="IO92" s="22"/>
      <c r="IP92" s="22"/>
      <c r="IQ92" s="22"/>
      <c r="IR92" s="22"/>
      <c r="IS92" s="22"/>
      <c r="IT92" s="22"/>
      <c r="IU92" s="22"/>
      <c r="IV92" s="22"/>
      <c r="IW92" s="22"/>
      <c r="IX92" s="22"/>
      <c r="IY92" s="22"/>
      <c r="IZ92" s="22"/>
      <c r="JA92" s="22"/>
      <c r="JB92" s="22"/>
      <c r="JC92" s="22"/>
      <c r="JD92" s="22"/>
      <c r="JE92" s="22"/>
      <c r="JF92" s="22"/>
      <c r="JG92" s="22"/>
      <c r="JH92" s="22"/>
      <c r="JI92" s="22"/>
      <c r="JJ92" s="22"/>
      <c r="JK92" s="22"/>
      <c r="JL92" s="22"/>
      <c r="JM92" s="22"/>
      <c r="JN92" s="22"/>
      <c r="JO92" s="22"/>
      <c r="JP92" s="22"/>
      <c r="JQ92" s="22"/>
      <c r="JR92" s="22"/>
      <c r="JS92" s="22"/>
      <c r="JT92" s="22"/>
      <c r="JU92" s="22"/>
      <c r="JV92" s="22"/>
      <c r="JW92" s="22"/>
      <c r="JX92" s="22"/>
      <c r="JY92" s="22"/>
      <c r="JZ92" s="22"/>
      <c r="KA92" s="22"/>
      <c r="KB92" s="22"/>
      <c r="KC92" s="22"/>
      <c r="KD92" s="22"/>
      <c r="KE92" s="22"/>
      <c r="KF92" s="22"/>
      <c r="KG92" s="22"/>
      <c r="KH92" s="22"/>
      <c r="KI92" s="22"/>
      <c r="KJ92" s="22"/>
      <c r="KK92" s="22"/>
      <c r="KL92" s="22"/>
      <c r="KM92" s="22"/>
      <c r="KN92" s="22"/>
      <c r="KO92" s="22"/>
      <c r="KP92" s="22"/>
      <c r="KQ92" s="22"/>
      <c r="KR92" s="22"/>
      <c r="KS92" s="22"/>
      <c r="KT92" s="22"/>
      <c r="KU92" s="22"/>
      <c r="KV92" s="22"/>
      <c r="KW92" s="22"/>
      <c r="KX92" s="22"/>
      <c r="KY92" s="22"/>
      <c r="KZ92" s="22"/>
      <c r="LA92" s="22"/>
      <c r="LB92" s="22"/>
      <c r="LC92" s="22"/>
      <c r="LD92" s="22"/>
      <c r="LE92" s="22"/>
      <c r="LF92" s="22"/>
      <c r="LG92" s="22"/>
      <c r="LH92" s="22"/>
      <c r="LI92" s="22"/>
      <c r="LJ92" s="22"/>
      <c r="LK92" s="22"/>
      <c r="LL92" s="22"/>
      <c r="LM92" s="22"/>
      <c r="LN92" s="22"/>
      <c r="LO92" s="22"/>
      <c r="LP92" s="22"/>
      <c r="LQ92" s="22"/>
      <c r="LR92" s="22"/>
      <c r="LS92" s="22"/>
      <c r="LT92" s="22"/>
      <c r="LU92" s="22"/>
      <c r="LV92" s="22"/>
      <c r="LW92" s="22"/>
      <c r="LX92" s="22"/>
      <c r="LY92" s="22"/>
      <c r="LZ92" s="22"/>
      <c r="MA92" s="22"/>
      <c r="MB92" s="22"/>
      <c r="MC92" s="22"/>
      <c r="MD92" s="22"/>
      <c r="ME92" s="22"/>
      <c r="MF92" s="22"/>
      <c r="MG92" s="22"/>
      <c r="MH92" s="22"/>
      <c r="MI92" s="22"/>
      <c r="MJ92" s="22"/>
      <c r="MK92" s="22"/>
      <c r="ML92" s="22"/>
      <c r="MM92" s="22"/>
      <c r="MN92" s="22"/>
      <c r="MO92" s="22"/>
      <c r="MP92" s="22"/>
      <c r="MQ92" s="22"/>
      <c r="MR92" s="22"/>
      <c r="MS92" s="22"/>
      <c r="MT92" s="22"/>
      <c r="MU92" s="22"/>
      <c r="MV92" s="22"/>
      <c r="MW92" s="22"/>
      <c r="MX92" s="22"/>
      <c r="MY92" s="22"/>
      <c r="MZ92" s="22"/>
      <c r="NA92" s="22"/>
      <c r="NB92" s="22"/>
      <c r="NC92" s="22"/>
      <c r="ND92" s="22"/>
      <c r="NE92" s="22"/>
      <c r="NF92" s="22"/>
      <c r="NG92" s="22"/>
      <c r="NH92" s="22"/>
      <c r="NI92" s="22"/>
      <c r="NJ92" s="22"/>
      <c r="NK92" s="22"/>
      <c r="NL92" s="22"/>
      <c r="NM92" s="22"/>
      <c r="NN92" s="22"/>
      <c r="NO92" s="22"/>
      <c r="NP92" s="22"/>
      <c r="NQ92" s="22"/>
      <c r="NR92" s="22"/>
      <c r="NS92" s="22"/>
      <c r="NT92" s="22"/>
      <c r="NU92" s="22"/>
      <c r="NV92" s="22"/>
      <c r="NW92" s="22"/>
      <c r="NX92" s="22"/>
      <c r="NY92" s="22"/>
      <c r="NZ92" s="22"/>
      <c r="OA92" s="22"/>
      <c r="OB92" s="22"/>
      <c r="OC92" s="22"/>
      <c r="OD92" s="22"/>
      <c r="OE92" s="22"/>
      <c r="OF92" s="22"/>
      <c r="OG92" s="22"/>
      <c r="OH92" s="22"/>
      <c r="OI92" s="22"/>
      <c r="OJ92" s="22"/>
      <c r="OK92" s="22"/>
      <c r="OL92" s="22"/>
      <c r="OM92" s="22"/>
      <c r="ON92" s="22"/>
      <c r="OO92" s="22"/>
      <c r="OP92" s="22"/>
      <c r="OQ92" s="22"/>
      <c r="OR92" s="22"/>
      <c r="OS92" s="22"/>
      <c r="OT92" s="22"/>
      <c r="OU92" s="22"/>
      <c r="OV92" s="22"/>
      <c r="OW92" s="22"/>
      <c r="OX92" s="22"/>
      <c r="OY92" s="22"/>
      <c r="OZ92" s="22"/>
      <c r="PA92" s="22"/>
      <c r="PB92" s="22"/>
      <c r="PC92" s="22"/>
      <c r="PD92" s="22"/>
      <c r="PE92" s="22"/>
      <c r="PF92" s="22"/>
      <c r="PG92" s="22"/>
      <c r="PH92" s="22"/>
      <c r="PI92" s="22"/>
      <c r="PJ92" s="22"/>
      <c r="PK92" s="22"/>
      <c r="PL92" s="22"/>
      <c r="PM92" s="22"/>
      <c r="PN92" s="22"/>
      <c r="PO92" s="22"/>
      <c r="PP92" s="22"/>
      <c r="PQ92" s="22"/>
      <c r="PR92" s="22"/>
      <c r="PS92" s="22"/>
      <c r="PT92" s="22"/>
      <c r="PU92" s="22"/>
      <c r="PV92" s="22"/>
      <c r="PW92" s="22"/>
      <c r="PX92" s="22"/>
      <c r="PY92" s="22"/>
      <c r="PZ92" s="22"/>
      <c r="QA92" s="22"/>
      <c r="QB92" s="22"/>
      <c r="QC92" s="22"/>
      <c r="QD92" s="22"/>
      <c r="QE92" s="22"/>
      <c r="QF92" s="22"/>
      <c r="QG92" s="22"/>
      <c r="QH92" s="22"/>
      <c r="QI92" s="22"/>
      <c r="QJ92" s="22"/>
      <c r="QK92" s="22"/>
      <c r="QL92" s="22"/>
      <c r="QM92" s="22"/>
      <c r="QN92" s="22"/>
      <c r="QO92" s="22"/>
      <c r="QP92" s="22"/>
      <c r="QQ92" s="22"/>
      <c r="QR92" s="22"/>
      <c r="QS92" s="22"/>
      <c r="QT92" s="22"/>
      <c r="QU92" s="22"/>
      <c r="QV92" s="22"/>
      <c r="QW92" s="22"/>
      <c r="QX92" s="22"/>
      <c r="QY92" s="22"/>
      <c r="QZ92" s="22"/>
      <c r="RA92" s="22"/>
      <c r="RB92" s="22"/>
      <c r="RC92" s="22"/>
      <c r="RD92" s="22"/>
      <c r="RE92" s="22"/>
      <c r="RF92" s="22"/>
      <c r="RG92" s="22"/>
      <c r="RH92" s="22"/>
      <c r="RI92" s="22"/>
      <c r="RJ92" s="22"/>
      <c r="RK92" s="22"/>
      <c r="RL92" s="22"/>
      <c r="RM92" s="22"/>
      <c r="RN92" s="22"/>
      <c r="RO92" s="22"/>
      <c r="RP92" s="22"/>
      <c r="RQ92" s="22"/>
      <c r="RR92" s="22"/>
      <c r="RS92" s="22"/>
      <c r="RT92" s="22"/>
      <c r="RU92" s="22"/>
      <c r="RV92" s="22"/>
      <c r="RW92" s="22"/>
      <c r="RX92" s="22"/>
      <c r="RY92" s="22"/>
      <c r="RZ92" s="22"/>
      <c r="SA92" s="22"/>
      <c r="SB92" s="22"/>
      <c r="SC92" s="22"/>
      <c r="SD92" s="22"/>
      <c r="SE92" s="22"/>
      <c r="SF92" s="22"/>
      <c r="SG92" s="22"/>
      <c r="SH92" s="22"/>
      <c r="SI92" s="22"/>
      <c r="SJ92" s="22"/>
      <c r="SK92" s="22"/>
      <c r="SL92" s="22"/>
      <c r="SM92" s="22"/>
      <c r="SN92" s="22"/>
      <c r="SO92" s="22"/>
      <c r="SP92" s="22"/>
      <c r="SQ92" s="22"/>
      <c r="SR92" s="22"/>
      <c r="SS92" s="22"/>
      <c r="ST92" s="22"/>
      <c r="SU92" s="22"/>
      <c r="SV92" s="22"/>
      <c r="SW92" s="22"/>
      <c r="SX92" s="22"/>
      <c r="SY92" s="22"/>
      <c r="SZ92" s="22"/>
      <c r="TA92" s="22"/>
      <c r="TB92" s="22"/>
      <c r="TC92" s="22"/>
      <c r="TD92" s="22"/>
      <c r="TE92" s="22"/>
      <c r="TF92" s="22"/>
      <c r="TG92" s="22"/>
      <c r="TH92" s="22"/>
      <c r="TI92" s="22"/>
      <c r="TJ92" s="22"/>
      <c r="TK92" s="22"/>
      <c r="TL92" s="22"/>
      <c r="TM92" s="22"/>
      <c r="TN92" s="22"/>
      <c r="TO92" s="22"/>
      <c r="TP92" s="22"/>
      <c r="TQ92" s="22"/>
      <c r="TR92" s="22"/>
      <c r="TS92" s="22"/>
      <c r="TT92" s="22"/>
      <c r="TU92" s="22"/>
      <c r="TV92" s="22"/>
      <c r="TW92" s="22"/>
      <c r="TX92" s="22"/>
      <c r="TY92" s="22"/>
      <c r="TZ92" s="22"/>
      <c r="UA92" s="22"/>
      <c r="UB92" s="22"/>
      <c r="UC92" s="22"/>
      <c r="UD92" s="22"/>
      <c r="UE92" s="22"/>
      <c r="UF92" s="22"/>
      <c r="UG92" s="22"/>
      <c r="UH92" s="22"/>
      <c r="UI92" s="22"/>
      <c r="UJ92" s="22"/>
      <c r="UK92" s="22"/>
      <c r="UL92" s="22"/>
      <c r="UM92" s="22"/>
      <c r="UN92" s="22"/>
      <c r="UO92" s="22"/>
      <c r="UP92" s="22"/>
      <c r="UQ92" s="22"/>
      <c r="UR92" s="22"/>
      <c r="US92" s="22"/>
      <c r="UT92" s="22"/>
      <c r="UU92" s="22"/>
      <c r="UV92" s="22"/>
      <c r="UW92" s="22"/>
      <c r="UX92" s="22"/>
      <c r="UY92" s="22"/>
      <c r="UZ92" s="22"/>
      <c r="VA92" s="22"/>
      <c r="VB92" s="22"/>
      <c r="VC92" s="22"/>
      <c r="VD92" s="22"/>
      <c r="VE92" s="22"/>
      <c r="VF92" s="22"/>
      <c r="VG92" s="22"/>
      <c r="VH92" s="22"/>
      <c r="VI92" s="22"/>
      <c r="VJ92" s="22"/>
      <c r="VK92" s="22"/>
      <c r="VL92" s="22"/>
      <c r="VM92" s="22"/>
      <c r="VN92" s="22"/>
      <c r="VO92" s="22"/>
      <c r="VP92" s="22"/>
      <c r="VQ92" s="22"/>
      <c r="VR92" s="22"/>
      <c r="VS92" s="22"/>
      <c r="VT92" s="22"/>
      <c r="VU92" s="22"/>
      <c r="VV92" s="22"/>
      <c r="VW92" s="22"/>
      <c r="VX92" s="22"/>
      <c r="VY92" s="22"/>
      <c r="VZ92" s="22"/>
      <c r="WA92" s="22"/>
      <c r="WB92" s="22"/>
      <c r="WC92" s="22"/>
      <c r="WD92" s="22"/>
      <c r="WE92" s="22"/>
      <c r="WF92" s="22"/>
      <c r="WG92" s="22"/>
      <c r="WH92" s="22"/>
      <c r="WI92" s="22"/>
      <c r="WJ92" s="22"/>
      <c r="WK92" s="22"/>
      <c r="WL92" s="22"/>
      <c r="WM92" s="22"/>
      <c r="WN92" s="22"/>
      <c r="WO92" s="22"/>
      <c r="WP92" s="22"/>
      <c r="WQ92" s="22"/>
      <c r="WR92" s="22"/>
      <c r="WS92" s="22"/>
      <c r="WT92" s="22"/>
      <c r="WU92" s="22"/>
      <c r="WV92" s="22"/>
      <c r="WW92" s="22"/>
      <c r="WX92" s="22"/>
      <c r="WY92" s="22"/>
      <c r="WZ92" s="22"/>
      <c r="XA92" s="22"/>
      <c r="XB92" s="22"/>
      <c r="XC92" s="22"/>
      <c r="XD92" s="22"/>
      <c r="XE92" s="22"/>
      <c r="XF92" s="22"/>
      <c r="XG92" s="22"/>
      <c r="XH92" s="22"/>
      <c r="XI92" s="22"/>
      <c r="XJ92" s="22"/>
      <c r="XK92" s="22"/>
      <c r="XL92" s="22"/>
      <c r="XM92" s="22"/>
      <c r="XN92" s="22"/>
      <c r="XO92" s="22"/>
      <c r="XP92" s="22"/>
      <c r="XQ92" s="22"/>
      <c r="XR92" s="22"/>
      <c r="XS92" s="22"/>
      <c r="XT92" s="22"/>
      <c r="XU92" s="22"/>
      <c r="XV92" s="22"/>
      <c r="XW92" s="22"/>
      <c r="XX92" s="22"/>
      <c r="XY92" s="22"/>
      <c r="XZ92" s="22"/>
      <c r="YA92" s="22"/>
      <c r="YB92" s="22"/>
      <c r="YC92" s="22"/>
      <c r="YD92" s="22"/>
      <c r="YE92" s="22"/>
      <c r="YF92" s="22"/>
      <c r="YG92" s="22"/>
      <c r="YH92" s="22"/>
      <c r="YI92" s="22"/>
      <c r="YJ92" s="22"/>
      <c r="YK92" s="22"/>
      <c r="YL92" s="22"/>
      <c r="YM92" s="22"/>
      <c r="YN92" s="22"/>
      <c r="YO92" s="22"/>
      <c r="YP92" s="22"/>
      <c r="YQ92" s="22"/>
      <c r="YR92" s="22"/>
      <c r="YS92" s="22"/>
      <c r="YT92" s="22"/>
      <c r="YU92" s="22"/>
      <c r="YV92" s="22"/>
      <c r="YW92" s="22"/>
      <c r="YX92" s="22"/>
      <c r="YY92" s="22"/>
      <c r="YZ92" s="22"/>
      <c r="ZA92" s="22"/>
      <c r="ZB92" s="22"/>
      <c r="ZC92" s="22"/>
      <c r="ZD92" s="22"/>
      <c r="ZE92" s="22"/>
      <c r="ZF92" s="22"/>
      <c r="ZG92" s="22"/>
      <c r="ZH92" s="22"/>
      <c r="ZI92" s="22"/>
      <c r="ZJ92" s="22"/>
      <c r="ZK92" s="22"/>
      <c r="ZL92" s="22"/>
      <c r="ZM92" s="22"/>
      <c r="ZN92" s="22"/>
      <c r="ZO92" s="22"/>
      <c r="ZP92" s="22"/>
      <c r="ZQ92" s="22"/>
      <c r="ZR92" s="22"/>
      <c r="ZS92" s="22"/>
      <c r="ZT92" s="22"/>
      <c r="ZU92" s="22"/>
      <c r="ZV92" s="22"/>
      <c r="ZW92" s="22"/>
      <c r="ZX92" s="22"/>
      <c r="ZY92" s="22"/>
      <c r="ZZ92" s="22"/>
      <c r="AAA92" s="22"/>
      <c r="AAB92" s="22"/>
      <c r="AAC92" s="22"/>
      <c r="AAD92" s="22"/>
      <c r="AAE92" s="22"/>
      <c r="AAF92" s="22"/>
      <c r="AAG92" s="22"/>
      <c r="AAH92" s="22"/>
      <c r="AAI92" s="22"/>
      <c r="AAJ92" s="22"/>
      <c r="AAK92" s="22"/>
      <c r="AAL92" s="22"/>
      <c r="AAM92" s="22"/>
      <c r="AAN92" s="22"/>
      <c r="AAO92" s="22"/>
      <c r="AAP92" s="22"/>
      <c r="AAQ92" s="22"/>
      <c r="AAR92" s="22"/>
      <c r="AAS92" s="22"/>
      <c r="AAT92" s="22"/>
      <c r="AAU92" s="22"/>
      <c r="AAV92" s="22"/>
      <c r="AAW92" s="22"/>
      <c r="AAX92" s="22"/>
      <c r="AAY92" s="22"/>
      <c r="AAZ92" s="22"/>
      <c r="ABA92" s="22"/>
      <c r="ABB92" s="22"/>
      <c r="ABC92" s="22"/>
      <c r="ABD92" s="22"/>
      <c r="ABE92" s="22"/>
      <c r="ABF92" s="22"/>
      <c r="ABG92" s="22"/>
      <c r="ABH92" s="22"/>
      <c r="ABI92" s="22"/>
      <c r="ABJ92" s="22"/>
      <c r="ABK92" s="22"/>
      <c r="ABL92" s="22"/>
      <c r="ABM92" s="22"/>
      <c r="ABN92" s="22"/>
      <c r="ABO92" s="22"/>
      <c r="ABP92" s="22"/>
      <c r="ABQ92" s="22"/>
      <c r="ABR92" s="22"/>
      <c r="ABS92" s="22"/>
      <c r="ABT92" s="22"/>
      <c r="ABU92" s="22"/>
      <c r="ABV92" s="22"/>
      <c r="ABW92" s="22"/>
      <c r="ABX92" s="22"/>
      <c r="ABY92" s="22"/>
      <c r="ABZ92" s="22"/>
      <c r="ACA92" s="22"/>
      <c r="ACB92" s="22"/>
      <c r="ACC92" s="22"/>
      <c r="ACD92" s="22"/>
      <c r="ACE92" s="22"/>
      <c r="ACF92" s="22"/>
      <c r="ACG92" s="22"/>
      <c r="ACH92" s="22"/>
      <c r="ACI92" s="22"/>
      <c r="ACJ92" s="22"/>
      <c r="ACK92" s="22"/>
      <c r="ACL92" s="22"/>
      <c r="ACM92" s="22"/>
      <c r="ACN92" s="22"/>
      <c r="ACO92" s="22"/>
      <c r="ACP92" s="22"/>
      <c r="ACQ92" s="22"/>
      <c r="ACR92" s="22"/>
      <c r="ACS92" s="22"/>
      <c r="ACT92" s="22"/>
      <c r="ACU92" s="22"/>
      <c r="ACV92" s="22"/>
      <c r="ACW92" s="22"/>
      <c r="ACX92" s="22"/>
      <c r="ACY92" s="22"/>
      <c r="ACZ92" s="22"/>
      <c r="ADA92" s="22"/>
      <c r="ADB92" s="22"/>
      <c r="ADC92" s="22"/>
      <c r="ADD92" s="22"/>
      <c r="ADE92" s="22"/>
      <c r="ADF92" s="22"/>
      <c r="ADG92" s="22"/>
      <c r="ADH92" s="22"/>
      <c r="ADI92" s="22"/>
      <c r="ADJ92" s="22"/>
      <c r="ADK92" s="22"/>
      <c r="ADL92" s="22"/>
      <c r="ADM92" s="22"/>
      <c r="ADN92" s="22"/>
      <c r="ADO92" s="22"/>
      <c r="ADP92" s="22"/>
      <c r="ADQ92" s="22"/>
      <c r="ADR92" s="22"/>
      <c r="ADS92" s="22"/>
      <c r="ADT92" s="22"/>
      <c r="ADU92" s="22"/>
      <c r="ADV92" s="22"/>
      <c r="ADW92" s="22"/>
      <c r="ADX92" s="22"/>
      <c r="ADY92" s="22"/>
      <c r="ADZ92" s="22"/>
      <c r="AEA92" s="22"/>
      <c r="AEB92" s="22"/>
      <c r="AEC92" s="22"/>
      <c r="AED92" s="22"/>
      <c r="AEE92" s="22"/>
      <c r="AEF92" s="22"/>
      <c r="AEG92" s="22"/>
      <c r="AEH92" s="22"/>
      <c r="AEI92" s="22"/>
      <c r="AEJ92" s="22"/>
      <c r="AEK92" s="22"/>
      <c r="AEL92" s="22"/>
      <c r="AEM92" s="22"/>
      <c r="AEN92" s="22"/>
      <c r="AEO92" s="22"/>
      <c r="AEP92" s="22"/>
      <c r="AEQ92" s="22"/>
      <c r="AER92" s="22"/>
      <c r="AES92" s="22"/>
      <c r="AET92" s="22"/>
      <c r="AEU92" s="22"/>
      <c r="AEV92" s="22"/>
      <c r="AEW92" s="22"/>
      <c r="AEX92" s="22"/>
      <c r="AEY92" s="22"/>
      <c r="AEZ92" s="22"/>
      <c r="AFA92" s="22"/>
      <c r="AFB92" s="22"/>
      <c r="AFC92" s="22"/>
      <c r="AFD92" s="22"/>
      <c r="AFE92" s="22"/>
      <c r="AFF92" s="22"/>
      <c r="AFG92" s="22"/>
      <c r="AFH92" s="22"/>
      <c r="AFI92" s="22"/>
      <c r="AFJ92" s="22"/>
      <c r="AFK92" s="22"/>
      <c r="AFL92" s="22"/>
      <c r="AFM92" s="22"/>
      <c r="AFN92" s="22"/>
      <c r="AFO92" s="22"/>
      <c r="AFP92" s="22"/>
      <c r="AFQ92" s="22"/>
      <c r="AFR92" s="22"/>
      <c r="AFS92" s="22"/>
      <c r="AFT92" s="22"/>
      <c r="AFU92" s="22"/>
      <c r="AFV92" s="22"/>
      <c r="AFW92" s="22"/>
      <c r="AFX92" s="22"/>
      <c r="AFY92" s="22"/>
      <c r="AFZ92" s="22"/>
      <c r="AGA92" s="22"/>
      <c r="AGB92" s="22"/>
      <c r="AGC92" s="22"/>
      <c r="AGD92" s="22"/>
      <c r="AGE92" s="22"/>
      <c r="AGF92" s="22"/>
      <c r="AGG92" s="22"/>
      <c r="AGH92" s="22"/>
      <c r="AGI92" s="22"/>
      <c r="AGJ92" s="22"/>
      <c r="AGK92" s="22"/>
      <c r="AGL92" s="22"/>
      <c r="AGM92" s="22"/>
      <c r="AGN92" s="22"/>
      <c r="AGO92" s="22"/>
      <c r="AGP92" s="22"/>
      <c r="AGQ92" s="22"/>
      <c r="AGR92" s="22"/>
      <c r="AGS92" s="22"/>
      <c r="AGT92" s="22"/>
      <c r="AGU92" s="22"/>
      <c r="AGV92" s="22"/>
      <c r="AGW92" s="22"/>
      <c r="AGX92" s="22"/>
      <c r="AGY92" s="22"/>
      <c r="AGZ92" s="22"/>
      <c r="AHA92" s="22"/>
      <c r="AHB92" s="22"/>
      <c r="AHC92" s="22"/>
      <c r="AHD92" s="22"/>
      <c r="AHE92" s="22"/>
      <c r="AHF92" s="22"/>
      <c r="AHG92" s="22"/>
      <c r="AHH92" s="22"/>
      <c r="AHI92" s="22"/>
      <c r="AHJ92" s="22"/>
      <c r="AHK92" s="22"/>
      <c r="AHL92" s="22"/>
      <c r="AHM92" s="22"/>
      <c r="AHN92" s="22"/>
      <c r="AHO92" s="22"/>
      <c r="AHP92" s="22"/>
      <c r="AHQ92" s="22"/>
      <c r="AHR92" s="22"/>
      <c r="AHS92" s="22"/>
      <c r="AHT92" s="22"/>
      <c r="AHU92" s="22"/>
      <c r="AHV92" s="22"/>
      <c r="AHW92" s="22"/>
      <c r="AHX92" s="22"/>
      <c r="AHY92" s="22"/>
      <c r="AHZ92" s="22"/>
      <c r="AIA92" s="22"/>
      <c r="AIB92" s="22"/>
      <c r="AIC92" s="22"/>
      <c r="AID92" s="22"/>
      <c r="AIE92" s="22"/>
      <c r="AIF92" s="22"/>
      <c r="AIG92" s="22"/>
      <c r="AIH92" s="22"/>
      <c r="AII92" s="22"/>
      <c r="AIJ92" s="22"/>
      <c r="AIK92" s="22"/>
      <c r="AIL92" s="22"/>
      <c r="AIM92" s="22"/>
      <c r="AIN92" s="22"/>
      <c r="AIO92" s="22"/>
      <c r="AIP92" s="22"/>
      <c r="AIQ92" s="22"/>
      <c r="AIR92" s="22"/>
      <c r="AIS92" s="22"/>
      <c r="AIT92" s="22"/>
      <c r="AIU92" s="22"/>
      <c r="AIV92" s="22"/>
      <c r="AIW92" s="22"/>
      <c r="AIX92" s="22"/>
      <c r="AIY92" s="22"/>
      <c r="AIZ92" s="22"/>
      <c r="AJA92" s="22"/>
      <c r="AJB92" s="22"/>
      <c r="AJC92" s="22"/>
      <c r="AJD92" s="22"/>
      <c r="AJE92" s="22"/>
      <c r="AJF92" s="22"/>
      <c r="AJG92" s="22"/>
      <c r="AJH92" s="22"/>
      <c r="AJI92" s="22"/>
      <c r="AJJ92" s="22"/>
      <c r="AJK92" s="22"/>
      <c r="AJL92" s="22"/>
      <c r="AJM92" s="22"/>
      <c r="AJN92" s="22"/>
      <c r="AJO92" s="22"/>
      <c r="AJP92" s="22"/>
      <c r="AJQ92" s="22"/>
      <c r="AJR92" s="22"/>
      <c r="AJS92" s="22"/>
      <c r="AJT92" s="22"/>
      <c r="AJU92" s="22"/>
      <c r="AJV92" s="22"/>
      <c r="AJW92" s="22"/>
      <c r="AJX92" s="22"/>
      <c r="AJY92" s="22"/>
      <c r="AJZ92" s="22"/>
      <c r="AKA92" s="22"/>
      <c r="AKB92" s="22"/>
      <c r="AKC92" s="22"/>
      <c r="AKD92" s="22"/>
      <c r="AKE92" s="22"/>
      <c r="AKF92" s="22"/>
      <c r="AKG92" s="22"/>
      <c r="AKH92" s="22"/>
      <c r="AKI92" s="22"/>
      <c r="AKJ92" s="22"/>
      <c r="AKK92" s="22"/>
      <c r="AKL92" s="22"/>
      <c r="AKM92" s="22"/>
      <c r="AKN92" s="22"/>
      <c r="AKO92" s="22"/>
      <c r="AKP92" s="22"/>
      <c r="AKQ92" s="22"/>
      <c r="AKR92" s="22"/>
      <c r="AKS92" s="22"/>
      <c r="AKT92" s="22"/>
      <c r="AKU92" s="22"/>
      <c r="AKV92" s="22"/>
      <c r="AKW92" s="22"/>
      <c r="AKX92" s="22"/>
      <c r="AKY92" s="22"/>
      <c r="AKZ92" s="22"/>
      <c r="ALA92" s="22"/>
      <c r="ALB92" s="22"/>
      <c r="ALC92" s="22"/>
      <c r="ALD92" s="22"/>
      <c r="ALE92" s="22"/>
      <c r="ALF92" s="22"/>
      <c r="ALG92" s="22"/>
      <c r="ALH92" s="22"/>
      <c r="ALI92" s="22"/>
      <c r="ALJ92" s="22"/>
      <c r="ALK92" s="22"/>
      <c r="ALL92" s="22"/>
      <c r="ALM92" s="22"/>
      <c r="ALN92" s="22"/>
      <c r="ALO92" s="22"/>
      <c r="ALP92" s="22"/>
      <c r="ALQ92" s="22"/>
      <c r="ALR92" s="22"/>
      <c r="ALS92" s="22"/>
      <c r="ALT92" s="22"/>
      <c r="ALU92" s="22"/>
      <c r="ALV92" s="22"/>
      <c r="ALW92" s="22"/>
      <c r="ALX92" s="22"/>
      <c r="ALY92" s="22"/>
      <c r="ALZ92" s="22"/>
      <c r="AMA92" s="22"/>
      <c r="AMB92" s="22"/>
      <c r="AMC92" s="22"/>
      <c r="AMD92" s="22"/>
      <c r="AME92" s="22"/>
      <c r="AMF92" s="22"/>
      <c r="AMG92" s="22"/>
      <c r="AMH92" s="22"/>
      <c r="AMI92" s="22"/>
      <c r="AMJ92" s="22"/>
      <c r="AMK92" s="22"/>
      <c r="AML92" s="22"/>
      <c r="AMM92" s="22"/>
      <c r="AMN92" s="22"/>
      <c r="AMO92" s="22"/>
      <c r="AMP92" s="22"/>
      <c r="AMQ92" s="22"/>
      <c r="AMR92" s="22"/>
      <c r="AMS92" s="22"/>
      <c r="AMT92" s="22"/>
      <c r="AMU92" s="22"/>
      <c r="AMV92" s="22"/>
      <c r="AMW92" s="22"/>
      <c r="AMX92" s="22"/>
      <c r="AMY92" s="22"/>
      <c r="AMZ92" s="22"/>
      <c r="ANA92" s="22"/>
      <c r="ANB92" s="22"/>
      <c r="ANC92" s="22"/>
      <c r="AND92" s="22"/>
      <c r="ANE92" s="22"/>
      <c r="ANF92" s="22"/>
      <c r="ANG92" s="22"/>
      <c r="ANH92" s="22"/>
      <c r="ANI92" s="22"/>
      <c r="ANJ92" s="22"/>
      <c r="ANK92" s="22"/>
      <c r="ANL92" s="22"/>
      <c r="ANM92" s="22"/>
      <c r="ANN92" s="22"/>
      <c r="ANO92" s="22"/>
      <c r="ANP92" s="22"/>
      <c r="ANQ92" s="22"/>
      <c r="ANR92" s="22"/>
      <c r="ANS92" s="22"/>
      <c r="ANT92" s="22"/>
      <c r="ANU92" s="22"/>
      <c r="ANV92" s="22"/>
      <c r="ANW92" s="22"/>
      <c r="ANX92" s="22"/>
      <c r="ANY92" s="22"/>
      <c r="ANZ92" s="22"/>
      <c r="AOA92" s="22"/>
      <c r="AOB92" s="22"/>
      <c r="AOC92" s="22"/>
      <c r="AOD92" s="22"/>
      <c r="AOE92" s="22"/>
      <c r="AOF92" s="22"/>
      <c r="AOG92" s="22"/>
      <c r="AOH92" s="22"/>
      <c r="AOI92" s="22"/>
      <c r="AOJ92" s="22"/>
      <c r="AOK92" s="22"/>
      <c r="AOL92" s="22"/>
      <c r="AOM92" s="22"/>
      <c r="AON92" s="22"/>
      <c r="AOO92" s="22"/>
      <c r="AOP92" s="22"/>
      <c r="AOQ92" s="22"/>
      <c r="AOR92" s="22"/>
      <c r="AOS92" s="22"/>
      <c r="AOT92" s="22"/>
      <c r="AOU92" s="22"/>
      <c r="AOV92" s="22"/>
      <c r="AOW92" s="22"/>
      <c r="AOX92" s="22"/>
      <c r="AOY92" s="22"/>
      <c r="AOZ92" s="22"/>
      <c r="APA92" s="22"/>
      <c r="APB92" s="22"/>
      <c r="APC92" s="22"/>
      <c r="APD92" s="22"/>
      <c r="APE92" s="22"/>
      <c r="APF92" s="22"/>
      <c r="APG92" s="22"/>
      <c r="APH92" s="22"/>
      <c r="API92" s="22"/>
      <c r="APJ92" s="22"/>
      <c r="APK92" s="22"/>
      <c r="APL92" s="22"/>
      <c r="APM92" s="22"/>
      <c r="APN92" s="22"/>
      <c r="APO92" s="22"/>
      <c r="APP92" s="22"/>
      <c r="APQ92" s="22"/>
      <c r="APR92" s="22"/>
      <c r="APS92" s="22"/>
      <c r="APT92" s="22"/>
      <c r="APU92" s="22"/>
      <c r="APV92" s="22"/>
      <c r="APW92" s="22"/>
      <c r="APX92" s="22"/>
      <c r="APY92" s="22"/>
      <c r="APZ92" s="22"/>
      <c r="AQA92" s="22"/>
      <c r="AQB92" s="22"/>
      <c r="AQC92" s="22"/>
      <c r="AQD92" s="22"/>
      <c r="AQE92" s="22"/>
      <c r="AQF92" s="22"/>
      <c r="AQG92" s="22"/>
      <c r="AQH92" s="22"/>
      <c r="AQI92" s="22"/>
      <c r="AQJ92" s="22"/>
      <c r="AQK92" s="22"/>
      <c r="AQL92" s="22"/>
      <c r="AQM92" s="22"/>
      <c r="AQN92" s="22"/>
      <c r="AQO92" s="22"/>
      <c r="AQP92" s="22"/>
      <c r="AQQ92" s="22"/>
      <c r="AQR92" s="22"/>
      <c r="AQS92" s="22"/>
      <c r="AQT92" s="22"/>
      <c r="AQU92" s="22"/>
      <c r="AQV92" s="22"/>
      <c r="AQW92" s="22"/>
      <c r="AQX92" s="22"/>
      <c r="AQY92" s="22"/>
      <c r="AQZ92" s="22"/>
      <c r="ARA92" s="22"/>
      <c r="ARB92" s="22"/>
      <c r="ARC92" s="22"/>
      <c r="ARD92" s="22"/>
      <c r="ARE92" s="22"/>
      <c r="ARF92" s="22"/>
      <c r="ARG92" s="22"/>
      <c r="ARH92" s="22"/>
      <c r="ARI92" s="22"/>
      <c r="ARJ92" s="22"/>
      <c r="ARK92" s="22"/>
      <c r="ARL92" s="22"/>
      <c r="ARM92" s="22"/>
      <c r="ARN92" s="22"/>
      <c r="ARO92" s="22"/>
      <c r="ARP92" s="22"/>
      <c r="ARQ92" s="22"/>
      <c r="ARR92" s="22"/>
      <c r="ARS92" s="22"/>
      <c r="ART92" s="22"/>
      <c r="ARU92" s="22"/>
      <c r="ARV92" s="22"/>
      <c r="ARW92" s="22"/>
      <c r="ARX92" s="22"/>
      <c r="ARY92" s="22"/>
      <c r="ARZ92" s="22"/>
      <c r="ASA92" s="22"/>
      <c r="ASB92" s="22"/>
      <c r="ASC92" s="22"/>
      <c r="ASD92" s="22"/>
      <c r="ASE92" s="22"/>
      <c r="ASF92" s="22"/>
      <c r="ASG92" s="22"/>
      <c r="ASH92" s="22"/>
      <c r="ASI92" s="22"/>
      <c r="ASJ92" s="22"/>
      <c r="ASK92" s="22"/>
      <c r="ASL92" s="22"/>
      <c r="ASM92" s="22"/>
      <c r="ASN92" s="22"/>
      <c r="ASO92" s="22"/>
      <c r="ASP92" s="22"/>
      <c r="ASQ92" s="22"/>
      <c r="ASR92" s="22"/>
      <c r="ASS92" s="22"/>
      <c r="AST92" s="22"/>
      <c r="ASU92" s="22"/>
      <c r="ASV92" s="22"/>
      <c r="ASW92" s="22"/>
      <c r="ASX92" s="22"/>
      <c r="ASY92" s="22"/>
      <c r="ASZ92" s="22"/>
      <c r="ATA92" s="22"/>
      <c r="ATB92" s="22"/>
      <c r="ATC92" s="22"/>
      <c r="ATD92" s="22"/>
      <c r="ATE92" s="22"/>
      <c r="ATF92" s="22"/>
      <c r="ATG92" s="22"/>
      <c r="ATH92" s="22"/>
      <c r="ATI92" s="22"/>
      <c r="ATJ92" s="22"/>
      <c r="ATK92" s="22"/>
      <c r="ATL92" s="22"/>
      <c r="ATM92" s="22"/>
      <c r="ATN92" s="22"/>
      <c r="ATO92" s="22"/>
      <c r="ATP92" s="22"/>
      <c r="ATQ92" s="22"/>
      <c r="ATR92" s="22"/>
      <c r="ATS92" s="22"/>
      <c r="ATT92" s="22"/>
      <c r="ATU92" s="22"/>
      <c r="ATV92" s="22"/>
      <c r="ATW92" s="22"/>
      <c r="ATX92" s="22"/>
      <c r="ATY92" s="22"/>
      <c r="ATZ92" s="22"/>
      <c r="AUA92" s="22"/>
      <c r="AUB92" s="22"/>
      <c r="AUC92" s="22"/>
      <c r="AUD92" s="22"/>
      <c r="AUE92" s="22"/>
      <c r="AUF92" s="22"/>
      <c r="AUG92" s="22"/>
      <c r="AUH92" s="22"/>
      <c r="AUI92" s="22"/>
      <c r="AUJ92" s="22"/>
      <c r="AUK92" s="22"/>
      <c r="AUL92" s="22"/>
      <c r="AUM92" s="22"/>
      <c r="AUN92" s="22"/>
      <c r="AUO92" s="22"/>
      <c r="AUP92" s="22"/>
      <c r="AUQ92" s="22"/>
      <c r="AUR92" s="22"/>
      <c r="AUS92" s="22"/>
      <c r="AUT92" s="22"/>
      <c r="AUU92" s="22"/>
      <c r="AUV92" s="22"/>
      <c r="AUW92" s="22"/>
      <c r="AUX92" s="22"/>
      <c r="AUY92" s="22"/>
      <c r="AUZ92" s="22"/>
      <c r="AVA92" s="22"/>
      <c r="AVB92" s="22"/>
      <c r="AVC92" s="22"/>
      <c r="AVD92" s="22"/>
      <c r="AVE92" s="22"/>
      <c r="AVF92" s="22"/>
      <c r="AVG92" s="22"/>
      <c r="AVH92" s="22"/>
      <c r="AVI92" s="22"/>
      <c r="AVJ92" s="22"/>
      <c r="AVK92" s="22"/>
      <c r="AVL92" s="22"/>
      <c r="AVM92" s="22"/>
      <c r="AVN92" s="22"/>
      <c r="AVO92" s="22"/>
      <c r="AVP92" s="22"/>
      <c r="AVQ92" s="22"/>
      <c r="AVR92" s="22"/>
      <c r="AVS92" s="22"/>
      <c r="AVT92" s="22"/>
      <c r="AVU92" s="22"/>
      <c r="AVV92" s="22"/>
      <c r="AVW92" s="22"/>
      <c r="AVX92" s="22"/>
      <c r="AVY92" s="22"/>
      <c r="AVZ92" s="22"/>
      <c r="AWA92" s="22"/>
      <c r="AWB92" s="22"/>
      <c r="AWC92" s="22"/>
      <c r="AWD92" s="22"/>
      <c r="AWE92" s="22"/>
      <c r="AWF92" s="22"/>
      <c r="AWG92" s="22"/>
      <c r="AWH92" s="22"/>
      <c r="AWI92" s="22"/>
      <c r="AWJ92" s="22"/>
      <c r="AWK92" s="22"/>
      <c r="AWL92" s="22"/>
      <c r="AWM92" s="22"/>
      <c r="AWN92" s="22"/>
      <c r="AWO92" s="22"/>
      <c r="AWP92" s="22"/>
      <c r="AWQ92" s="22"/>
      <c r="AWR92" s="22"/>
      <c r="AWS92" s="22"/>
      <c r="AWT92" s="22"/>
      <c r="AWU92" s="22"/>
      <c r="AWV92" s="22"/>
      <c r="AWW92" s="22"/>
      <c r="AWX92" s="22"/>
      <c r="AWY92" s="22"/>
      <c r="AWZ92" s="22"/>
      <c r="AXA92" s="22"/>
      <c r="AXB92" s="22"/>
      <c r="AXC92" s="22"/>
      <c r="AXD92" s="22"/>
      <c r="AXE92" s="22"/>
      <c r="AXF92" s="22"/>
      <c r="AXG92" s="22"/>
      <c r="AXH92" s="22"/>
      <c r="AXI92" s="22"/>
      <c r="AXJ92" s="22"/>
      <c r="AXK92" s="22"/>
      <c r="AXL92" s="22"/>
      <c r="AXM92" s="22"/>
      <c r="AXN92" s="22"/>
      <c r="AXO92" s="22"/>
      <c r="AXP92" s="22"/>
      <c r="AXQ92" s="22"/>
      <c r="AXR92" s="22"/>
      <c r="AXS92" s="22"/>
      <c r="AXT92" s="22"/>
      <c r="AXU92" s="22"/>
      <c r="AXV92" s="22"/>
      <c r="AXW92" s="22"/>
      <c r="AXX92" s="22"/>
      <c r="AXY92" s="22"/>
      <c r="AXZ92" s="22"/>
      <c r="AYA92" s="22"/>
      <c r="AYB92" s="22"/>
      <c r="AYC92" s="22"/>
      <c r="AYD92" s="22"/>
      <c r="AYE92" s="22"/>
      <c r="AYF92" s="22"/>
      <c r="AYG92" s="22"/>
      <c r="AYH92" s="22"/>
      <c r="AYI92" s="22"/>
      <c r="AYJ92" s="22"/>
      <c r="AYK92" s="22"/>
      <c r="AYL92" s="22"/>
      <c r="AYM92" s="22"/>
      <c r="AYN92" s="22"/>
      <c r="AYO92" s="22"/>
      <c r="AYP92" s="22"/>
      <c r="AYQ92" s="22"/>
      <c r="AYR92" s="22"/>
      <c r="AYS92" s="22"/>
      <c r="AYT92" s="22"/>
      <c r="AYU92" s="22"/>
      <c r="AYV92" s="22"/>
      <c r="AYW92" s="22"/>
      <c r="AYX92" s="22"/>
      <c r="AYY92" s="22"/>
      <c r="AYZ92" s="22"/>
      <c r="AZA92" s="22"/>
      <c r="AZB92" s="22"/>
      <c r="AZC92" s="22"/>
      <c r="AZD92" s="22"/>
      <c r="AZE92" s="22"/>
      <c r="AZF92" s="22"/>
      <c r="AZG92" s="22"/>
      <c r="AZH92" s="22"/>
      <c r="AZI92" s="22"/>
      <c r="AZJ92" s="22"/>
      <c r="AZK92" s="22"/>
      <c r="AZL92" s="22"/>
      <c r="AZM92" s="22"/>
      <c r="AZN92" s="22"/>
      <c r="AZO92" s="22"/>
      <c r="AZP92" s="22"/>
      <c r="AZQ92" s="22"/>
      <c r="AZR92" s="22"/>
      <c r="AZS92" s="22"/>
      <c r="AZT92" s="22"/>
      <c r="AZU92" s="22"/>
      <c r="AZV92" s="22"/>
      <c r="AZW92" s="22"/>
      <c r="AZX92" s="22"/>
      <c r="AZY92" s="22"/>
      <c r="AZZ92" s="22"/>
      <c r="BAA92" s="22"/>
      <c r="BAB92" s="22"/>
      <c r="BAC92" s="22"/>
      <c r="BAD92" s="22"/>
      <c r="BAE92" s="22"/>
      <c r="BAF92" s="22"/>
      <c r="BAG92" s="22"/>
      <c r="BAH92" s="22"/>
      <c r="BAI92" s="22"/>
      <c r="BAJ92" s="22"/>
      <c r="BAK92" s="22"/>
      <c r="BAL92" s="22"/>
      <c r="BAM92" s="22"/>
      <c r="BAN92" s="22"/>
      <c r="BAO92" s="22"/>
      <c r="BAP92" s="22"/>
      <c r="BAQ92" s="22"/>
      <c r="BAR92" s="22"/>
      <c r="BAS92" s="22"/>
      <c r="BAT92" s="22"/>
      <c r="BAU92" s="22"/>
      <c r="BAV92" s="22"/>
      <c r="BAW92" s="22"/>
      <c r="BAX92" s="22"/>
      <c r="BAY92" s="22"/>
      <c r="BAZ92" s="22"/>
      <c r="BBA92" s="22"/>
      <c r="BBB92" s="22"/>
      <c r="BBC92" s="22"/>
      <c r="BBD92" s="22"/>
      <c r="BBE92" s="22"/>
      <c r="BBF92" s="22"/>
      <c r="BBG92" s="22"/>
      <c r="BBH92" s="22"/>
      <c r="BBI92" s="22"/>
      <c r="BBJ92" s="22"/>
      <c r="BBK92" s="22"/>
      <c r="BBL92" s="22"/>
      <c r="BBM92" s="22"/>
      <c r="BBN92" s="22"/>
      <c r="BBO92" s="22"/>
      <c r="BBP92" s="22"/>
      <c r="BBQ92" s="22"/>
      <c r="BBR92" s="22"/>
      <c r="BBS92" s="22"/>
      <c r="BBT92" s="22"/>
      <c r="BBU92" s="22"/>
      <c r="BBV92" s="22"/>
      <c r="BBW92" s="22"/>
      <c r="BBX92" s="22"/>
      <c r="BBY92" s="22"/>
      <c r="BBZ92" s="22"/>
      <c r="BCA92" s="22"/>
      <c r="BCB92" s="22"/>
      <c r="BCC92" s="22"/>
      <c r="BCD92" s="22"/>
      <c r="BCE92" s="22"/>
      <c r="BCF92" s="22"/>
      <c r="BCG92" s="22"/>
      <c r="BCH92" s="22"/>
      <c r="BCI92" s="22"/>
      <c r="BCJ92" s="22"/>
      <c r="BCK92" s="22"/>
      <c r="BCL92" s="22"/>
      <c r="BCM92" s="22"/>
      <c r="BCN92" s="22"/>
      <c r="BCO92" s="22"/>
      <c r="BCP92" s="22"/>
      <c r="BCQ92" s="22"/>
      <c r="BCR92" s="22"/>
      <c r="BCS92" s="22"/>
      <c r="BCT92" s="22"/>
      <c r="BCU92" s="22"/>
      <c r="BCV92" s="22"/>
      <c r="BCW92" s="22"/>
      <c r="BCX92" s="22"/>
      <c r="BCY92" s="22"/>
      <c r="BCZ92" s="22"/>
      <c r="BDA92" s="22"/>
      <c r="BDB92" s="22"/>
      <c r="BDC92" s="22"/>
      <c r="BDD92" s="22"/>
      <c r="BDE92" s="22"/>
      <c r="BDF92" s="22"/>
      <c r="BDG92" s="22"/>
      <c r="BDH92" s="22"/>
      <c r="BDI92" s="22"/>
      <c r="BDJ92" s="22"/>
      <c r="BDK92" s="22"/>
      <c r="BDL92" s="22"/>
      <c r="BDM92" s="22"/>
      <c r="BDN92" s="22"/>
      <c r="BDO92" s="22"/>
      <c r="BDP92" s="22"/>
      <c r="BDQ92" s="22"/>
      <c r="BDR92" s="22"/>
      <c r="BDS92" s="22"/>
      <c r="BDT92" s="22"/>
      <c r="BDU92" s="22"/>
      <c r="BDV92" s="22"/>
      <c r="BDW92" s="22"/>
      <c r="BDX92" s="22"/>
      <c r="BDY92" s="22"/>
      <c r="BDZ92" s="22"/>
      <c r="BEA92" s="22"/>
      <c r="BEB92" s="22"/>
      <c r="BEC92" s="22"/>
      <c r="BED92" s="22"/>
      <c r="BEE92" s="22"/>
      <c r="BEF92" s="22"/>
      <c r="BEG92" s="22"/>
      <c r="BEH92" s="22"/>
      <c r="BEI92" s="22"/>
      <c r="BEJ92" s="22"/>
      <c r="BEK92" s="22"/>
      <c r="BEL92" s="22"/>
      <c r="BEM92" s="22"/>
      <c r="BEN92" s="22"/>
      <c r="BEO92" s="22"/>
      <c r="BEP92" s="22"/>
      <c r="BEQ92" s="22"/>
      <c r="BER92" s="22"/>
      <c r="BES92" s="22"/>
      <c r="BET92" s="22"/>
      <c r="BEU92" s="22"/>
      <c r="BEV92" s="22"/>
      <c r="BEW92" s="22"/>
      <c r="BEX92" s="22"/>
      <c r="BEY92" s="22"/>
      <c r="BEZ92" s="22"/>
      <c r="BFA92" s="22"/>
      <c r="BFB92" s="22"/>
      <c r="BFC92" s="22"/>
      <c r="BFD92" s="22"/>
      <c r="BFE92" s="22"/>
      <c r="BFF92" s="22"/>
      <c r="BFG92" s="22"/>
      <c r="BFH92" s="22"/>
      <c r="BFI92" s="22"/>
      <c r="BFJ92" s="22"/>
      <c r="BFK92" s="22"/>
      <c r="BFL92" s="22"/>
      <c r="BFM92" s="22"/>
      <c r="BFN92" s="22"/>
      <c r="BFO92" s="22"/>
      <c r="BFP92" s="22"/>
      <c r="BFQ92" s="22"/>
      <c r="BFR92" s="22"/>
      <c r="BFS92" s="22"/>
      <c r="BFT92" s="22"/>
      <c r="BFU92" s="22"/>
      <c r="BFV92" s="22"/>
      <c r="BFW92" s="22"/>
    </row>
    <row r="93" spans="1:1531" s="181" customFormat="1" ht="46.15" customHeight="1" x14ac:dyDescent="0.2">
      <c r="A93" s="261" t="s">
        <v>468</v>
      </c>
      <c r="B93" s="249"/>
      <c r="C93" s="88" t="s">
        <v>498</v>
      </c>
      <c r="D93" s="249"/>
      <c r="E93" s="249" t="s">
        <v>742</v>
      </c>
      <c r="F93" s="249"/>
      <c r="G93" s="249" t="s">
        <v>476</v>
      </c>
      <c r="H93" s="141"/>
      <c r="I93" s="245">
        <v>349</v>
      </c>
      <c r="J93" s="143"/>
      <c r="K93" s="88" t="s">
        <v>110</v>
      </c>
      <c r="L93" s="143"/>
      <c r="M93" s="143"/>
      <c r="N93" s="143"/>
      <c r="O93" s="143">
        <v>2015</v>
      </c>
      <c r="P93" s="129" t="s">
        <v>680</v>
      </c>
      <c r="Q93" s="143"/>
      <c r="R93" s="143"/>
      <c r="S93" s="246"/>
      <c r="T93" s="143"/>
      <c r="U93" s="143"/>
      <c r="V93" s="143"/>
      <c r="W93" s="143"/>
      <c r="X93" s="143"/>
      <c r="Y93" s="247"/>
      <c r="Z93" s="143"/>
      <c r="AA93" s="246"/>
      <c r="AB93" s="143"/>
      <c r="AC93" s="143"/>
      <c r="AD93" s="143"/>
      <c r="AE93" s="143"/>
      <c r="AF93" s="143"/>
      <c r="AG93" s="143"/>
      <c r="AH93" s="143"/>
      <c r="AI93" s="143"/>
      <c r="AJ93" s="143"/>
      <c r="AK93" s="143"/>
      <c r="AL93" s="143">
        <v>26</v>
      </c>
      <c r="AM93" s="143"/>
      <c r="AN93" s="248">
        <v>9074</v>
      </c>
      <c r="AP93" s="473">
        <v>21</v>
      </c>
      <c r="AQ93" s="486">
        <v>7329</v>
      </c>
      <c r="AT93" s="491"/>
      <c r="AU93" s="481" t="s">
        <v>713</v>
      </c>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c r="FO93" s="22"/>
      <c r="FP93" s="22"/>
      <c r="FQ93" s="22"/>
      <c r="FR93" s="22"/>
      <c r="FS93" s="22"/>
      <c r="FT93" s="22"/>
      <c r="FU93" s="22"/>
      <c r="FV93" s="22"/>
      <c r="FW93" s="22"/>
      <c r="FX93" s="22"/>
      <c r="FY93" s="22"/>
      <c r="FZ93" s="22"/>
      <c r="GA93" s="22"/>
      <c r="GB93" s="22"/>
      <c r="GC93" s="22"/>
      <c r="GD93" s="22"/>
      <c r="GE93" s="22"/>
      <c r="GF93" s="22"/>
      <c r="GG93" s="22"/>
      <c r="GH93" s="22"/>
      <c r="GI93" s="22"/>
      <c r="GJ93" s="22"/>
      <c r="GK93" s="22"/>
      <c r="GL93" s="22"/>
      <c r="GM93" s="22"/>
      <c r="GN93" s="22"/>
      <c r="GO93" s="22"/>
      <c r="GP93" s="22"/>
      <c r="GQ93" s="22"/>
      <c r="GR93" s="22"/>
      <c r="GS93" s="22"/>
      <c r="GT93" s="22"/>
      <c r="GU93" s="22"/>
      <c r="GV93" s="22"/>
      <c r="GW93" s="22"/>
      <c r="GX93" s="22"/>
      <c r="GY93" s="22"/>
      <c r="GZ93" s="22"/>
      <c r="HA93" s="22"/>
      <c r="HB93" s="22"/>
      <c r="HC93" s="22"/>
      <c r="HD93" s="22"/>
      <c r="HE93" s="22"/>
      <c r="HF93" s="22"/>
      <c r="HG93" s="22"/>
      <c r="HH93" s="22"/>
      <c r="HI93" s="22"/>
      <c r="HJ93" s="22"/>
      <c r="HK93" s="22"/>
      <c r="HL93" s="22"/>
      <c r="HM93" s="22"/>
      <c r="HN93" s="22"/>
      <c r="HO93" s="22"/>
      <c r="HP93" s="22"/>
      <c r="HQ93" s="22"/>
      <c r="HR93" s="22"/>
      <c r="HS93" s="22"/>
      <c r="HT93" s="22"/>
      <c r="HU93" s="22"/>
      <c r="HV93" s="22"/>
      <c r="HW93" s="22"/>
      <c r="HX93" s="22"/>
      <c r="HY93" s="22"/>
      <c r="HZ93" s="22"/>
      <c r="IA93" s="22"/>
      <c r="IB93" s="22"/>
      <c r="IC93" s="22"/>
      <c r="ID93" s="22"/>
      <c r="IE93" s="22"/>
      <c r="IF93" s="22"/>
      <c r="IG93" s="22"/>
      <c r="IH93" s="22"/>
      <c r="II93" s="22"/>
      <c r="IJ93" s="22"/>
      <c r="IK93" s="22"/>
      <c r="IL93" s="22"/>
      <c r="IM93" s="22"/>
      <c r="IN93" s="22"/>
      <c r="IO93" s="22"/>
      <c r="IP93" s="22"/>
      <c r="IQ93" s="22"/>
      <c r="IR93" s="22"/>
      <c r="IS93" s="22"/>
      <c r="IT93" s="22"/>
      <c r="IU93" s="22"/>
      <c r="IV93" s="22"/>
      <c r="IW93" s="22"/>
      <c r="IX93" s="22"/>
      <c r="IY93" s="22"/>
      <c r="IZ93" s="22"/>
      <c r="JA93" s="22"/>
      <c r="JB93" s="22"/>
      <c r="JC93" s="22"/>
      <c r="JD93" s="22"/>
      <c r="JE93" s="22"/>
      <c r="JF93" s="22"/>
      <c r="JG93" s="22"/>
      <c r="JH93" s="22"/>
      <c r="JI93" s="22"/>
      <c r="JJ93" s="22"/>
      <c r="JK93" s="22"/>
      <c r="JL93" s="22"/>
      <c r="JM93" s="22"/>
      <c r="JN93" s="22"/>
      <c r="JO93" s="22"/>
      <c r="JP93" s="22"/>
      <c r="JQ93" s="22"/>
      <c r="JR93" s="22"/>
      <c r="JS93" s="22"/>
      <c r="JT93" s="22"/>
      <c r="JU93" s="22"/>
      <c r="JV93" s="22"/>
      <c r="JW93" s="22"/>
      <c r="JX93" s="22"/>
      <c r="JY93" s="22"/>
      <c r="JZ93" s="22"/>
      <c r="KA93" s="22"/>
      <c r="KB93" s="22"/>
      <c r="KC93" s="22"/>
      <c r="KD93" s="22"/>
      <c r="KE93" s="22"/>
      <c r="KF93" s="22"/>
      <c r="KG93" s="22"/>
      <c r="KH93" s="22"/>
      <c r="KI93" s="22"/>
      <c r="KJ93" s="22"/>
      <c r="KK93" s="22"/>
      <c r="KL93" s="22"/>
      <c r="KM93" s="22"/>
      <c r="KN93" s="22"/>
      <c r="KO93" s="22"/>
      <c r="KP93" s="22"/>
      <c r="KQ93" s="22"/>
      <c r="KR93" s="22"/>
      <c r="KS93" s="22"/>
      <c r="KT93" s="22"/>
      <c r="KU93" s="22"/>
      <c r="KV93" s="22"/>
      <c r="KW93" s="22"/>
      <c r="KX93" s="22"/>
      <c r="KY93" s="22"/>
      <c r="KZ93" s="22"/>
      <c r="LA93" s="22"/>
      <c r="LB93" s="22"/>
      <c r="LC93" s="22"/>
      <c r="LD93" s="22"/>
      <c r="LE93" s="22"/>
      <c r="LF93" s="22"/>
      <c r="LG93" s="22"/>
      <c r="LH93" s="22"/>
      <c r="LI93" s="22"/>
      <c r="LJ93" s="22"/>
      <c r="LK93" s="22"/>
      <c r="LL93" s="22"/>
      <c r="LM93" s="22"/>
      <c r="LN93" s="22"/>
      <c r="LO93" s="22"/>
      <c r="LP93" s="22"/>
      <c r="LQ93" s="22"/>
      <c r="LR93" s="22"/>
      <c r="LS93" s="22"/>
      <c r="LT93" s="22"/>
      <c r="LU93" s="22"/>
      <c r="LV93" s="22"/>
      <c r="LW93" s="22"/>
      <c r="LX93" s="22"/>
      <c r="LY93" s="22"/>
      <c r="LZ93" s="22"/>
      <c r="MA93" s="22"/>
      <c r="MB93" s="22"/>
      <c r="MC93" s="22"/>
      <c r="MD93" s="22"/>
      <c r="ME93" s="22"/>
      <c r="MF93" s="22"/>
      <c r="MG93" s="22"/>
      <c r="MH93" s="22"/>
      <c r="MI93" s="22"/>
      <c r="MJ93" s="22"/>
      <c r="MK93" s="22"/>
      <c r="ML93" s="22"/>
      <c r="MM93" s="22"/>
      <c r="MN93" s="22"/>
      <c r="MO93" s="22"/>
      <c r="MP93" s="22"/>
      <c r="MQ93" s="22"/>
      <c r="MR93" s="22"/>
      <c r="MS93" s="22"/>
      <c r="MT93" s="22"/>
      <c r="MU93" s="22"/>
      <c r="MV93" s="22"/>
      <c r="MW93" s="22"/>
      <c r="MX93" s="22"/>
      <c r="MY93" s="22"/>
      <c r="MZ93" s="22"/>
      <c r="NA93" s="22"/>
      <c r="NB93" s="22"/>
      <c r="NC93" s="22"/>
      <c r="ND93" s="22"/>
      <c r="NE93" s="22"/>
      <c r="NF93" s="22"/>
      <c r="NG93" s="22"/>
      <c r="NH93" s="22"/>
      <c r="NI93" s="22"/>
      <c r="NJ93" s="22"/>
      <c r="NK93" s="22"/>
      <c r="NL93" s="22"/>
      <c r="NM93" s="22"/>
      <c r="NN93" s="22"/>
      <c r="NO93" s="22"/>
      <c r="NP93" s="22"/>
      <c r="NQ93" s="22"/>
      <c r="NR93" s="22"/>
      <c r="NS93" s="22"/>
      <c r="NT93" s="22"/>
      <c r="NU93" s="22"/>
      <c r="NV93" s="22"/>
      <c r="NW93" s="22"/>
      <c r="NX93" s="22"/>
      <c r="NY93" s="22"/>
      <c r="NZ93" s="22"/>
      <c r="OA93" s="22"/>
      <c r="OB93" s="22"/>
      <c r="OC93" s="22"/>
      <c r="OD93" s="22"/>
      <c r="OE93" s="22"/>
      <c r="OF93" s="22"/>
      <c r="OG93" s="22"/>
      <c r="OH93" s="22"/>
      <c r="OI93" s="22"/>
      <c r="OJ93" s="22"/>
      <c r="OK93" s="22"/>
      <c r="OL93" s="22"/>
      <c r="OM93" s="22"/>
      <c r="ON93" s="22"/>
      <c r="OO93" s="22"/>
      <c r="OP93" s="22"/>
      <c r="OQ93" s="22"/>
      <c r="OR93" s="22"/>
      <c r="OS93" s="22"/>
      <c r="OT93" s="22"/>
      <c r="OU93" s="22"/>
      <c r="OV93" s="22"/>
      <c r="OW93" s="22"/>
      <c r="OX93" s="22"/>
      <c r="OY93" s="22"/>
      <c r="OZ93" s="22"/>
      <c r="PA93" s="22"/>
      <c r="PB93" s="22"/>
      <c r="PC93" s="22"/>
      <c r="PD93" s="22"/>
      <c r="PE93" s="22"/>
      <c r="PF93" s="22"/>
      <c r="PG93" s="22"/>
      <c r="PH93" s="22"/>
      <c r="PI93" s="22"/>
      <c r="PJ93" s="22"/>
      <c r="PK93" s="22"/>
      <c r="PL93" s="22"/>
      <c r="PM93" s="22"/>
      <c r="PN93" s="22"/>
      <c r="PO93" s="22"/>
      <c r="PP93" s="22"/>
      <c r="PQ93" s="22"/>
      <c r="PR93" s="22"/>
      <c r="PS93" s="22"/>
      <c r="PT93" s="22"/>
      <c r="PU93" s="22"/>
      <c r="PV93" s="22"/>
      <c r="PW93" s="22"/>
      <c r="PX93" s="22"/>
      <c r="PY93" s="22"/>
      <c r="PZ93" s="22"/>
      <c r="QA93" s="22"/>
      <c r="QB93" s="22"/>
      <c r="QC93" s="22"/>
      <c r="QD93" s="22"/>
      <c r="QE93" s="22"/>
      <c r="QF93" s="22"/>
      <c r="QG93" s="22"/>
      <c r="QH93" s="22"/>
      <c r="QI93" s="22"/>
      <c r="QJ93" s="22"/>
      <c r="QK93" s="22"/>
      <c r="QL93" s="22"/>
      <c r="QM93" s="22"/>
      <c r="QN93" s="22"/>
      <c r="QO93" s="22"/>
      <c r="QP93" s="22"/>
      <c r="QQ93" s="22"/>
      <c r="QR93" s="22"/>
      <c r="QS93" s="22"/>
      <c r="QT93" s="22"/>
      <c r="QU93" s="22"/>
      <c r="QV93" s="22"/>
      <c r="QW93" s="22"/>
      <c r="QX93" s="22"/>
      <c r="QY93" s="22"/>
      <c r="QZ93" s="22"/>
      <c r="RA93" s="22"/>
      <c r="RB93" s="22"/>
      <c r="RC93" s="22"/>
      <c r="RD93" s="22"/>
      <c r="RE93" s="22"/>
      <c r="RF93" s="22"/>
      <c r="RG93" s="22"/>
      <c r="RH93" s="22"/>
      <c r="RI93" s="22"/>
      <c r="RJ93" s="22"/>
      <c r="RK93" s="22"/>
      <c r="RL93" s="22"/>
      <c r="RM93" s="22"/>
      <c r="RN93" s="22"/>
      <c r="RO93" s="22"/>
      <c r="RP93" s="22"/>
      <c r="RQ93" s="22"/>
      <c r="RR93" s="22"/>
      <c r="RS93" s="22"/>
      <c r="RT93" s="22"/>
      <c r="RU93" s="22"/>
      <c r="RV93" s="22"/>
      <c r="RW93" s="22"/>
      <c r="RX93" s="22"/>
      <c r="RY93" s="22"/>
      <c r="RZ93" s="22"/>
      <c r="SA93" s="22"/>
      <c r="SB93" s="22"/>
      <c r="SC93" s="22"/>
      <c r="SD93" s="22"/>
      <c r="SE93" s="22"/>
      <c r="SF93" s="22"/>
      <c r="SG93" s="22"/>
      <c r="SH93" s="22"/>
      <c r="SI93" s="22"/>
      <c r="SJ93" s="22"/>
      <c r="SK93" s="22"/>
      <c r="SL93" s="22"/>
      <c r="SM93" s="22"/>
      <c r="SN93" s="22"/>
      <c r="SO93" s="22"/>
      <c r="SP93" s="22"/>
      <c r="SQ93" s="22"/>
      <c r="SR93" s="22"/>
      <c r="SS93" s="22"/>
      <c r="ST93" s="22"/>
      <c r="SU93" s="22"/>
      <c r="SV93" s="22"/>
      <c r="SW93" s="22"/>
      <c r="SX93" s="22"/>
      <c r="SY93" s="22"/>
      <c r="SZ93" s="22"/>
      <c r="TA93" s="22"/>
      <c r="TB93" s="22"/>
      <c r="TC93" s="22"/>
      <c r="TD93" s="22"/>
      <c r="TE93" s="22"/>
      <c r="TF93" s="22"/>
      <c r="TG93" s="22"/>
      <c r="TH93" s="22"/>
      <c r="TI93" s="22"/>
      <c r="TJ93" s="22"/>
      <c r="TK93" s="22"/>
      <c r="TL93" s="22"/>
      <c r="TM93" s="22"/>
      <c r="TN93" s="22"/>
      <c r="TO93" s="22"/>
      <c r="TP93" s="22"/>
      <c r="TQ93" s="22"/>
      <c r="TR93" s="22"/>
      <c r="TS93" s="22"/>
      <c r="TT93" s="22"/>
      <c r="TU93" s="22"/>
      <c r="TV93" s="22"/>
      <c r="TW93" s="22"/>
      <c r="TX93" s="22"/>
      <c r="TY93" s="22"/>
      <c r="TZ93" s="22"/>
      <c r="UA93" s="22"/>
      <c r="UB93" s="22"/>
      <c r="UC93" s="22"/>
      <c r="UD93" s="22"/>
      <c r="UE93" s="22"/>
      <c r="UF93" s="22"/>
      <c r="UG93" s="22"/>
      <c r="UH93" s="22"/>
      <c r="UI93" s="22"/>
      <c r="UJ93" s="22"/>
      <c r="UK93" s="22"/>
      <c r="UL93" s="22"/>
      <c r="UM93" s="22"/>
      <c r="UN93" s="22"/>
      <c r="UO93" s="22"/>
      <c r="UP93" s="22"/>
      <c r="UQ93" s="22"/>
      <c r="UR93" s="22"/>
      <c r="US93" s="22"/>
      <c r="UT93" s="22"/>
      <c r="UU93" s="22"/>
      <c r="UV93" s="22"/>
      <c r="UW93" s="22"/>
      <c r="UX93" s="22"/>
      <c r="UY93" s="22"/>
      <c r="UZ93" s="22"/>
      <c r="VA93" s="22"/>
      <c r="VB93" s="22"/>
      <c r="VC93" s="22"/>
      <c r="VD93" s="22"/>
      <c r="VE93" s="22"/>
      <c r="VF93" s="22"/>
      <c r="VG93" s="22"/>
      <c r="VH93" s="22"/>
      <c r="VI93" s="22"/>
      <c r="VJ93" s="22"/>
      <c r="VK93" s="22"/>
      <c r="VL93" s="22"/>
      <c r="VM93" s="22"/>
      <c r="VN93" s="22"/>
      <c r="VO93" s="22"/>
      <c r="VP93" s="22"/>
      <c r="VQ93" s="22"/>
      <c r="VR93" s="22"/>
      <c r="VS93" s="22"/>
      <c r="VT93" s="22"/>
      <c r="VU93" s="22"/>
      <c r="VV93" s="22"/>
      <c r="VW93" s="22"/>
      <c r="VX93" s="22"/>
      <c r="VY93" s="22"/>
      <c r="VZ93" s="22"/>
      <c r="WA93" s="22"/>
      <c r="WB93" s="22"/>
      <c r="WC93" s="22"/>
      <c r="WD93" s="22"/>
      <c r="WE93" s="22"/>
      <c r="WF93" s="22"/>
      <c r="WG93" s="22"/>
      <c r="WH93" s="22"/>
      <c r="WI93" s="22"/>
      <c r="WJ93" s="22"/>
      <c r="WK93" s="22"/>
      <c r="WL93" s="22"/>
      <c r="WM93" s="22"/>
      <c r="WN93" s="22"/>
      <c r="WO93" s="22"/>
      <c r="WP93" s="22"/>
      <c r="WQ93" s="22"/>
      <c r="WR93" s="22"/>
      <c r="WS93" s="22"/>
      <c r="WT93" s="22"/>
      <c r="WU93" s="22"/>
      <c r="WV93" s="22"/>
      <c r="WW93" s="22"/>
      <c r="WX93" s="22"/>
      <c r="WY93" s="22"/>
      <c r="WZ93" s="22"/>
      <c r="XA93" s="22"/>
      <c r="XB93" s="22"/>
      <c r="XC93" s="22"/>
      <c r="XD93" s="22"/>
      <c r="XE93" s="22"/>
      <c r="XF93" s="22"/>
      <c r="XG93" s="22"/>
      <c r="XH93" s="22"/>
      <c r="XI93" s="22"/>
      <c r="XJ93" s="22"/>
      <c r="XK93" s="22"/>
      <c r="XL93" s="22"/>
      <c r="XM93" s="22"/>
      <c r="XN93" s="22"/>
      <c r="XO93" s="22"/>
      <c r="XP93" s="22"/>
      <c r="XQ93" s="22"/>
      <c r="XR93" s="22"/>
      <c r="XS93" s="22"/>
      <c r="XT93" s="22"/>
      <c r="XU93" s="22"/>
      <c r="XV93" s="22"/>
      <c r="XW93" s="22"/>
      <c r="XX93" s="22"/>
      <c r="XY93" s="22"/>
      <c r="XZ93" s="22"/>
      <c r="YA93" s="22"/>
      <c r="YB93" s="22"/>
      <c r="YC93" s="22"/>
      <c r="YD93" s="22"/>
      <c r="YE93" s="22"/>
      <c r="YF93" s="22"/>
      <c r="YG93" s="22"/>
      <c r="YH93" s="22"/>
      <c r="YI93" s="22"/>
      <c r="YJ93" s="22"/>
      <c r="YK93" s="22"/>
      <c r="YL93" s="22"/>
      <c r="YM93" s="22"/>
      <c r="YN93" s="22"/>
      <c r="YO93" s="22"/>
      <c r="YP93" s="22"/>
      <c r="YQ93" s="22"/>
      <c r="YR93" s="22"/>
      <c r="YS93" s="22"/>
      <c r="YT93" s="22"/>
      <c r="YU93" s="22"/>
      <c r="YV93" s="22"/>
      <c r="YW93" s="22"/>
      <c r="YX93" s="22"/>
      <c r="YY93" s="22"/>
      <c r="YZ93" s="22"/>
      <c r="ZA93" s="22"/>
      <c r="ZB93" s="22"/>
      <c r="ZC93" s="22"/>
      <c r="ZD93" s="22"/>
      <c r="ZE93" s="22"/>
      <c r="ZF93" s="22"/>
      <c r="ZG93" s="22"/>
      <c r="ZH93" s="22"/>
      <c r="ZI93" s="22"/>
      <c r="ZJ93" s="22"/>
      <c r="ZK93" s="22"/>
      <c r="ZL93" s="22"/>
      <c r="ZM93" s="22"/>
      <c r="ZN93" s="22"/>
      <c r="ZO93" s="22"/>
      <c r="ZP93" s="22"/>
      <c r="ZQ93" s="22"/>
      <c r="ZR93" s="22"/>
      <c r="ZS93" s="22"/>
      <c r="ZT93" s="22"/>
      <c r="ZU93" s="22"/>
      <c r="ZV93" s="22"/>
      <c r="ZW93" s="22"/>
      <c r="ZX93" s="22"/>
      <c r="ZY93" s="22"/>
      <c r="ZZ93" s="22"/>
      <c r="AAA93" s="22"/>
      <c r="AAB93" s="22"/>
      <c r="AAC93" s="22"/>
      <c r="AAD93" s="22"/>
      <c r="AAE93" s="22"/>
      <c r="AAF93" s="22"/>
      <c r="AAG93" s="22"/>
      <c r="AAH93" s="22"/>
      <c r="AAI93" s="22"/>
      <c r="AAJ93" s="22"/>
      <c r="AAK93" s="22"/>
      <c r="AAL93" s="22"/>
      <c r="AAM93" s="22"/>
      <c r="AAN93" s="22"/>
      <c r="AAO93" s="22"/>
      <c r="AAP93" s="22"/>
      <c r="AAQ93" s="22"/>
      <c r="AAR93" s="22"/>
      <c r="AAS93" s="22"/>
      <c r="AAT93" s="22"/>
      <c r="AAU93" s="22"/>
      <c r="AAV93" s="22"/>
      <c r="AAW93" s="22"/>
      <c r="AAX93" s="22"/>
      <c r="AAY93" s="22"/>
      <c r="AAZ93" s="22"/>
      <c r="ABA93" s="22"/>
      <c r="ABB93" s="22"/>
      <c r="ABC93" s="22"/>
      <c r="ABD93" s="22"/>
      <c r="ABE93" s="22"/>
      <c r="ABF93" s="22"/>
      <c r="ABG93" s="22"/>
      <c r="ABH93" s="22"/>
      <c r="ABI93" s="22"/>
      <c r="ABJ93" s="22"/>
      <c r="ABK93" s="22"/>
      <c r="ABL93" s="22"/>
      <c r="ABM93" s="22"/>
      <c r="ABN93" s="22"/>
      <c r="ABO93" s="22"/>
      <c r="ABP93" s="22"/>
      <c r="ABQ93" s="22"/>
      <c r="ABR93" s="22"/>
      <c r="ABS93" s="22"/>
      <c r="ABT93" s="22"/>
      <c r="ABU93" s="22"/>
      <c r="ABV93" s="22"/>
      <c r="ABW93" s="22"/>
      <c r="ABX93" s="22"/>
      <c r="ABY93" s="22"/>
      <c r="ABZ93" s="22"/>
      <c r="ACA93" s="22"/>
      <c r="ACB93" s="22"/>
      <c r="ACC93" s="22"/>
      <c r="ACD93" s="22"/>
      <c r="ACE93" s="22"/>
      <c r="ACF93" s="22"/>
      <c r="ACG93" s="22"/>
      <c r="ACH93" s="22"/>
      <c r="ACI93" s="22"/>
      <c r="ACJ93" s="22"/>
      <c r="ACK93" s="22"/>
      <c r="ACL93" s="22"/>
      <c r="ACM93" s="22"/>
      <c r="ACN93" s="22"/>
      <c r="ACO93" s="22"/>
      <c r="ACP93" s="22"/>
      <c r="ACQ93" s="22"/>
      <c r="ACR93" s="22"/>
      <c r="ACS93" s="22"/>
      <c r="ACT93" s="22"/>
      <c r="ACU93" s="22"/>
      <c r="ACV93" s="22"/>
      <c r="ACW93" s="22"/>
      <c r="ACX93" s="22"/>
      <c r="ACY93" s="22"/>
      <c r="ACZ93" s="22"/>
      <c r="ADA93" s="22"/>
      <c r="ADB93" s="22"/>
      <c r="ADC93" s="22"/>
      <c r="ADD93" s="22"/>
      <c r="ADE93" s="22"/>
      <c r="ADF93" s="22"/>
      <c r="ADG93" s="22"/>
      <c r="ADH93" s="22"/>
      <c r="ADI93" s="22"/>
      <c r="ADJ93" s="22"/>
      <c r="ADK93" s="22"/>
      <c r="ADL93" s="22"/>
      <c r="ADM93" s="22"/>
      <c r="ADN93" s="22"/>
      <c r="ADO93" s="22"/>
      <c r="ADP93" s="22"/>
      <c r="ADQ93" s="22"/>
      <c r="ADR93" s="22"/>
      <c r="ADS93" s="22"/>
      <c r="ADT93" s="22"/>
      <c r="ADU93" s="22"/>
      <c r="ADV93" s="22"/>
      <c r="ADW93" s="22"/>
      <c r="ADX93" s="22"/>
      <c r="ADY93" s="22"/>
      <c r="ADZ93" s="22"/>
      <c r="AEA93" s="22"/>
      <c r="AEB93" s="22"/>
      <c r="AEC93" s="22"/>
      <c r="AED93" s="22"/>
      <c r="AEE93" s="22"/>
      <c r="AEF93" s="22"/>
      <c r="AEG93" s="22"/>
      <c r="AEH93" s="22"/>
      <c r="AEI93" s="22"/>
      <c r="AEJ93" s="22"/>
      <c r="AEK93" s="22"/>
      <c r="AEL93" s="22"/>
      <c r="AEM93" s="22"/>
      <c r="AEN93" s="22"/>
      <c r="AEO93" s="22"/>
      <c r="AEP93" s="22"/>
      <c r="AEQ93" s="22"/>
      <c r="AER93" s="22"/>
      <c r="AES93" s="22"/>
      <c r="AET93" s="22"/>
      <c r="AEU93" s="22"/>
      <c r="AEV93" s="22"/>
      <c r="AEW93" s="22"/>
      <c r="AEX93" s="22"/>
      <c r="AEY93" s="22"/>
      <c r="AEZ93" s="22"/>
      <c r="AFA93" s="22"/>
      <c r="AFB93" s="22"/>
      <c r="AFC93" s="22"/>
      <c r="AFD93" s="22"/>
      <c r="AFE93" s="22"/>
      <c r="AFF93" s="22"/>
      <c r="AFG93" s="22"/>
      <c r="AFH93" s="22"/>
      <c r="AFI93" s="22"/>
      <c r="AFJ93" s="22"/>
      <c r="AFK93" s="22"/>
      <c r="AFL93" s="22"/>
      <c r="AFM93" s="22"/>
      <c r="AFN93" s="22"/>
      <c r="AFO93" s="22"/>
      <c r="AFP93" s="22"/>
      <c r="AFQ93" s="22"/>
      <c r="AFR93" s="22"/>
      <c r="AFS93" s="22"/>
      <c r="AFT93" s="22"/>
      <c r="AFU93" s="22"/>
      <c r="AFV93" s="22"/>
      <c r="AFW93" s="22"/>
      <c r="AFX93" s="22"/>
      <c r="AFY93" s="22"/>
      <c r="AFZ93" s="22"/>
      <c r="AGA93" s="22"/>
      <c r="AGB93" s="22"/>
      <c r="AGC93" s="22"/>
      <c r="AGD93" s="22"/>
      <c r="AGE93" s="22"/>
      <c r="AGF93" s="22"/>
      <c r="AGG93" s="22"/>
      <c r="AGH93" s="22"/>
      <c r="AGI93" s="22"/>
      <c r="AGJ93" s="22"/>
      <c r="AGK93" s="22"/>
      <c r="AGL93" s="22"/>
      <c r="AGM93" s="22"/>
      <c r="AGN93" s="22"/>
      <c r="AGO93" s="22"/>
      <c r="AGP93" s="22"/>
      <c r="AGQ93" s="22"/>
      <c r="AGR93" s="22"/>
      <c r="AGS93" s="22"/>
      <c r="AGT93" s="22"/>
      <c r="AGU93" s="22"/>
      <c r="AGV93" s="22"/>
      <c r="AGW93" s="22"/>
      <c r="AGX93" s="22"/>
      <c r="AGY93" s="22"/>
      <c r="AGZ93" s="22"/>
      <c r="AHA93" s="22"/>
      <c r="AHB93" s="22"/>
      <c r="AHC93" s="22"/>
      <c r="AHD93" s="22"/>
      <c r="AHE93" s="22"/>
      <c r="AHF93" s="22"/>
      <c r="AHG93" s="22"/>
      <c r="AHH93" s="22"/>
      <c r="AHI93" s="22"/>
      <c r="AHJ93" s="22"/>
      <c r="AHK93" s="22"/>
      <c r="AHL93" s="22"/>
      <c r="AHM93" s="22"/>
      <c r="AHN93" s="22"/>
      <c r="AHO93" s="22"/>
      <c r="AHP93" s="22"/>
      <c r="AHQ93" s="22"/>
      <c r="AHR93" s="22"/>
      <c r="AHS93" s="22"/>
      <c r="AHT93" s="22"/>
      <c r="AHU93" s="22"/>
      <c r="AHV93" s="22"/>
      <c r="AHW93" s="22"/>
      <c r="AHX93" s="22"/>
      <c r="AHY93" s="22"/>
      <c r="AHZ93" s="22"/>
      <c r="AIA93" s="22"/>
      <c r="AIB93" s="22"/>
      <c r="AIC93" s="22"/>
      <c r="AID93" s="22"/>
      <c r="AIE93" s="22"/>
      <c r="AIF93" s="22"/>
      <c r="AIG93" s="22"/>
      <c r="AIH93" s="22"/>
      <c r="AII93" s="22"/>
      <c r="AIJ93" s="22"/>
      <c r="AIK93" s="22"/>
      <c r="AIL93" s="22"/>
      <c r="AIM93" s="22"/>
      <c r="AIN93" s="22"/>
      <c r="AIO93" s="22"/>
      <c r="AIP93" s="22"/>
      <c r="AIQ93" s="22"/>
      <c r="AIR93" s="22"/>
      <c r="AIS93" s="22"/>
      <c r="AIT93" s="22"/>
      <c r="AIU93" s="22"/>
      <c r="AIV93" s="22"/>
      <c r="AIW93" s="22"/>
      <c r="AIX93" s="22"/>
      <c r="AIY93" s="22"/>
      <c r="AIZ93" s="22"/>
      <c r="AJA93" s="22"/>
      <c r="AJB93" s="22"/>
      <c r="AJC93" s="22"/>
      <c r="AJD93" s="22"/>
      <c r="AJE93" s="22"/>
      <c r="AJF93" s="22"/>
      <c r="AJG93" s="22"/>
      <c r="AJH93" s="22"/>
      <c r="AJI93" s="22"/>
      <c r="AJJ93" s="22"/>
      <c r="AJK93" s="22"/>
      <c r="AJL93" s="22"/>
      <c r="AJM93" s="22"/>
      <c r="AJN93" s="22"/>
      <c r="AJO93" s="22"/>
      <c r="AJP93" s="22"/>
      <c r="AJQ93" s="22"/>
      <c r="AJR93" s="22"/>
      <c r="AJS93" s="22"/>
      <c r="AJT93" s="22"/>
      <c r="AJU93" s="22"/>
      <c r="AJV93" s="22"/>
      <c r="AJW93" s="22"/>
      <c r="AJX93" s="22"/>
      <c r="AJY93" s="22"/>
      <c r="AJZ93" s="22"/>
      <c r="AKA93" s="22"/>
      <c r="AKB93" s="22"/>
      <c r="AKC93" s="22"/>
      <c r="AKD93" s="22"/>
      <c r="AKE93" s="22"/>
      <c r="AKF93" s="22"/>
      <c r="AKG93" s="22"/>
      <c r="AKH93" s="22"/>
      <c r="AKI93" s="22"/>
      <c r="AKJ93" s="22"/>
      <c r="AKK93" s="22"/>
      <c r="AKL93" s="22"/>
      <c r="AKM93" s="22"/>
      <c r="AKN93" s="22"/>
      <c r="AKO93" s="22"/>
      <c r="AKP93" s="22"/>
      <c r="AKQ93" s="22"/>
      <c r="AKR93" s="22"/>
      <c r="AKS93" s="22"/>
      <c r="AKT93" s="22"/>
      <c r="AKU93" s="22"/>
      <c r="AKV93" s="22"/>
      <c r="AKW93" s="22"/>
      <c r="AKX93" s="22"/>
      <c r="AKY93" s="22"/>
      <c r="AKZ93" s="22"/>
      <c r="ALA93" s="22"/>
      <c r="ALB93" s="22"/>
      <c r="ALC93" s="22"/>
      <c r="ALD93" s="22"/>
      <c r="ALE93" s="22"/>
      <c r="ALF93" s="22"/>
      <c r="ALG93" s="22"/>
      <c r="ALH93" s="22"/>
      <c r="ALI93" s="22"/>
      <c r="ALJ93" s="22"/>
      <c r="ALK93" s="22"/>
      <c r="ALL93" s="22"/>
      <c r="ALM93" s="22"/>
      <c r="ALN93" s="22"/>
      <c r="ALO93" s="22"/>
      <c r="ALP93" s="22"/>
      <c r="ALQ93" s="22"/>
      <c r="ALR93" s="22"/>
      <c r="ALS93" s="22"/>
      <c r="ALT93" s="22"/>
      <c r="ALU93" s="22"/>
      <c r="ALV93" s="22"/>
      <c r="ALW93" s="22"/>
      <c r="ALX93" s="22"/>
      <c r="ALY93" s="22"/>
      <c r="ALZ93" s="22"/>
      <c r="AMA93" s="22"/>
      <c r="AMB93" s="22"/>
      <c r="AMC93" s="22"/>
      <c r="AMD93" s="22"/>
      <c r="AME93" s="22"/>
      <c r="AMF93" s="22"/>
      <c r="AMG93" s="22"/>
      <c r="AMH93" s="22"/>
      <c r="AMI93" s="22"/>
      <c r="AMJ93" s="22"/>
      <c r="AMK93" s="22"/>
      <c r="AML93" s="22"/>
      <c r="AMM93" s="22"/>
      <c r="AMN93" s="22"/>
      <c r="AMO93" s="22"/>
      <c r="AMP93" s="22"/>
      <c r="AMQ93" s="22"/>
      <c r="AMR93" s="22"/>
      <c r="AMS93" s="22"/>
      <c r="AMT93" s="22"/>
      <c r="AMU93" s="22"/>
      <c r="AMV93" s="22"/>
      <c r="AMW93" s="22"/>
      <c r="AMX93" s="22"/>
      <c r="AMY93" s="22"/>
      <c r="AMZ93" s="22"/>
      <c r="ANA93" s="22"/>
      <c r="ANB93" s="22"/>
      <c r="ANC93" s="22"/>
      <c r="AND93" s="22"/>
      <c r="ANE93" s="22"/>
      <c r="ANF93" s="22"/>
      <c r="ANG93" s="22"/>
      <c r="ANH93" s="22"/>
      <c r="ANI93" s="22"/>
      <c r="ANJ93" s="22"/>
      <c r="ANK93" s="22"/>
      <c r="ANL93" s="22"/>
      <c r="ANM93" s="22"/>
      <c r="ANN93" s="22"/>
      <c r="ANO93" s="22"/>
      <c r="ANP93" s="22"/>
      <c r="ANQ93" s="22"/>
      <c r="ANR93" s="22"/>
      <c r="ANS93" s="22"/>
      <c r="ANT93" s="22"/>
      <c r="ANU93" s="22"/>
      <c r="ANV93" s="22"/>
      <c r="ANW93" s="22"/>
      <c r="ANX93" s="22"/>
      <c r="ANY93" s="22"/>
      <c r="ANZ93" s="22"/>
      <c r="AOA93" s="22"/>
      <c r="AOB93" s="22"/>
      <c r="AOC93" s="22"/>
      <c r="AOD93" s="22"/>
      <c r="AOE93" s="22"/>
      <c r="AOF93" s="22"/>
      <c r="AOG93" s="22"/>
      <c r="AOH93" s="22"/>
      <c r="AOI93" s="22"/>
      <c r="AOJ93" s="22"/>
      <c r="AOK93" s="22"/>
      <c r="AOL93" s="22"/>
      <c r="AOM93" s="22"/>
      <c r="AON93" s="22"/>
      <c r="AOO93" s="22"/>
      <c r="AOP93" s="22"/>
      <c r="AOQ93" s="22"/>
      <c r="AOR93" s="22"/>
      <c r="AOS93" s="22"/>
      <c r="AOT93" s="22"/>
      <c r="AOU93" s="22"/>
      <c r="AOV93" s="22"/>
      <c r="AOW93" s="22"/>
      <c r="AOX93" s="22"/>
      <c r="AOY93" s="22"/>
      <c r="AOZ93" s="22"/>
      <c r="APA93" s="22"/>
      <c r="APB93" s="22"/>
      <c r="APC93" s="22"/>
      <c r="APD93" s="22"/>
      <c r="APE93" s="22"/>
      <c r="APF93" s="22"/>
      <c r="APG93" s="22"/>
      <c r="APH93" s="22"/>
      <c r="API93" s="22"/>
      <c r="APJ93" s="22"/>
      <c r="APK93" s="22"/>
      <c r="APL93" s="22"/>
      <c r="APM93" s="22"/>
      <c r="APN93" s="22"/>
      <c r="APO93" s="22"/>
      <c r="APP93" s="22"/>
      <c r="APQ93" s="22"/>
      <c r="APR93" s="22"/>
      <c r="APS93" s="22"/>
      <c r="APT93" s="22"/>
      <c r="APU93" s="22"/>
      <c r="APV93" s="22"/>
      <c r="APW93" s="22"/>
      <c r="APX93" s="22"/>
      <c r="APY93" s="22"/>
      <c r="APZ93" s="22"/>
      <c r="AQA93" s="22"/>
      <c r="AQB93" s="22"/>
      <c r="AQC93" s="22"/>
      <c r="AQD93" s="22"/>
      <c r="AQE93" s="22"/>
      <c r="AQF93" s="22"/>
      <c r="AQG93" s="22"/>
      <c r="AQH93" s="22"/>
      <c r="AQI93" s="22"/>
      <c r="AQJ93" s="22"/>
      <c r="AQK93" s="22"/>
      <c r="AQL93" s="22"/>
      <c r="AQM93" s="22"/>
      <c r="AQN93" s="22"/>
      <c r="AQO93" s="22"/>
      <c r="AQP93" s="22"/>
      <c r="AQQ93" s="22"/>
      <c r="AQR93" s="22"/>
      <c r="AQS93" s="22"/>
      <c r="AQT93" s="22"/>
      <c r="AQU93" s="22"/>
      <c r="AQV93" s="22"/>
      <c r="AQW93" s="22"/>
      <c r="AQX93" s="22"/>
      <c r="AQY93" s="22"/>
      <c r="AQZ93" s="22"/>
      <c r="ARA93" s="22"/>
      <c r="ARB93" s="22"/>
      <c r="ARC93" s="22"/>
      <c r="ARD93" s="22"/>
      <c r="ARE93" s="22"/>
      <c r="ARF93" s="22"/>
      <c r="ARG93" s="22"/>
      <c r="ARH93" s="22"/>
      <c r="ARI93" s="22"/>
      <c r="ARJ93" s="22"/>
      <c r="ARK93" s="22"/>
      <c r="ARL93" s="22"/>
      <c r="ARM93" s="22"/>
      <c r="ARN93" s="22"/>
      <c r="ARO93" s="22"/>
      <c r="ARP93" s="22"/>
      <c r="ARQ93" s="22"/>
      <c r="ARR93" s="22"/>
      <c r="ARS93" s="22"/>
      <c r="ART93" s="22"/>
      <c r="ARU93" s="22"/>
      <c r="ARV93" s="22"/>
      <c r="ARW93" s="22"/>
      <c r="ARX93" s="22"/>
      <c r="ARY93" s="22"/>
      <c r="ARZ93" s="22"/>
      <c r="ASA93" s="22"/>
      <c r="ASB93" s="22"/>
      <c r="ASC93" s="22"/>
      <c r="ASD93" s="22"/>
      <c r="ASE93" s="22"/>
      <c r="ASF93" s="22"/>
      <c r="ASG93" s="22"/>
      <c r="ASH93" s="22"/>
      <c r="ASI93" s="22"/>
      <c r="ASJ93" s="22"/>
      <c r="ASK93" s="22"/>
      <c r="ASL93" s="22"/>
      <c r="ASM93" s="22"/>
      <c r="ASN93" s="22"/>
      <c r="ASO93" s="22"/>
      <c r="ASP93" s="22"/>
      <c r="ASQ93" s="22"/>
      <c r="ASR93" s="22"/>
      <c r="ASS93" s="22"/>
      <c r="AST93" s="22"/>
      <c r="ASU93" s="22"/>
      <c r="ASV93" s="22"/>
      <c r="ASW93" s="22"/>
      <c r="ASX93" s="22"/>
      <c r="ASY93" s="22"/>
      <c r="ASZ93" s="22"/>
      <c r="ATA93" s="22"/>
      <c r="ATB93" s="22"/>
      <c r="ATC93" s="22"/>
      <c r="ATD93" s="22"/>
      <c r="ATE93" s="22"/>
      <c r="ATF93" s="22"/>
      <c r="ATG93" s="22"/>
      <c r="ATH93" s="22"/>
      <c r="ATI93" s="22"/>
      <c r="ATJ93" s="22"/>
      <c r="ATK93" s="22"/>
      <c r="ATL93" s="22"/>
      <c r="ATM93" s="22"/>
      <c r="ATN93" s="22"/>
      <c r="ATO93" s="22"/>
      <c r="ATP93" s="22"/>
      <c r="ATQ93" s="22"/>
      <c r="ATR93" s="22"/>
      <c r="ATS93" s="22"/>
      <c r="ATT93" s="22"/>
      <c r="ATU93" s="22"/>
      <c r="ATV93" s="22"/>
      <c r="ATW93" s="22"/>
      <c r="ATX93" s="22"/>
      <c r="ATY93" s="22"/>
      <c r="ATZ93" s="22"/>
      <c r="AUA93" s="22"/>
      <c r="AUB93" s="22"/>
      <c r="AUC93" s="22"/>
      <c r="AUD93" s="22"/>
      <c r="AUE93" s="22"/>
      <c r="AUF93" s="22"/>
      <c r="AUG93" s="22"/>
      <c r="AUH93" s="22"/>
      <c r="AUI93" s="22"/>
      <c r="AUJ93" s="22"/>
      <c r="AUK93" s="22"/>
      <c r="AUL93" s="22"/>
      <c r="AUM93" s="22"/>
      <c r="AUN93" s="22"/>
      <c r="AUO93" s="22"/>
      <c r="AUP93" s="22"/>
      <c r="AUQ93" s="22"/>
      <c r="AUR93" s="22"/>
      <c r="AUS93" s="22"/>
      <c r="AUT93" s="22"/>
      <c r="AUU93" s="22"/>
      <c r="AUV93" s="22"/>
      <c r="AUW93" s="22"/>
      <c r="AUX93" s="22"/>
      <c r="AUY93" s="22"/>
      <c r="AUZ93" s="22"/>
      <c r="AVA93" s="22"/>
      <c r="AVB93" s="22"/>
      <c r="AVC93" s="22"/>
      <c r="AVD93" s="22"/>
      <c r="AVE93" s="22"/>
      <c r="AVF93" s="22"/>
      <c r="AVG93" s="22"/>
      <c r="AVH93" s="22"/>
      <c r="AVI93" s="22"/>
      <c r="AVJ93" s="22"/>
      <c r="AVK93" s="22"/>
      <c r="AVL93" s="22"/>
      <c r="AVM93" s="22"/>
      <c r="AVN93" s="22"/>
      <c r="AVO93" s="22"/>
      <c r="AVP93" s="22"/>
      <c r="AVQ93" s="22"/>
      <c r="AVR93" s="22"/>
      <c r="AVS93" s="22"/>
      <c r="AVT93" s="22"/>
      <c r="AVU93" s="22"/>
      <c r="AVV93" s="22"/>
      <c r="AVW93" s="22"/>
      <c r="AVX93" s="22"/>
      <c r="AVY93" s="22"/>
      <c r="AVZ93" s="22"/>
      <c r="AWA93" s="22"/>
      <c r="AWB93" s="22"/>
      <c r="AWC93" s="22"/>
      <c r="AWD93" s="22"/>
      <c r="AWE93" s="22"/>
      <c r="AWF93" s="22"/>
      <c r="AWG93" s="22"/>
      <c r="AWH93" s="22"/>
      <c r="AWI93" s="22"/>
      <c r="AWJ93" s="22"/>
      <c r="AWK93" s="22"/>
      <c r="AWL93" s="22"/>
      <c r="AWM93" s="22"/>
      <c r="AWN93" s="22"/>
      <c r="AWO93" s="22"/>
      <c r="AWP93" s="22"/>
      <c r="AWQ93" s="22"/>
      <c r="AWR93" s="22"/>
      <c r="AWS93" s="22"/>
      <c r="AWT93" s="22"/>
      <c r="AWU93" s="22"/>
      <c r="AWV93" s="22"/>
      <c r="AWW93" s="22"/>
      <c r="AWX93" s="22"/>
      <c r="AWY93" s="22"/>
      <c r="AWZ93" s="22"/>
      <c r="AXA93" s="22"/>
      <c r="AXB93" s="22"/>
      <c r="AXC93" s="22"/>
      <c r="AXD93" s="22"/>
      <c r="AXE93" s="22"/>
      <c r="AXF93" s="22"/>
      <c r="AXG93" s="22"/>
      <c r="AXH93" s="22"/>
      <c r="AXI93" s="22"/>
      <c r="AXJ93" s="22"/>
      <c r="AXK93" s="22"/>
      <c r="AXL93" s="22"/>
      <c r="AXM93" s="22"/>
      <c r="AXN93" s="22"/>
      <c r="AXO93" s="22"/>
      <c r="AXP93" s="22"/>
      <c r="AXQ93" s="22"/>
      <c r="AXR93" s="22"/>
      <c r="AXS93" s="22"/>
      <c r="AXT93" s="22"/>
      <c r="AXU93" s="22"/>
      <c r="AXV93" s="22"/>
      <c r="AXW93" s="22"/>
      <c r="AXX93" s="22"/>
      <c r="AXY93" s="22"/>
      <c r="AXZ93" s="22"/>
      <c r="AYA93" s="22"/>
      <c r="AYB93" s="22"/>
      <c r="AYC93" s="22"/>
      <c r="AYD93" s="22"/>
      <c r="AYE93" s="22"/>
      <c r="AYF93" s="22"/>
      <c r="AYG93" s="22"/>
      <c r="AYH93" s="22"/>
      <c r="AYI93" s="22"/>
      <c r="AYJ93" s="22"/>
      <c r="AYK93" s="22"/>
      <c r="AYL93" s="22"/>
      <c r="AYM93" s="22"/>
      <c r="AYN93" s="22"/>
      <c r="AYO93" s="22"/>
      <c r="AYP93" s="22"/>
      <c r="AYQ93" s="22"/>
      <c r="AYR93" s="22"/>
      <c r="AYS93" s="22"/>
      <c r="AYT93" s="22"/>
      <c r="AYU93" s="22"/>
      <c r="AYV93" s="22"/>
      <c r="AYW93" s="22"/>
      <c r="AYX93" s="22"/>
      <c r="AYY93" s="22"/>
      <c r="AYZ93" s="22"/>
      <c r="AZA93" s="22"/>
      <c r="AZB93" s="22"/>
      <c r="AZC93" s="22"/>
      <c r="AZD93" s="22"/>
      <c r="AZE93" s="22"/>
      <c r="AZF93" s="22"/>
      <c r="AZG93" s="22"/>
      <c r="AZH93" s="22"/>
      <c r="AZI93" s="22"/>
      <c r="AZJ93" s="22"/>
      <c r="AZK93" s="22"/>
      <c r="AZL93" s="22"/>
      <c r="AZM93" s="22"/>
      <c r="AZN93" s="22"/>
      <c r="AZO93" s="22"/>
      <c r="AZP93" s="22"/>
      <c r="AZQ93" s="22"/>
      <c r="AZR93" s="22"/>
      <c r="AZS93" s="22"/>
      <c r="AZT93" s="22"/>
      <c r="AZU93" s="22"/>
      <c r="AZV93" s="22"/>
      <c r="AZW93" s="22"/>
      <c r="AZX93" s="22"/>
      <c r="AZY93" s="22"/>
      <c r="AZZ93" s="22"/>
      <c r="BAA93" s="22"/>
      <c r="BAB93" s="22"/>
      <c r="BAC93" s="22"/>
      <c r="BAD93" s="22"/>
      <c r="BAE93" s="22"/>
      <c r="BAF93" s="22"/>
      <c r="BAG93" s="22"/>
      <c r="BAH93" s="22"/>
      <c r="BAI93" s="22"/>
      <c r="BAJ93" s="22"/>
      <c r="BAK93" s="22"/>
      <c r="BAL93" s="22"/>
      <c r="BAM93" s="22"/>
      <c r="BAN93" s="22"/>
      <c r="BAO93" s="22"/>
      <c r="BAP93" s="22"/>
      <c r="BAQ93" s="22"/>
      <c r="BAR93" s="22"/>
      <c r="BAS93" s="22"/>
      <c r="BAT93" s="22"/>
      <c r="BAU93" s="22"/>
      <c r="BAV93" s="22"/>
      <c r="BAW93" s="22"/>
      <c r="BAX93" s="22"/>
      <c r="BAY93" s="22"/>
      <c r="BAZ93" s="22"/>
      <c r="BBA93" s="22"/>
      <c r="BBB93" s="22"/>
      <c r="BBC93" s="22"/>
      <c r="BBD93" s="22"/>
      <c r="BBE93" s="22"/>
      <c r="BBF93" s="22"/>
      <c r="BBG93" s="22"/>
      <c r="BBH93" s="22"/>
      <c r="BBI93" s="22"/>
      <c r="BBJ93" s="22"/>
      <c r="BBK93" s="22"/>
      <c r="BBL93" s="22"/>
      <c r="BBM93" s="22"/>
      <c r="BBN93" s="22"/>
      <c r="BBO93" s="22"/>
      <c r="BBP93" s="22"/>
      <c r="BBQ93" s="22"/>
      <c r="BBR93" s="22"/>
      <c r="BBS93" s="22"/>
      <c r="BBT93" s="22"/>
      <c r="BBU93" s="22"/>
      <c r="BBV93" s="22"/>
      <c r="BBW93" s="22"/>
      <c r="BBX93" s="22"/>
      <c r="BBY93" s="22"/>
      <c r="BBZ93" s="22"/>
      <c r="BCA93" s="22"/>
      <c r="BCB93" s="22"/>
      <c r="BCC93" s="22"/>
      <c r="BCD93" s="22"/>
      <c r="BCE93" s="22"/>
      <c r="BCF93" s="22"/>
      <c r="BCG93" s="22"/>
      <c r="BCH93" s="22"/>
      <c r="BCI93" s="22"/>
      <c r="BCJ93" s="22"/>
      <c r="BCK93" s="22"/>
      <c r="BCL93" s="22"/>
      <c r="BCM93" s="22"/>
      <c r="BCN93" s="22"/>
      <c r="BCO93" s="22"/>
      <c r="BCP93" s="22"/>
      <c r="BCQ93" s="22"/>
      <c r="BCR93" s="22"/>
      <c r="BCS93" s="22"/>
      <c r="BCT93" s="22"/>
      <c r="BCU93" s="22"/>
      <c r="BCV93" s="22"/>
      <c r="BCW93" s="22"/>
      <c r="BCX93" s="22"/>
      <c r="BCY93" s="22"/>
      <c r="BCZ93" s="22"/>
      <c r="BDA93" s="22"/>
      <c r="BDB93" s="22"/>
      <c r="BDC93" s="22"/>
      <c r="BDD93" s="22"/>
      <c r="BDE93" s="22"/>
      <c r="BDF93" s="22"/>
      <c r="BDG93" s="22"/>
      <c r="BDH93" s="22"/>
      <c r="BDI93" s="22"/>
      <c r="BDJ93" s="22"/>
      <c r="BDK93" s="22"/>
      <c r="BDL93" s="22"/>
      <c r="BDM93" s="22"/>
      <c r="BDN93" s="22"/>
      <c r="BDO93" s="22"/>
      <c r="BDP93" s="22"/>
      <c r="BDQ93" s="22"/>
      <c r="BDR93" s="22"/>
      <c r="BDS93" s="22"/>
      <c r="BDT93" s="22"/>
      <c r="BDU93" s="22"/>
      <c r="BDV93" s="22"/>
      <c r="BDW93" s="22"/>
      <c r="BDX93" s="22"/>
      <c r="BDY93" s="22"/>
      <c r="BDZ93" s="22"/>
      <c r="BEA93" s="22"/>
      <c r="BEB93" s="22"/>
      <c r="BEC93" s="22"/>
      <c r="BED93" s="22"/>
      <c r="BEE93" s="22"/>
      <c r="BEF93" s="22"/>
      <c r="BEG93" s="22"/>
      <c r="BEH93" s="22"/>
      <c r="BEI93" s="22"/>
      <c r="BEJ93" s="22"/>
      <c r="BEK93" s="22"/>
      <c r="BEL93" s="22"/>
      <c r="BEM93" s="22"/>
      <c r="BEN93" s="22"/>
      <c r="BEO93" s="22"/>
      <c r="BEP93" s="22"/>
      <c r="BEQ93" s="22"/>
      <c r="BER93" s="22"/>
      <c r="BES93" s="22"/>
      <c r="BET93" s="22"/>
      <c r="BEU93" s="22"/>
      <c r="BEV93" s="22"/>
      <c r="BEW93" s="22"/>
      <c r="BEX93" s="22"/>
      <c r="BEY93" s="22"/>
      <c r="BEZ93" s="22"/>
      <c r="BFA93" s="22"/>
      <c r="BFB93" s="22"/>
      <c r="BFC93" s="22"/>
      <c r="BFD93" s="22"/>
      <c r="BFE93" s="22"/>
      <c r="BFF93" s="22"/>
      <c r="BFG93" s="22"/>
      <c r="BFH93" s="22"/>
      <c r="BFI93" s="22"/>
      <c r="BFJ93" s="22"/>
      <c r="BFK93" s="22"/>
      <c r="BFL93" s="22"/>
      <c r="BFM93" s="22"/>
      <c r="BFN93" s="22"/>
      <c r="BFO93" s="22"/>
      <c r="BFP93" s="22"/>
      <c r="BFQ93" s="22"/>
      <c r="BFR93" s="22"/>
      <c r="BFS93" s="22"/>
      <c r="BFT93" s="22"/>
      <c r="BFU93" s="22"/>
      <c r="BFV93" s="22"/>
      <c r="BFW93" s="22"/>
    </row>
    <row r="94" spans="1:1531" s="181" customFormat="1" ht="46.15" customHeight="1" x14ac:dyDescent="0.2">
      <c r="A94" s="261" t="s">
        <v>468</v>
      </c>
      <c r="B94" s="249"/>
      <c r="C94" s="88" t="s">
        <v>498</v>
      </c>
      <c r="D94" s="249"/>
      <c r="E94" s="249" t="s">
        <v>743</v>
      </c>
      <c r="F94" s="249"/>
      <c r="G94" s="249" t="s">
        <v>476</v>
      </c>
      <c r="H94" s="141"/>
      <c r="I94" s="245">
        <v>349</v>
      </c>
      <c r="J94" s="143"/>
      <c r="K94" s="88" t="s">
        <v>110</v>
      </c>
      <c r="L94" s="143"/>
      <c r="M94" s="143"/>
      <c r="N94" s="143"/>
      <c r="O94" s="143">
        <v>2015</v>
      </c>
      <c r="P94" s="129" t="s">
        <v>680</v>
      </c>
      <c r="Q94" s="143"/>
      <c r="R94" s="143"/>
      <c r="S94" s="246"/>
      <c r="T94" s="143"/>
      <c r="U94" s="143"/>
      <c r="V94" s="143"/>
      <c r="W94" s="143"/>
      <c r="X94" s="143"/>
      <c r="Y94" s="247"/>
      <c r="Z94" s="143"/>
      <c r="AA94" s="246"/>
      <c r="AB94" s="143"/>
      <c r="AC94" s="143"/>
      <c r="AD94" s="143"/>
      <c r="AE94" s="143"/>
      <c r="AF94" s="143"/>
      <c r="AG94" s="143"/>
      <c r="AH94" s="143"/>
      <c r="AI94" s="143"/>
      <c r="AJ94" s="143"/>
      <c r="AK94" s="143"/>
      <c r="AL94" s="143">
        <v>17</v>
      </c>
      <c r="AM94" s="143"/>
      <c r="AN94" s="248">
        <v>5933</v>
      </c>
      <c r="AP94" s="473">
        <v>18</v>
      </c>
      <c r="AQ94" s="486">
        <v>6282</v>
      </c>
      <c r="AT94" s="491">
        <v>349</v>
      </c>
      <c r="AU94" s="481" t="s">
        <v>713</v>
      </c>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c r="FO94" s="22"/>
      <c r="FP94" s="22"/>
      <c r="FQ94" s="22"/>
      <c r="FR94" s="22"/>
      <c r="FS94" s="22"/>
      <c r="FT94" s="22"/>
      <c r="FU94" s="22"/>
      <c r="FV94" s="22"/>
      <c r="FW94" s="22"/>
      <c r="FX94" s="22"/>
      <c r="FY94" s="22"/>
      <c r="FZ94" s="22"/>
      <c r="GA94" s="22"/>
      <c r="GB94" s="22"/>
      <c r="GC94" s="22"/>
      <c r="GD94" s="22"/>
      <c r="GE94" s="22"/>
      <c r="GF94" s="22"/>
      <c r="GG94" s="22"/>
      <c r="GH94" s="22"/>
      <c r="GI94" s="22"/>
      <c r="GJ94" s="22"/>
      <c r="GK94" s="22"/>
      <c r="GL94" s="22"/>
      <c r="GM94" s="22"/>
      <c r="GN94" s="22"/>
      <c r="GO94" s="22"/>
      <c r="GP94" s="22"/>
      <c r="GQ94" s="22"/>
      <c r="GR94" s="22"/>
      <c r="GS94" s="22"/>
      <c r="GT94" s="22"/>
      <c r="GU94" s="22"/>
      <c r="GV94" s="22"/>
      <c r="GW94" s="22"/>
      <c r="GX94" s="22"/>
      <c r="GY94" s="22"/>
      <c r="GZ94" s="22"/>
      <c r="HA94" s="22"/>
      <c r="HB94" s="22"/>
      <c r="HC94" s="22"/>
      <c r="HD94" s="22"/>
      <c r="HE94" s="22"/>
      <c r="HF94" s="22"/>
      <c r="HG94" s="22"/>
      <c r="HH94" s="22"/>
      <c r="HI94" s="22"/>
      <c r="HJ94" s="22"/>
      <c r="HK94" s="22"/>
      <c r="HL94" s="22"/>
      <c r="HM94" s="22"/>
      <c r="HN94" s="22"/>
      <c r="HO94" s="22"/>
      <c r="HP94" s="22"/>
      <c r="HQ94" s="22"/>
      <c r="HR94" s="22"/>
      <c r="HS94" s="22"/>
      <c r="HT94" s="22"/>
      <c r="HU94" s="22"/>
      <c r="HV94" s="22"/>
      <c r="HW94" s="22"/>
      <c r="HX94" s="22"/>
      <c r="HY94" s="22"/>
      <c r="HZ94" s="22"/>
      <c r="IA94" s="22"/>
      <c r="IB94" s="22"/>
      <c r="IC94" s="22"/>
      <c r="ID94" s="22"/>
      <c r="IE94" s="22"/>
      <c r="IF94" s="22"/>
      <c r="IG94" s="22"/>
      <c r="IH94" s="22"/>
      <c r="II94" s="22"/>
      <c r="IJ94" s="22"/>
      <c r="IK94" s="22"/>
      <c r="IL94" s="22"/>
      <c r="IM94" s="22"/>
      <c r="IN94" s="22"/>
      <c r="IO94" s="22"/>
      <c r="IP94" s="22"/>
      <c r="IQ94" s="22"/>
      <c r="IR94" s="22"/>
      <c r="IS94" s="22"/>
      <c r="IT94" s="22"/>
      <c r="IU94" s="22"/>
      <c r="IV94" s="22"/>
      <c r="IW94" s="22"/>
      <c r="IX94" s="22"/>
      <c r="IY94" s="22"/>
      <c r="IZ94" s="22"/>
      <c r="JA94" s="22"/>
      <c r="JB94" s="22"/>
      <c r="JC94" s="22"/>
      <c r="JD94" s="22"/>
      <c r="JE94" s="22"/>
      <c r="JF94" s="22"/>
      <c r="JG94" s="22"/>
      <c r="JH94" s="22"/>
      <c r="JI94" s="22"/>
      <c r="JJ94" s="22"/>
      <c r="JK94" s="22"/>
      <c r="JL94" s="22"/>
      <c r="JM94" s="22"/>
      <c r="JN94" s="22"/>
      <c r="JO94" s="22"/>
      <c r="JP94" s="22"/>
      <c r="JQ94" s="22"/>
      <c r="JR94" s="22"/>
      <c r="JS94" s="22"/>
      <c r="JT94" s="22"/>
      <c r="JU94" s="22"/>
      <c r="JV94" s="22"/>
      <c r="JW94" s="22"/>
      <c r="JX94" s="22"/>
      <c r="JY94" s="22"/>
      <c r="JZ94" s="22"/>
      <c r="KA94" s="22"/>
      <c r="KB94" s="22"/>
      <c r="KC94" s="22"/>
      <c r="KD94" s="22"/>
      <c r="KE94" s="22"/>
      <c r="KF94" s="22"/>
      <c r="KG94" s="22"/>
      <c r="KH94" s="22"/>
      <c r="KI94" s="22"/>
      <c r="KJ94" s="22"/>
      <c r="KK94" s="22"/>
      <c r="KL94" s="22"/>
      <c r="KM94" s="22"/>
      <c r="KN94" s="22"/>
      <c r="KO94" s="22"/>
      <c r="KP94" s="22"/>
      <c r="KQ94" s="22"/>
      <c r="KR94" s="22"/>
      <c r="KS94" s="22"/>
      <c r="KT94" s="22"/>
      <c r="KU94" s="22"/>
      <c r="KV94" s="22"/>
      <c r="KW94" s="22"/>
      <c r="KX94" s="22"/>
      <c r="KY94" s="22"/>
      <c r="KZ94" s="22"/>
      <c r="LA94" s="22"/>
      <c r="LB94" s="22"/>
      <c r="LC94" s="22"/>
      <c r="LD94" s="22"/>
      <c r="LE94" s="22"/>
      <c r="LF94" s="22"/>
      <c r="LG94" s="22"/>
      <c r="LH94" s="22"/>
      <c r="LI94" s="22"/>
      <c r="LJ94" s="22"/>
      <c r="LK94" s="22"/>
      <c r="LL94" s="22"/>
      <c r="LM94" s="22"/>
      <c r="LN94" s="22"/>
      <c r="LO94" s="22"/>
      <c r="LP94" s="22"/>
      <c r="LQ94" s="22"/>
      <c r="LR94" s="22"/>
      <c r="LS94" s="22"/>
      <c r="LT94" s="22"/>
      <c r="LU94" s="22"/>
      <c r="LV94" s="22"/>
      <c r="LW94" s="22"/>
      <c r="LX94" s="22"/>
      <c r="LY94" s="22"/>
      <c r="LZ94" s="22"/>
      <c r="MA94" s="22"/>
      <c r="MB94" s="22"/>
      <c r="MC94" s="22"/>
      <c r="MD94" s="22"/>
      <c r="ME94" s="22"/>
      <c r="MF94" s="22"/>
      <c r="MG94" s="22"/>
      <c r="MH94" s="22"/>
      <c r="MI94" s="22"/>
      <c r="MJ94" s="22"/>
      <c r="MK94" s="22"/>
      <c r="ML94" s="22"/>
      <c r="MM94" s="22"/>
      <c r="MN94" s="22"/>
      <c r="MO94" s="22"/>
      <c r="MP94" s="22"/>
      <c r="MQ94" s="22"/>
      <c r="MR94" s="22"/>
      <c r="MS94" s="22"/>
      <c r="MT94" s="22"/>
      <c r="MU94" s="22"/>
      <c r="MV94" s="22"/>
      <c r="MW94" s="22"/>
      <c r="MX94" s="22"/>
      <c r="MY94" s="22"/>
      <c r="MZ94" s="22"/>
      <c r="NA94" s="22"/>
      <c r="NB94" s="22"/>
      <c r="NC94" s="22"/>
      <c r="ND94" s="22"/>
      <c r="NE94" s="22"/>
      <c r="NF94" s="22"/>
      <c r="NG94" s="22"/>
      <c r="NH94" s="22"/>
      <c r="NI94" s="22"/>
      <c r="NJ94" s="22"/>
      <c r="NK94" s="22"/>
      <c r="NL94" s="22"/>
      <c r="NM94" s="22"/>
      <c r="NN94" s="22"/>
      <c r="NO94" s="22"/>
      <c r="NP94" s="22"/>
      <c r="NQ94" s="22"/>
      <c r="NR94" s="22"/>
      <c r="NS94" s="22"/>
      <c r="NT94" s="22"/>
      <c r="NU94" s="22"/>
      <c r="NV94" s="22"/>
      <c r="NW94" s="22"/>
      <c r="NX94" s="22"/>
      <c r="NY94" s="22"/>
      <c r="NZ94" s="22"/>
      <c r="OA94" s="22"/>
      <c r="OB94" s="22"/>
      <c r="OC94" s="22"/>
      <c r="OD94" s="22"/>
      <c r="OE94" s="22"/>
      <c r="OF94" s="22"/>
      <c r="OG94" s="22"/>
      <c r="OH94" s="22"/>
      <c r="OI94" s="22"/>
      <c r="OJ94" s="22"/>
      <c r="OK94" s="22"/>
      <c r="OL94" s="22"/>
      <c r="OM94" s="22"/>
      <c r="ON94" s="22"/>
      <c r="OO94" s="22"/>
      <c r="OP94" s="22"/>
      <c r="OQ94" s="22"/>
      <c r="OR94" s="22"/>
      <c r="OS94" s="22"/>
      <c r="OT94" s="22"/>
      <c r="OU94" s="22"/>
      <c r="OV94" s="22"/>
      <c r="OW94" s="22"/>
      <c r="OX94" s="22"/>
      <c r="OY94" s="22"/>
      <c r="OZ94" s="22"/>
      <c r="PA94" s="22"/>
      <c r="PB94" s="22"/>
      <c r="PC94" s="22"/>
      <c r="PD94" s="22"/>
      <c r="PE94" s="22"/>
      <c r="PF94" s="22"/>
      <c r="PG94" s="22"/>
      <c r="PH94" s="22"/>
      <c r="PI94" s="22"/>
      <c r="PJ94" s="22"/>
      <c r="PK94" s="22"/>
      <c r="PL94" s="22"/>
      <c r="PM94" s="22"/>
      <c r="PN94" s="22"/>
      <c r="PO94" s="22"/>
      <c r="PP94" s="22"/>
      <c r="PQ94" s="22"/>
      <c r="PR94" s="22"/>
      <c r="PS94" s="22"/>
      <c r="PT94" s="22"/>
      <c r="PU94" s="22"/>
      <c r="PV94" s="22"/>
      <c r="PW94" s="22"/>
      <c r="PX94" s="22"/>
      <c r="PY94" s="22"/>
      <c r="PZ94" s="22"/>
      <c r="QA94" s="22"/>
      <c r="QB94" s="22"/>
      <c r="QC94" s="22"/>
      <c r="QD94" s="22"/>
      <c r="QE94" s="22"/>
      <c r="QF94" s="22"/>
      <c r="QG94" s="22"/>
      <c r="QH94" s="22"/>
      <c r="QI94" s="22"/>
      <c r="QJ94" s="22"/>
      <c r="QK94" s="22"/>
      <c r="QL94" s="22"/>
      <c r="QM94" s="22"/>
      <c r="QN94" s="22"/>
      <c r="QO94" s="22"/>
      <c r="QP94" s="22"/>
      <c r="QQ94" s="22"/>
      <c r="QR94" s="22"/>
      <c r="QS94" s="22"/>
      <c r="QT94" s="22"/>
      <c r="QU94" s="22"/>
      <c r="QV94" s="22"/>
      <c r="QW94" s="22"/>
      <c r="QX94" s="22"/>
      <c r="QY94" s="22"/>
      <c r="QZ94" s="22"/>
      <c r="RA94" s="22"/>
      <c r="RB94" s="22"/>
      <c r="RC94" s="22"/>
      <c r="RD94" s="22"/>
      <c r="RE94" s="22"/>
      <c r="RF94" s="22"/>
      <c r="RG94" s="22"/>
      <c r="RH94" s="22"/>
      <c r="RI94" s="22"/>
      <c r="RJ94" s="22"/>
      <c r="RK94" s="22"/>
      <c r="RL94" s="22"/>
      <c r="RM94" s="22"/>
      <c r="RN94" s="22"/>
      <c r="RO94" s="22"/>
      <c r="RP94" s="22"/>
      <c r="RQ94" s="22"/>
      <c r="RR94" s="22"/>
      <c r="RS94" s="22"/>
      <c r="RT94" s="22"/>
      <c r="RU94" s="22"/>
      <c r="RV94" s="22"/>
      <c r="RW94" s="22"/>
      <c r="RX94" s="22"/>
      <c r="RY94" s="22"/>
      <c r="RZ94" s="22"/>
      <c r="SA94" s="22"/>
      <c r="SB94" s="22"/>
      <c r="SC94" s="22"/>
      <c r="SD94" s="22"/>
      <c r="SE94" s="22"/>
      <c r="SF94" s="22"/>
      <c r="SG94" s="22"/>
      <c r="SH94" s="22"/>
      <c r="SI94" s="22"/>
      <c r="SJ94" s="22"/>
      <c r="SK94" s="22"/>
      <c r="SL94" s="22"/>
      <c r="SM94" s="22"/>
      <c r="SN94" s="22"/>
      <c r="SO94" s="22"/>
      <c r="SP94" s="22"/>
      <c r="SQ94" s="22"/>
      <c r="SR94" s="22"/>
      <c r="SS94" s="22"/>
      <c r="ST94" s="22"/>
      <c r="SU94" s="22"/>
      <c r="SV94" s="22"/>
      <c r="SW94" s="22"/>
      <c r="SX94" s="22"/>
      <c r="SY94" s="22"/>
      <c r="SZ94" s="22"/>
      <c r="TA94" s="22"/>
      <c r="TB94" s="22"/>
      <c r="TC94" s="22"/>
      <c r="TD94" s="22"/>
      <c r="TE94" s="22"/>
      <c r="TF94" s="22"/>
      <c r="TG94" s="22"/>
      <c r="TH94" s="22"/>
      <c r="TI94" s="22"/>
      <c r="TJ94" s="22"/>
      <c r="TK94" s="22"/>
      <c r="TL94" s="22"/>
      <c r="TM94" s="22"/>
      <c r="TN94" s="22"/>
      <c r="TO94" s="22"/>
      <c r="TP94" s="22"/>
      <c r="TQ94" s="22"/>
      <c r="TR94" s="22"/>
      <c r="TS94" s="22"/>
      <c r="TT94" s="22"/>
      <c r="TU94" s="22"/>
      <c r="TV94" s="22"/>
      <c r="TW94" s="22"/>
      <c r="TX94" s="22"/>
      <c r="TY94" s="22"/>
      <c r="TZ94" s="22"/>
      <c r="UA94" s="22"/>
      <c r="UB94" s="22"/>
      <c r="UC94" s="22"/>
      <c r="UD94" s="22"/>
      <c r="UE94" s="22"/>
      <c r="UF94" s="22"/>
      <c r="UG94" s="22"/>
      <c r="UH94" s="22"/>
      <c r="UI94" s="22"/>
      <c r="UJ94" s="22"/>
      <c r="UK94" s="22"/>
      <c r="UL94" s="22"/>
      <c r="UM94" s="22"/>
      <c r="UN94" s="22"/>
      <c r="UO94" s="22"/>
      <c r="UP94" s="22"/>
      <c r="UQ94" s="22"/>
      <c r="UR94" s="22"/>
      <c r="US94" s="22"/>
      <c r="UT94" s="22"/>
      <c r="UU94" s="22"/>
      <c r="UV94" s="22"/>
      <c r="UW94" s="22"/>
      <c r="UX94" s="22"/>
      <c r="UY94" s="22"/>
      <c r="UZ94" s="22"/>
      <c r="VA94" s="22"/>
      <c r="VB94" s="22"/>
      <c r="VC94" s="22"/>
      <c r="VD94" s="22"/>
      <c r="VE94" s="22"/>
      <c r="VF94" s="22"/>
      <c r="VG94" s="22"/>
      <c r="VH94" s="22"/>
      <c r="VI94" s="22"/>
      <c r="VJ94" s="22"/>
      <c r="VK94" s="22"/>
      <c r="VL94" s="22"/>
      <c r="VM94" s="22"/>
      <c r="VN94" s="22"/>
      <c r="VO94" s="22"/>
      <c r="VP94" s="22"/>
      <c r="VQ94" s="22"/>
      <c r="VR94" s="22"/>
      <c r="VS94" s="22"/>
      <c r="VT94" s="22"/>
      <c r="VU94" s="22"/>
      <c r="VV94" s="22"/>
      <c r="VW94" s="22"/>
      <c r="VX94" s="22"/>
      <c r="VY94" s="22"/>
      <c r="VZ94" s="22"/>
      <c r="WA94" s="22"/>
      <c r="WB94" s="22"/>
      <c r="WC94" s="22"/>
      <c r="WD94" s="22"/>
      <c r="WE94" s="22"/>
      <c r="WF94" s="22"/>
      <c r="WG94" s="22"/>
      <c r="WH94" s="22"/>
      <c r="WI94" s="22"/>
      <c r="WJ94" s="22"/>
      <c r="WK94" s="22"/>
      <c r="WL94" s="22"/>
      <c r="WM94" s="22"/>
      <c r="WN94" s="22"/>
      <c r="WO94" s="22"/>
      <c r="WP94" s="22"/>
      <c r="WQ94" s="22"/>
      <c r="WR94" s="22"/>
      <c r="WS94" s="22"/>
      <c r="WT94" s="22"/>
      <c r="WU94" s="22"/>
      <c r="WV94" s="22"/>
      <c r="WW94" s="22"/>
      <c r="WX94" s="22"/>
      <c r="WY94" s="22"/>
      <c r="WZ94" s="22"/>
      <c r="XA94" s="22"/>
      <c r="XB94" s="22"/>
      <c r="XC94" s="22"/>
      <c r="XD94" s="22"/>
      <c r="XE94" s="22"/>
      <c r="XF94" s="22"/>
      <c r="XG94" s="22"/>
      <c r="XH94" s="22"/>
      <c r="XI94" s="22"/>
      <c r="XJ94" s="22"/>
      <c r="XK94" s="22"/>
      <c r="XL94" s="22"/>
      <c r="XM94" s="22"/>
      <c r="XN94" s="22"/>
      <c r="XO94" s="22"/>
      <c r="XP94" s="22"/>
      <c r="XQ94" s="22"/>
      <c r="XR94" s="22"/>
      <c r="XS94" s="22"/>
      <c r="XT94" s="22"/>
      <c r="XU94" s="22"/>
      <c r="XV94" s="22"/>
      <c r="XW94" s="22"/>
      <c r="XX94" s="22"/>
      <c r="XY94" s="22"/>
      <c r="XZ94" s="22"/>
      <c r="YA94" s="22"/>
      <c r="YB94" s="22"/>
      <c r="YC94" s="22"/>
      <c r="YD94" s="22"/>
      <c r="YE94" s="22"/>
      <c r="YF94" s="22"/>
      <c r="YG94" s="22"/>
      <c r="YH94" s="22"/>
      <c r="YI94" s="22"/>
      <c r="YJ94" s="22"/>
      <c r="YK94" s="22"/>
      <c r="YL94" s="22"/>
      <c r="YM94" s="22"/>
      <c r="YN94" s="22"/>
      <c r="YO94" s="22"/>
      <c r="YP94" s="22"/>
      <c r="YQ94" s="22"/>
      <c r="YR94" s="22"/>
      <c r="YS94" s="22"/>
      <c r="YT94" s="22"/>
      <c r="YU94" s="22"/>
      <c r="YV94" s="22"/>
      <c r="YW94" s="22"/>
      <c r="YX94" s="22"/>
      <c r="YY94" s="22"/>
      <c r="YZ94" s="22"/>
      <c r="ZA94" s="22"/>
      <c r="ZB94" s="22"/>
      <c r="ZC94" s="22"/>
      <c r="ZD94" s="22"/>
      <c r="ZE94" s="22"/>
      <c r="ZF94" s="22"/>
      <c r="ZG94" s="22"/>
      <c r="ZH94" s="22"/>
      <c r="ZI94" s="22"/>
      <c r="ZJ94" s="22"/>
      <c r="ZK94" s="22"/>
      <c r="ZL94" s="22"/>
      <c r="ZM94" s="22"/>
      <c r="ZN94" s="22"/>
      <c r="ZO94" s="22"/>
      <c r="ZP94" s="22"/>
      <c r="ZQ94" s="22"/>
      <c r="ZR94" s="22"/>
      <c r="ZS94" s="22"/>
      <c r="ZT94" s="22"/>
      <c r="ZU94" s="22"/>
      <c r="ZV94" s="22"/>
      <c r="ZW94" s="22"/>
      <c r="ZX94" s="22"/>
      <c r="ZY94" s="22"/>
      <c r="ZZ94" s="22"/>
      <c r="AAA94" s="22"/>
      <c r="AAB94" s="22"/>
      <c r="AAC94" s="22"/>
      <c r="AAD94" s="22"/>
      <c r="AAE94" s="22"/>
      <c r="AAF94" s="22"/>
      <c r="AAG94" s="22"/>
      <c r="AAH94" s="22"/>
      <c r="AAI94" s="22"/>
      <c r="AAJ94" s="22"/>
      <c r="AAK94" s="22"/>
      <c r="AAL94" s="22"/>
      <c r="AAM94" s="22"/>
      <c r="AAN94" s="22"/>
      <c r="AAO94" s="22"/>
      <c r="AAP94" s="22"/>
      <c r="AAQ94" s="22"/>
      <c r="AAR94" s="22"/>
      <c r="AAS94" s="22"/>
      <c r="AAT94" s="22"/>
      <c r="AAU94" s="22"/>
      <c r="AAV94" s="22"/>
      <c r="AAW94" s="22"/>
      <c r="AAX94" s="22"/>
      <c r="AAY94" s="22"/>
      <c r="AAZ94" s="22"/>
      <c r="ABA94" s="22"/>
      <c r="ABB94" s="22"/>
      <c r="ABC94" s="22"/>
      <c r="ABD94" s="22"/>
      <c r="ABE94" s="22"/>
      <c r="ABF94" s="22"/>
      <c r="ABG94" s="22"/>
      <c r="ABH94" s="22"/>
      <c r="ABI94" s="22"/>
      <c r="ABJ94" s="22"/>
      <c r="ABK94" s="22"/>
      <c r="ABL94" s="22"/>
      <c r="ABM94" s="22"/>
      <c r="ABN94" s="22"/>
      <c r="ABO94" s="22"/>
      <c r="ABP94" s="22"/>
      <c r="ABQ94" s="22"/>
      <c r="ABR94" s="22"/>
      <c r="ABS94" s="22"/>
      <c r="ABT94" s="22"/>
      <c r="ABU94" s="22"/>
      <c r="ABV94" s="22"/>
      <c r="ABW94" s="22"/>
      <c r="ABX94" s="22"/>
      <c r="ABY94" s="22"/>
      <c r="ABZ94" s="22"/>
      <c r="ACA94" s="22"/>
      <c r="ACB94" s="22"/>
      <c r="ACC94" s="22"/>
      <c r="ACD94" s="22"/>
      <c r="ACE94" s="22"/>
      <c r="ACF94" s="22"/>
      <c r="ACG94" s="22"/>
      <c r="ACH94" s="22"/>
      <c r="ACI94" s="22"/>
      <c r="ACJ94" s="22"/>
      <c r="ACK94" s="22"/>
      <c r="ACL94" s="22"/>
      <c r="ACM94" s="22"/>
      <c r="ACN94" s="22"/>
      <c r="ACO94" s="22"/>
      <c r="ACP94" s="22"/>
      <c r="ACQ94" s="22"/>
      <c r="ACR94" s="22"/>
      <c r="ACS94" s="22"/>
      <c r="ACT94" s="22"/>
      <c r="ACU94" s="22"/>
      <c r="ACV94" s="22"/>
      <c r="ACW94" s="22"/>
      <c r="ACX94" s="22"/>
      <c r="ACY94" s="22"/>
      <c r="ACZ94" s="22"/>
      <c r="ADA94" s="22"/>
      <c r="ADB94" s="22"/>
      <c r="ADC94" s="22"/>
      <c r="ADD94" s="22"/>
      <c r="ADE94" s="22"/>
      <c r="ADF94" s="22"/>
      <c r="ADG94" s="22"/>
      <c r="ADH94" s="22"/>
      <c r="ADI94" s="22"/>
      <c r="ADJ94" s="22"/>
      <c r="ADK94" s="22"/>
      <c r="ADL94" s="22"/>
      <c r="ADM94" s="22"/>
      <c r="ADN94" s="22"/>
      <c r="ADO94" s="22"/>
      <c r="ADP94" s="22"/>
      <c r="ADQ94" s="22"/>
      <c r="ADR94" s="22"/>
      <c r="ADS94" s="22"/>
      <c r="ADT94" s="22"/>
      <c r="ADU94" s="22"/>
      <c r="ADV94" s="22"/>
      <c r="ADW94" s="22"/>
      <c r="ADX94" s="22"/>
      <c r="ADY94" s="22"/>
      <c r="ADZ94" s="22"/>
      <c r="AEA94" s="22"/>
      <c r="AEB94" s="22"/>
      <c r="AEC94" s="22"/>
      <c r="AED94" s="22"/>
      <c r="AEE94" s="22"/>
      <c r="AEF94" s="22"/>
      <c r="AEG94" s="22"/>
      <c r="AEH94" s="22"/>
      <c r="AEI94" s="22"/>
      <c r="AEJ94" s="22"/>
      <c r="AEK94" s="22"/>
      <c r="AEL94" s="22"/>
      <c r="AEM94" s="22"/>
      <c r="AEN94" s="22"/>
      <c r="AEO94" s="22"/>
      <c r="AEP94" s="22"/>
      <c r="AEQ94" s="22"/>
      <c r="AER94" s="22"/>
      <c r="AES94" s="22"/>
      <c r="AET94" s="22"/>
      <c r="AEU94" s="22"/>
      <c r="AEV94" s="22"/>
      <c r="AEW94" s="22"/>
      <c r="AEX94" s="22"/>
      <c r="AEY94" s="22"/>
      <c r="AEZ94" s="22"/>
      <c r="AFA94" s="22"/>
      <c r="AFB94" s="22"/>
      <c r="AFC94" s="22"/>
      <c r="AFD94" s="22"/>
      <c r="AFE94" s="22"/>
      <c r="AFF94" s="22"/>
      <c r="AFG94" s="22"/>
      <c r="AFH94" s="22"/>
      <c r="AFI94" s="22"/>
      <c r="AFJ94" s="22"/>
      <c r="AFK94" s="22"/>
      <c r="AFL94" s="22"/>
      <c r="AFM94" s="22"/>
      <c r="AFN94" s="22"/>
      <c r="AFO94" s="22"/>
      <c r="AFP94" s="22"/>
      <c r="AFQ94" s="22"/>
      <c r="AFR94" s="22"/>
      <c r="AFS94" s="22"/>
      <c r="AFT94" s="22"/>
      <c r="AFU94" s="22"/>
      <c r="AFV94" s="22"/>
      <c r="AFW94" s="22"/>
      <c r="AFX94" s="22"/>
      <c r="AFY94" s="22"/>
      <c r="AFZ94" s="22"/>
      <c r="AGA94" s="22"/>
      <c r="AGB94" s="22"/>
      <c r="AGC94" s="22"/>
      <c r="AGD94" s="22"/>
      <c r="AGE94" s="22"/>
      <c r="AGF94" s="22"/>
      <c r="AGG94" s="22"/>
      <c r="AGH94" s="22"/>
      <c r="AGI94" s="22"/>
      <c r="AGJ94" s="22"/>
      <c r="AGK94" s="22"/>
      <c r="AGL94" s="22"/>
      <c r="AGM94" s="22"/>
      <c r="AGN94" s="22"/>
      <c r="AGO94" s="22"/>
      <c r="AGP94" s="22"/>
      <c r="AGQ94" s="22"/>
      <c r="AGR94" s="22"/>
      <c r="AGS94" s="22"/>
      <c r="AGT94" s="22"/>
      <c r="AGU94" s="22"/>
      <c r="AGV94" s="22"/>
      <c r="AGW94" s="22"/>
      <c r="AGX94" s="22"/>
      <c r="AGY94" s="22"/>
      <c r="AGZ94" s="22"/>
      <c r="AHA94" s="22"/>
      <c r="AHB94" s="22"/>
      <c r="AHC94" s="22"/>
      <c r="AHD94" s="22"/>
      <c r="AHE94" s="22"/>
      <c r="AHF94" s="22"/>
      <c r="AHG94" s="22"/>
      <c r="AHH94" s="22"/>
      <c r="AHI94" s="22"/>
      <c r="AHJ94" s="22"/>
      <c r="AHK94" s="22"/>
      <c r="AHL94" s="22"/>
      <c r="AHM94" s="22"/>
      <c r="AHN94" s="22"/>
      <c r="AHO94" s="22"/>
      <c r="AHP94" s="22"/>
      <c r="AHQ94" s="22"/>
      <c r="AHR94" s="22"/>
      <c r="AHS94" s="22"/>
      <c r="AHT94" s="22"/>
      <c r="AHU94" s="22"/>
      <c r="AHV94" s="22"/>
      <c r="AHW94" s="22"/>
      <c r="AHX94" s="22"/>
      <c r="AHY94" s="22"/>
      <c r="AHZ94" s="22"/>
      <c r="AIA94" s="22"/>
      <c r="AIB94" s="22"/>
      <c r="AIC94" s="22"/>
      <c r="AID94" s="22"/>
      <c r="AIE94" s="22"/>
      <c r="AIF94" s="22"/>
      <c r="AIG94" s="22"/>
      <c r="AIH94" s="22"/>
      <c r="AII94" s="22"/>
      <c r="AIJ94" s="22"/>
      <c r="AIK94" s="22"/>
      <c r="AIL94" s="22"/>
      <c r="AIM94" s="22"/>
      <c r="AIN94" s="22"/>
      <c r="AIO94" s="22"/>
      <c r="AIP94" s="22"/>
      <c r="AIQ94" s="22"/>
      <c r="AIR94" s="22"/>
      <c r="AIS94" s="22"/>
      <c r="AIT94" s="22"/>
      <c r="AIU94" s="22"/>
      <c r="AIV94" s="22"/>
      <c r="AIW94" s="22"/>
      <c r="AIX94" s="22"/>
      <c r="AIY94" s="22"/>
      <c r="AIZ94" s="22"/>
      <c r="AJA94" s="22"/>
      <c r="AJB94" s="22"/>
      <c r="AJC94" s="22"/>
      <c r="AJD94" s="22"/>
      <c r="AJE94" s="22"/>
      <c r="AJF94" s="22"/>
      <c r="AJG94" s="22"/>
      <c r="AJH94" s="22"/>
      <c r="AJI94" s="22"/>
      <c r="AJJ94" s="22"/>
      <c r="AJK94" s="22"/>
      <c r="AJL94" s="22"/>
      <c r="AJM94" s="22"/>
      <c r="AJN94" s="22"/>
      <c r="AJO94" s="22"/>
      <c r="AJP94" s="22"/>
      <c r="AJQ94" s="22"/>
      <c r="AJR94" s="22"/>
      <c r="AJS94" s="22"/>
      <c r="AJT94" s="22"/>
      <c r="AJU94" s="22"/>
      <c r="AJV94" s="22"/>
      <c r="AJW94" s="22"/>
      <c r="AJX94" s="22"/>
      <c r="AJY94" s="22"/>
      <c r="AJZ94" s="22"/>
      <c r="AKA94" s="22"/>
      <c r="AKB94" s="22"/>
      <c r="AKC94" s="22"/>
      <c r="AKD94" s="22"/>
      <c r="AKE94" s="22"/>
      <c r="AKF94" s="22"/>
      <c r="AKG94" s="22"/>
      <c r="AKH94" s="22"/>
      <c r="AKI94" s="22"/>
      <c r="AKJ94" s="22"/>
      <c r="AKK94" s="22"/>
      <c r="AKL94" s="22"/>
      <c r="AKM94" s="22"/>
      <c r="AKN94" s="22"/>
      <c r="AKO94" s="22"/>
      <c r="AKP94" s="22"/>
      <c r="AKQ94" s="22"/>
      <c r="AKR94" s="22"/>
      <c r="AKS94" s="22"/>
      <c r="AKT94" s="22"/>
      <c r="AKU94" s="22"/>
      <c r="AKV94" s="22"/>
      <c r="AKW94" s="22"/>
      <c r="AKX94" s="22"/>
      <c r="AKY94" s="22"/>
      <c r="AKZ94" s="22"/>
      <c r="ALA94" s="22"/>
      <c r="ALB94" s="22"/>
      <c r="ALC94" s="22"/>
      <c r="ALD94" s="22"/>
      <c r="ALE94" s="22"/>
      <c r="ALF94" s="22"/>
      <c r="ALG94" s="22"/>
      <c r="ALH94" s="22"/>
      <c r="ALI94" s="22"/>
      <c r="ALJ94" s="22"/>
      <c r="ALK94" s="22"/>
      <c r="ALL94" s="22"/>
      <c r="ALM94" s="22"/>
      <c r="ALN94" s="22"/>
      <c r="ALO94" s="22"/>
      <c r="ALP94" s="22"/>
      <c r="ALQ94" s="22"/>
      <c r="ALR94" s="22"/>
      <c r="ALS94" s="22"/>
      <c r="ALT94" s="22"/>
      <c r="ALU94" s="22"/>
      <c r="ALV94" s="22"/>
      <c r="ALW94" s="22"/>
      <c r="ALX94" s="22"/>
      <c r="ALY94" s="22"/>
      <c r="ALZ94" s="22"/>
      <c r="AMA94" s="22"/>
      <c r="AMB94" s="22"/>
      <c r="AMC94" s="22"/>
      <c r="AMD94" s="22"/>
      <c r="AME94" s="22"/>
      <c r="AMF94" s="22"/>
      <c r="AMG94" s="22"/>
      <c r="AMH94" s="22"/>
      <c r="AMI94" s="22"/>
      <c r="AMJ94" s="22"/>
      <c r="AMK94" s="22"/>
      <c r="AML94" s="22"/>
      <c r="AMM94" s="22"/>
      <c r="AMN94" s="22"/>
      <c r="AMO94" s="22"/>
      <c r="AMP94" s="22"/>
      <c r="AMQ94" s="22"/>
      <c r="AMR94" s="22"/>
      <c r="AMS94" s="22"/>
      <c r="AMT94" s="22"/>
      <c r="AMU94" s="22"/>
      <c r="AMV94" s="22"/>
      <c r="AMW94" s="22"/>
      <c r="AMX94" s="22"/>
      <c r="AMY94" s="22"/>
      <c r="AMZ94" s="22"/>
      <c r="ANA94" s="22"/>
      <c r="ANB94" s="22"/>
      <c r="ANC94" s="22"/>
      <c r="AND94" s="22"/>
      <c r="ANE94" s="22"/>
      <c r="ANF94" s="22"/>
      <c r="ANG94" s="22"/>
      <c r="ANH94" s="22"/>
      <c r="ANI94" s="22"/>
      <c r="ANJ94" s="22"/>
      <c r="ANK94" s="22"/>
      <c r="ANL94" s="22"/>
      <c r="ANM94" s="22"/>
      <c r="ANN94" s="22"/>
      <c r="ANO94" s="22"/>
      <c r="ANP94" s="22"/>
      <c r="ANQ94" s="22"/>
      <c r="ANR94" s="22"/>
      <c r="ANS94" s="22"/>
      <c r="ANT94" s="22"/>
      <c r="ANU94" s="22"/>
      <c r="ANV94" s="22"/>
      <c r="ANW94" s="22"/>
      <c r="ANX94" s="22"/>
      <c r="ANY94" s="22"/>
      <c r="ANZ94" s="22"/>
      <c r="AOA94" s="22"/>
      <c r="AOB94" s="22"/>
      <c r="AOC94" s="22"/>
      <c r="AOD94" s="22"/>
      <c r="AOE94" s="22"/>
      <c r="AOF94" s="22"/>
      <c r="AOG94" s="22"/>
      <c r="AOH94" s="22"/>
      <c r="AOI94" s="22"/>
      <c r="AOJ94" s="22"/>
      <c r="AOK94" s="22"/>
      <c r="AOL94" s="22"/>
      <c r="AOM94" s="22"/>
      <c r="AON94" s="22"/>
      <c r="AOO94" s="22"/>
      <c r="AOP94" s="22"/>
      <c r="AOQ94" s="22"/>
      <c r="AOR94" s="22"/>
      <c r="AOS94" s="22"/>
      <c r="AOT94" s="22"/>
      <c r="AOU94" s="22"/>
      <c r="AOV94" s="22"/>
      <c r="AOW94" s="22"/>
      <c r="AOX94" s="22"/>
      <c r="AOY94" s="22"/>
      <c r="AOZ94" s="22"/>
      <c r="APA94" s="22"/>
      <c r="APB94" s="22"/>
      <c r="APC94" s="22"/>
      <c r="APD94" s="22"/>
      <c r="APE94" s="22"/>
      <c r="APF94" s="22"/>
      <c r="APG94" s="22"/>
      <c r="APH94" s="22"/>
      <c r="API94" s="22"/>
      <c r="APJ94" s="22"/>
      <c r="APK94" s="22"/>
      <c r="APL94" s="22"/>
      <c r="APM94" s="22"/>
      <c r="APN94" s="22"/>
      <c r="APO94" s="22"/>
      <c r="APP94" s="22"/>
      <c r="APQ94" s="22"/>
      <c r="APR94" s="22"/>
      <c r="APS94" s="22"/>
      <c r="APT94" s="22"/>
      <c r="APU94" s="22"/>
      <c r="APV94" s="22"/>
      <c r="APW94" s="22"/>
      <c r="APX94" s="22"/>
      <c r="APY94" s="22"/>
      <c r="APZ94" s="22"/>
      <c r="AQA94" s="22"/>
      <c r="AQB94" s="22"/>
      <c r="AQC94" s="22"/>
      <c r="AQD94" s="22"/>
      <c r="AQE94" s="22"/>
      <c r="AQF94" s="22"/>
      <c r="AQG94" s="22"/>
      <c r="AQH94" s="22"/>
      <c r="AQI94" s="22"/>
      <c r="AQJ94" s="22"/>
      <c r="AQK94" s="22"/>
      <c r="AQL94" s="22"/>
      <c r="AQM94" s="22"/>
      <c r="AQN94" s="22"/>
      <c r="AQO94" s="22"/>
      <c r="AQP94" s="22"/>
      <c r="AQQ94" s="22"/>
      <c r="AQR94" s="22"/>
      <c r="AQS94" s="22"/>
      <c r="AQT94" s="22"/>
      <c r="AQU94" s="22"/>
      <c r="AQV94" s="22"/>
      <c r="AQW94" s="22"/>
      <c r="AQX94" s="22"/>
      <c r="AQY94" s="22"/>
      <c r="AQZ94" s="22"/>
      <c r="ARA94" s="22"/>
      <c r="ARB94" s="22"/>
      <c r="ARC94" s="22"/>
      <c r="ARD94" s="22"/>
      <c r="ARE94" s="22"/>
      <c r="ARF94" s="22"/>
      <c r="ARG94" s="22"/>
      <c r="ARH94" s="22"/>
      <c r="ARI94" s="22"/>
      <c r="ARJ94" s="22"/>
      <c r="ARK94" s="22"/>
      <c r="ARL94" s="22"/>
      <c r="ARM94" s="22"/>
      <c r="ARN94" s="22"/>
      <c r="ARO94" s="22"/>
      <c r="ARP94" s="22"/>
      <c r="ARQ94" s="22"/>
      <c r="ARR94" s="22"/>
      <c r="ARS94" s="22"/>
      <c r="ART94" s="22"/>
      <c r="ARU94" s="22"/>
      <c r="ARV94" s="22"/>
      <c r="ARW94" s="22"/>
      <c r="ARX94" s="22"/>
      <c r="ARY94" s="22"/>
      <c r="ARZ94" s="22"/>
      <c r="ASA94" s="22"/>
      <c r="ASB94" s="22"/>
      <c r="ASC94" s="22"/>
      <c r="ASD94" s="22"/>
      <c r="ASE94" s="22"/>
      <c r="ASF94" s="22"/>
      <c r="ASG94" s="22"/>
      <c r="ASH94" s="22"/>
      <c r="ASI94" s="22"/>
      <c r="ASJ94" s="22"/>
      <c r="ASK94" s="22"/>
      <c r="ASL94" s="22"/>
      <c r="ASM94" s="22"/>
      <c r="ASN94" s="22"/>
      <c r="ASO94" s="22"/>
      <c r="ASP94" s="22"/>
      <c r="ASQ94" s="22"/>
      <c r="ASR94" s="22"/>
      <c r="ASS94" s="22"/>
      <c r="AST94" s="22"/>
      <c r="ASU94" s="22"/>
      <c r="ASV94" s="22"/>
      <c r="ASW94" s="22"/>
      <c r="ASX94" s="22"/>
      <c r="ASY94" s="22"/>
      <c r="ASZ94" s="22"/>
      <c r="ATA94" s="22"/>
      <c r="ATB94" s="22"/>
      <c r="ATC94" s="22"/>
      <c r="ATD94" s="22"/>
      <c r="ATE94" s="22"/>
      <c r="ATF94" s="22"/>
      <c r="ATG94" s="22"/>
      <c r="ATH94" s="22"/>
      <c r="ATI94" s="22"/>
      <c r="ATJ94" s="22"/>
      <c r="ATK94" s="22"/>
      <c r="ATL94" s="22"/>
      <c r="ATM94" s="22"/>
      <c r="ATN94" s="22"/>
      <c r="ATO94" s="22"/>
      <c r="ATP94" s="22"/>
      <c r="ATQ94" s="22"/>
      <c r="ATR94" s="22"/>
      <c r="ATS94" s="22"/>
      <c r="ATT94" s="22"/>
      <c r="ATU94" s="22"/>
      <c r="ATV94" s="22"/>
      <c r="ATW94" s="22"/>
      <c r="ATX94" s="22"/>
      <c r="ATY94" s="22"/>
      <c r="ATZ94" s="22"/>
      <c r="AUA94" s="22"/>
      <c r="AUB94" s="22"/>
      <c r="AUC94" s="22"/>
      <c r="AUD94" s="22"/>
      <c r="AUE94" s="22"/>
      <c r="AUF94" s="22"/>
      <c r="AUG94" s="22"/>
      <c r="AUH94" s="22"/>
      <c r="AUI94" s="22"/>
      <c r="AUJ94" s="22"/>
      <c r="AUK94" s="22"/>
      <c r="AUL94" s="22"/>
      <c r="AUM94" s="22"/>
      <c r="AUN94" s="22"/>
      <c r="AUO94" s="22"/>
      <c r="AUP94" s="22"/>
      <c r="AUQ94" s="22"/>
      <c r="AUR94" s="22"/>
      <c r="AUS94" s="22"/>
      <c r="AUT94" s="22"/>
      <c r="AUU94" s="22"/>
      <c r="AUV94" s="22"/>
      <c r="AUW94" s="22"/>
      <c r="AUX94" s="22"/>
      <c r="AUY94" s="22"/>
      <c r="AUZ94" s="22"/>
      <c r="AVA94" s="22"/>
      <c r="AVB94" s="22"/>
      <c r="AVC94" s="22"/>
      <c r="AVD94" s="22"/>
      <c r="AVE94" s="22"/>
      <c r="AVF94" s="22"/>
      <c r="AVG94" s="22"/>
      <c r="AVH94" s="22"/>
      <c r="AVI94" s="22"/>
      <c r="AVJ94" s="22"/>
      <c r="AVK94" s="22"/>
      <c r="AVL94" s="22"/>
      <c r="AVM94" s="22"/>
      <c r="AVN94" s="22"/>
      <c r="AVO94" s="22"/>
      <c r="AVP94" s="22"/>
      <c r="AVQ94" s="22"/>
      <c r="AVR94" s="22"/>
      <c r="AVS94" s="22"/>
      <c r="AVT94" s="22"/>
      <c r="AVU94" s="22"/>
      <c r="AVV94" s="22"/>
      <c r="AVW94" s="22"/>
      <c r="AVX94" s="22"/>
      <c r="AVY94" s="22"/>
      <c r="AVZ94" s="22"/>
      <c r="AWA94" s="22"/>
      <c r="AWB94" s="22"/>
      <c r="AWC94" s="22"/>
      <c r="AWD94" s="22"/>
      <c r="AWE94" s="22"/>
      <c r="AWF94" s="22"/>
      <c r="AWG94" s="22"/>
      <c r="AWH94" s="22"/>
      <c r="AWI94" s="22"/>
      <c r="AWJ94" s="22"/>
      <c r="AWK94" s="22"/>
      <c r="AWL94" s="22"/>
      <c r="AWM94" s="22"/>
      <c r="AWN94" s="22"/>
      <c r="AWO94" s="22"/>
      <c r="AWP94" s="22"/>
      <c r="AWQ94" s="22"/>
      <c r="AWR94" s="22"/>
      <c r="AWS94" s="22"/>
      <c r="AWT94" s="22"/>
      <c r="AWU94" s="22"/>
      <c r="AWV94" s="22"/>
      <c r="AWW94" s="22"/>
      <c r="AWX94" s="22"/>
      <c r="AWY94" s="22"/>
      <c r="AWZ94" s="22"/>
      <c r="AXA94" s="22"/>
      <c r="AXB94" s="22"/>
      <c r="AXC94" s="22"/>
      <c r="AXD94" s="22"/>
      <c r="AXE94" s="22"/>
      <c r="AXF94" s="22"/>
      <c r="AXG94" s="22"/>
      <c r="AXH94" s="22"/>
      <c r="AXI94" s="22"/>
      <c r="AXJ94" s="22"/>
      <c r="AXK94" s="22"/>
      <c r="AXL94" s="22"/>
      <c r="AXM94" s="22"/>
      <c r="AXN94" s="22"/>
      <c r="AXO94" s="22"/>
      <c r="AXP94" s="22"/>
      <c r="AXQ94" s="22"/>
      <c r="AXR94" s="22"/>
      <c r="AXS94" s="22"/>
      <c r="AXT94" s="22"/>
      <c r="AXU94" s="22"/>
      <c r="AXV94" s="22"/>
      <c r="AXW94" s="22"/>
      <c r="AXX94" s="22"/>
      <c r="AXY94" s="22"/>
      <c r="AXZ94" s="22"/>
      <c r="AYA94" s="22"/>
      <c r="AYB94" s="22"/>
      <c r="AYC94" s="22"/>
      <c r="AYD94" s="22"/>
      <c r="AYE94" s="22"/>
      <c r="AYF94" s="22"/>
      <c r="AYG94" s="22"/>
      <c r="AYH94" s="22"/>
      <c r="AYI94" s="22"/>
      <c r="AYJ94" s="22"/>
      <c r="AYK94" s="22"/>
      <c r="AYL94" s="22"/>
      <c r="AYM94" s="22"/>
      <c r="AYN94" s="22"/>
      <c r="AYO94" s="22"/>
      <c r="AYP94" s="22"/>
      <c r="AYQ94" s="22"/>
      <c r="AYR94" s="22"/>
      <c r="AYS94" s="22"/>
      <c r="AYT94" s="22"/>
      <c r="AYU94" s="22"/>
      <c r="AYV94" s="22"/>
      <c r="AYW94" s="22"/>
      <c r="AYX94" s="22"/>
      <c r="AYY94" s="22"/>
      <c r="AYZ94" s="22"/>
      <c r="AZA94" s="22"/>
      <c r="AZB94" s="22"/>
      <c r="AZC94" s="22"/>
      <c r="AZD94" s="22"/>
      <c r="AZE94" s="22"/>
      <c r="AZF94" s="22"/>
      <c r="AZG94" s="22"/>
      <c r="AZH94" s="22"/>
      <c r="AZI94" s="22"/>
      <c r="AZJ94" s="22"/>
      <c r="AZK94" s="22"/>
      <c r="AZL94" s="22"/>
      <c r="AZM94" s="22"/>
      <c r="AZN94" s="22"/>
      <c r="AZO94" s="22"/>
      <c r="AZP94" s="22"/>
      <c r="AZQ94" s="22"/>
      <c r="AZR94" s="22"/>
      <c r="AZS94" s="22"/>
      <c r="AZT94" s="22"/>
      <c r="AZU94" s="22"/>
      <c r="AZV94" s="22"/>
      <c r="AZW94" s="22"/>
      <c r="AZX94" s="22"/>
      <c r="AZY94" s="22"/>
      <c r="AZZ94" s="22"/>
      <c r="BAA94" s="22"/>
      <c r="BAB94" s="22"/>
      <c r="BAC94" s="22"/>
      <c r="BAD94" s="22"/>
      <c r="BAE94" s="22"/>
      <c r="BAF94" s="22"/>
      <c r="BAG94" s="22"/>
      <c r="BAH94" s="22"/>
      <c r="BAI94" s="22"/>
      <c r="BAJ94" s="22"/>
      <c r="BAK94" s="22"/>
      <c r="BAL94" s="22"/>
      <c r="BAM94" s="22"/>
      <c r="BAN94" s="22"/>
      <c r="BAO94" s="22"/>
      <c r="BAP94" s="22"/>
      <c r="BAQ94" s="22"/>
      <c r="BAR94" s="22"/>
      <c r="BAS94" s="22"/>
      <c r="BAT94" s="22"/>
      <c r="BAU94" s="22"/>
      <c r="BAV94" s="22"/>
      <c r="BAW94" s="22"/>
      <c r="BAX94" s="22"/>
      <c r="BAY94" s="22"/>
      <c r="BAZ94" s="22"/>
      <c r="BBA94" s="22"/>
      <c r="BBB94" s="22"/>
      <c r="BBC94" s="22"/>
      <c r="BBD94" s="22"/>
      <c r="BBE94" s="22"/>
      <c r="BBF94" s="22"/>
      <c r="BBG94" s="22"/>
      <c r="BBH94" s="22"/>
      <c r="BBI94" s="22"/>
      <c r="BBJ94" s="22"/>
      <c r="BBK94" s="22"/>
      <c r="BBL94" s="22"/>
      <c r="BBM94" s="22"/>
      <c r="BBN94" s="22"/>
      <c r="BBO94" s="22"/>
      <c r="BBP94" s="22"/>
      <c r="BBQ94" s="22"/>
      <c r="BBR94" s="22"/>
      <c r="BBS94" s="22"/>
      <c r="BBT94" s="22"/>
      <c r="BBU94" s="22"/>
      <c r="BBV94" s="22"/>
      <c r="BBW94" s="22"/>
      <c r="BBX94" s="22"/>
      <c r="BBY94" s="22"/>
      <c r="BBZ94" s="22"/>
      <c r="BCA94" s="22"/>
      <c r="BCB94" s="22"/>
      <c r="BCC94" s="22"/>
      <c r="BCD94" s="22"/>
      <c r="BCE94" s="22"/>
      <c r="BCF94" s="22"/>
      <c r="BCG94" s="22"/>
      <c r="BCH94" s="22"/>
      <c r="BCI94" s="22"/>
      <c r="BCJ94" s="22"/>
      <c r="BCK94" s="22"/>
      <c r="BCL94" s="22"/>
      <c r="BCM94" s="22"/>
      <c r="BCN94" s="22"/>
      <c r="BCO94" s="22"/>
      <c r="BCP94" s="22"/>
      <c r="BCQ94" s="22"/>
      <c r="BCR94" s="22"/>
      <c r="BCS94" s="22"/>
      <c r="BCT94" s="22"/>
      <c r="BCU94" s="22"/>
      <c r="BCV94" s="22"/>
      <c r="BCW94" s="22"/>
      <c r="BCX94" s="22"/>
      <c r="BCY94" s="22"/>
      <c r="BCZ94" s="22"/>
      <c r="BDA94" s="22"/>
      <c r="BDB94" s="22"/>
      <c r="BDC94" s="22"/>
      <c r="BDD94" s="22"/>
      <c r="BDE94" s="22"/>
      <c r="BDF94" s="22"/>
      <c r="BDG94" s="22"/>
      <c r="BDH94" s="22"/>
      <c r="BDI94" s="22"/>
      <c r="BDJ94" s="22"/>
      <c r="BDK94" s="22"/>
      <c r="BDL94" s="22"/>
      <c r="BDM94" s="22"/>
      <c r="BDN94" s="22"/>
      <c r="BDO94" s="22"/>
      <c r="BDP94" s="22"/>
      <c r="BDQ94" s="22"/>
      <c r="BDR94" s="22"/>
      <c r="BDS94" s="22"/>
      <c r="BDT94" s="22"/>
      <c r="BDU94" s="22"/>
      <c r="BDV94" s="22"/>
      <c r="BDW94" s="22"/>
      <c r="BDX94" s="22"/>
      <c r="BDY94" s="22"/>
      <c r="BDZ94" s="22"/>
      <c r="BEA94" s="22"/>
      <c r="BEB94" s="22"/>
      <c r="BEC94" s="22"/>
      <c r="BED94" s="22"/>
      <c r="BEE94" s="22"/>
      <c r="BEF94" s="22"/>
      <c r="BEG94" s="22"/>
      <c r="BEH94" s="22"/>
      <c r="BEI94" s="22"/>
      <c r="BEJ94" s="22"/>
      <c r="BEK94" s="22"/>
      <c r="BEL94" s="22"/>
      <c r="BEM94" s="22"/>
      <c r="BEN94" s="22"/>
      <c r="BEO94" s="22"/>
      <c r="BEP94" s="22"/>
      <c r="BEQ94" s="22"/>
      <c r="BER94" s="22"/>
      <c r="BES94" s="22"/>
      <c r="BET94" s="22"/>
      <c r="BEU94" s="22"/>
      <c r="BEV94" s="22"/>
      <c r="BEW94" s="22"/>
      <c r="BEX94" s="22"/>
      <c r="BEY94" s="22"/>
      <c r="BEZ94" s="22"/>
      <c r="BFA94" s="22"/>
      <c r="BFB94" s="22"/>
      <c r="BFC94" s="22"/>
      <c r="BFD94" s="22"/>
      <c r="BFE94" s="22"/>
      <c r="BFF94" s="22"/>
      <c r="BFG94" s="22"/>
      <c r="BFH94" s="22"/>
      <c r="BFI94" s="22"/>
      <c r="BFJ94" s="22"/>
      <c r="BFK94" s="22"/>
      <c r="BFL94" s="22"/>
      <c r="BFM94" s="22"/>
      <c r="BFN94" s="22"/>
      <c r="BFO94" s="22"/>
      <c r="BFP94" s="22"/>
      <c r="BFQ94" s="22"/>
      <c r="BFR94" s="22"/>
      <c r="BFS94" s="22"/>
      <c r="BFT94" s="22"/>
      <c r="BFU94" s="22"/>
      <c r="BFV94" s="22"/>
      <c r="BFW94" s="22"/>
    </row>
    <row r="95" spans="1:1531" s="181" customFormat="1" ht="46.15" customHeight="1" x14ac:dyDescent="0.2">
      <c r="A95" s="261" t="s">
        <v>468</v>
      </c>
      <c r="B95" s="249"/>
      <c r="C95" s="88" t="s">
        <v>498</v>
      </c>
      <c r="D95" s="249"/>
      <c r="E95" s="249" t="s">
        <v>744</v>
      </c>
      <c r="F95" s="249"/>
      <c r="G95" s="249" t="s">
        <v>476</v>
      </c>
      <c r="H95" s="141"/>
      <c r="I95" s="245">
        <v>89</v>
      </c>
      <c r="J95" s="143"/>
      <c r="K95" s="88" t="s">
        <v>110</v>
      </c>
      <c r="L95" s="143"/>
      <c r="M95" s="143"/>
      <c r="N95" s="143"/>
      <c r="O95" s="143">
        <v>2015</v>
      </c>
      <c r="P95" s="129" t="s">
        <v>680</v>
      </c>
      <c r="Q95" s="143"/>
      <c r="R95" s="143"/>
      <c r="S95" s="246"/>
      <c r="T95" s="143"/>
      <c r="U95" s="143"/>
      <c r="V95" s="143"/>
      <c r="W95" s="143"/>
      <c r="X95" s="143"/>
      <c r="Y95" s="247"/>
      <c r="Z95" s="143"/>
      <c r="AA95" s="246"/>
      <c r="AB95" s="143"/>
      <c r="AC95" s="143"/>
      <c r="AD95" s="143"/>
      <c r="AE95" s="143"/>
      <c r="AF95" s="143"/>
      <c r="AG95" s="143"/>
      <c r="AH95" s="143"/>
      <c r="AI95" s="143"/>
      <c r="AJ95" s="143"/>
      <c r="AK95" s="143"/>
      <c r="AL95" s="143">
        <v>18</v>
      </c>
      <c r="AM95" s="143"/>
      <c r="AN95" s="248">
        <v>1602</v>
      </c>
      <c r="AP95" s="473"/>
      <c r="AQ95" s="486"/>
      <c r="AT95" s="491">
        <v>630</v>
      </c>
      <c r="AU95" s="481" t="s">
        <v>713</v>
      </c>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c r="IK95" s="22"/>
      <c r="IL95" s="22"/>
      <c r="IM95" s="22"/>
      <c r="IN95" s="22"/>
      <c r="IO95" s="22"/>
      <c r="IP95" s="22"/>
      <c r="IQ95" s="22"/>
      <c r="IR95" s="22"/>
      <c r="IS95" s="22"/>
      <c r="IT95" s="22"/>
      <c r="IU95" s="22"/>
      <c r="IV95" s="22"/>
      <c r="IW95" s="22"/>
      <c r="IX95" s="22"/>
      <c r="IY95" s="22"/>
      <c r="IZ95" s="22"/>
      <c r="JA95" s="22"/>
      <c r="JB95" s="22"/>
      <c r="JC95" s="22"/>
      <c r="JD95" s="22"/>
      <c r="JE95" s="22"/>
      <c r="JF95" s="22"/>
      <c r="JG95" s="22"/>
      <c r="JH95" s="22"/>
      <c r="JI95" s="22"/>
      <c r="JJ95" s="22"/>
      <c r="JK95" s="22"/>
      <c r="JL95" s="22"/>
      <c r="JM95" s="22"/>
      <c r="JN95" s="22"/>
      <c r="JO95" s="22"/>
      <c r="JP95" s="22"/>
      <c r="JQ95" s="22"/>
      <c r="JR95" s="22"/>
      <c r="JS95" s="22"/>
      <c r="JT95" s="22"/>
      <c r="JU95" s="22"/>
      <c r="JV95" s="22"/>
      <c r="JW95" s="22"/>
      <c r="JX95" s="22"/>
      <c r="JY95" s="22"/>
      <c r="JZ95" s="22"/>
      <c r="KA95" s="22"/>
      <c r="KB95" s="22"/>
      <c r="KC95" s="22"/>
      <c r="KD95" s="22"/>
      <c r="KE95" s="22"/>
      <c r="KF95" s="22"/>
      <c r="KG95" s="22"/>
      <c r="KH95" s="22"/>
      <c r="KI95" s="22"/>
      <c r="KJ95" s="22"/>
      <c r="KK95" s="22"/>
      <c r="KL95" s="22"/>
      <c r="KM95" s="22"/>
      <c r="KN95" s="22"/>
      <c r="KO95" s="22"/>
      <c r="KP95" s="22"/>
      <c r="KQ95" s="22"/>
      <c r="KR95" s="22"/>
      <c r="KS95" s="22"/>
      <c r="KT95" s="22"/>
      <c r="KU95" s="22"/>
      <c r="KV95" s="22"/>
      <c r="KW95" s="22"/>
      <c r="KX95" s="22"/>
      <c r="KY95" s="22"/>
      <c r="KZ95" s="22"/>
      <c r="LA95" s="22"/>
      <c r="LB95" s="22"/>
      <c r="LC95" s="22"/>
      <c r="LD95" s="22"/>
      <c r="LE95" s="22"/>
      <c r="LF95" s="22"/>
      <c r="LG95" s="22"/>
      <c r="LH95" s="22"/>
      <c r="LI95" s="22"/>
      <c r="LJ95" s="22"/>
      <c r="LK95" s="22"/>
      <c r="LL95" s="22"/>
      <c r="LM95" s="22"/>
      <c r="LN95" s="22"/>
      <c r="LO95" s="22"/>
      <c r="LP95" s="22"/>
      <c r="LQ95" s="22"/>
      <c r="LR95" s="22"/>
      <c r="LS95" s="22"/>
      <c r="LT95" s="22"/>
      <c r="LU95" s="22"/>
      <c r="LV95" s="22"/>
      <c r="LW95" s="22"/>
      <c r="LX95" s="22"/>
      <c r="LY95" s="22"/>
      <c r="LZ95" s="22"/>
      <c r="MA95" s="22"/>
      <c r="MB95" s="22"/>
      <c r="MC95" s="22"/>
      <c r="MD95" s="22"/>
      <c r="ME95" s="22"/>
      <c r="MF95" s="22"/>
      <c r="MG95" s="22"/>
      <c r="MH95" s="22"/>
      <c r="MI95" s="22"/>
      <c r="MJ95" s="22"/>
      <c r="MK95" s="22"/>
      <c r="ML95" s="22"/>
      <c r="MM95" s="22"/>
      <c r="MN95" s="22"/>
      <c r="MO95" s="22"/>
      <c r="MP95" s="22"/>
      <c r="MQ95" s="22"/>
      <c r="MR95" s="22"/>
      <c r="MS95" s="22"/>
      <c r="MT95" s="22"/>
      <c r="MU95" s="22"/>
      <c r="MV95" s="22"/>
      <c r="MW95" s="22"/>
      <c r="MX95" s="22"/>
      <c r="MY95" s="22"/>
      <c r="MZ95" s="22"/>
      <c r="NA95" s="22"/>
      <c r="NB95" s="22"/>
      <c r="NC95" s="22"/>
      <c r="ND95" s="22"/>
      <c r="NE95" s="22"/>
      <c r="NF95" s="22"/>
      <c r="NG95" s="22"/>
      <c r="NH95" s="22"/>
      <c r="NI95" s="22"/>
      <c r="NJ95" s="22"/>
      <c r="NK95" s="22"/>
      <c r="NL95" s="22"/>
      <c r="NM95" s="22"/>
      <c r="NN95" s="22"/>
      <c r="NO95" s="22"/>
      <c r="NP95" s="22"/>
      <c r="NQ95" s="22"/>
      <c r="NR95" s="22"/>
      <c r="NS95" s="22"/>
      <c r="NT95" s="22"/>
      <c r="NU95" s="22"/>
      <c r="NV95" s="22"/>
      <c r="NW95" s="22"/>
      <c r="NX95" s="22"/>
      <c r="NY95" s="22"/>
      <c r="NZ95" s="22"/>
      <c r="OA95" s="22"/>
      <c r="OB95" s="22"/>
      <c r="OC95" s="22"/>
      <c r="OD95" s="22"/>
      <c r="OE95" s="22"/>
      <c r="OF95" s="22"/>
      <c r="OG95" s="22"/>
      <c r="OH95" s="22"/>
      <c r="OI95" s="22"/>
      <c r="OJ95" s="22"/>
      <c r="OK95" s="22"/>
      <c r="OL95" s="22"/>
      <c r="OM95" s="22"/>
      <c r="ON95" s="22"/>
      <c r="OO95" s="22"/>
      <c r="OP95" s="22"/>
      <c r="OQ95" s="22"/>
      <c r="OR95" s="22"/>
      <c r="OS95" s="22"/>
      <c r="OT95" s="22"/>
      <c r="OU95" s="22"/>
      <c r="OV95" s="22"/>
      <c r="OW95" s="22"/>
      <c r="OX95" s="22"/>
      <c r="OY95" s="22"/>
      <c r="OZ95" s="22"/>
      <c r="PA95" s="22"/>
      <c r="PB95" s="22"/>
      <c r="PC95" s="22"/>
      <c r="PD95" s="22"/>
      <c r="PE95" s="22"/>
      <c r="PF95" s="22"/>
      <c r="PG95" s="22"/>
      <c r="PH95" s="22"/>
      <c r="PI95" s="22"/>
      <c r="PJ95" s="22"/>
      <c r="PK95" s="22"/>
      <c r="PL95" s="22"/>
      <c r="PM95" s="22"/>
      <c r="PN95" s="22"/>
      <c r="PO95" s="22"/>
      <c r="PP95" s="22"/>
      <c r="PQ95" s="22"/>
      <c r="PR95" s="22"/>
      <c r="PS95" s="22"/>
      <c r="PT95" s="22"/>
      <c r="PU95" s="22"/>
      <c r="PV95" s="22"/>
      <c r="PW95" s="22"/>
      <c r="PX95" s="22"/>
      <c r="PY95" s="22"/>
      <c r="PZ95" s="22"/>
      <c r="QA95" s="22"/>
      <c r="QB95" s="22"/>
      <c r="QC95" s="22"/>
      <c r="QD95" s="22"/>
      <c r="QE95" s="22"/>
      <c r="QF95" s="22"/>
      <c r="QG95" s="22"/>
      <c r="QH95" s="22"/>
      <c r="QI95" s="22"/>
      <c r="QJ95" s="22"/>
      <c r="QK95" s="22"/>
      <c r="QL95" s="22"/>
      <c r="QM95" s="22"/>
      <c r="QN95" s="22"/>
      <c r="QO95" s="22"/>
      <c r="QP95" s="22"/>
      <c r="QQ95" s="22"/>
      <c r="QR95" s="22"/>
      <c r="QS95" s="22"/>
      <c r="QT95" s="22"/>
      <c r="QU95" s="22"/>
      <c r="QV95" s="22"/>
      <c r="QW95" s="22"/>
      <c r="QX95" s="22"/>
      <c r="QY95" s="22"/>
      <c r="QZ95" s="22"/>
      <c r="RA95" s="22"/>
      <c r="RB95" s="22"/>
      <c r="RC95" s="22"/>
      <c r="RD95" s="22"/>
      <c r="RE95" s="22"/>
      <c r="RF95" s="22"/>
      <c r="RG95" s="22"/>
      <c r="RH95" s="22"/>
      <c r="RI95" s="22"/>
      <c r="RJ95" s="22"/>
      <c r="RK95" s="22"/>
      <c r="RL95" s="22"/>
      <c r="RM95" s="22"/>
      <c r="RN95" s="22"/>
      <c r="RO95" s="22"/>
      <c r="RP95" s="22"/>
      <c r="RQ95" s="22"/>
      <c r="RR95" s="22"/>
      <c r="RS95" s="22"/>
      <c r="RT95" s="22"/>
      <c r="RU95" s="22"/>
      <c r="RV95" s="22"/>
      <c r="RW95" s="22"/>
      <c r="RX95" s="22"/>
      <c r="RY95" s="22"/>
      <c r="RZ95" s="22"/>
      <c r="SA95" s="22"/>
      <c r="SB95" s="22"/>
      <c r="SC95" s="22"/>
      <c r="SD95" s="22"/>
      <c r="SE95" s="22"/>
      <c r="SF95" s="22"/>
      <c r="SG95" s="22"/>
      <c r="SH95" s="22"/>
      <c r="SI95" s="22"/>
      <c r="SJ95" s="22"/>
      <c r="SK95" s="22"/>
      <c r="SL95" s="22"/>
      <c r="SM95" s="22"/>
      <c r="SN95" s="22"/>
      <c r="SO95" s="22"/>
      <c r="SP95" s="22"/>
      <c r="SQ95" s="22"/>
      <c r="SR95" s="22"/>
      <c r="SS95" s="22"/>
      <c r="ST95" s="22"/>
      <c r="SU95" s="22"/>
      <c r="SV95" s="22"/>
      <c r="SW95" s="22"/>
      <c r="SX95" s="22"/>
      <c r="SY95" s="22"/>
      <c r="SZ95" s="22"/>
      <c r="TA95" s="22"/>
      <c r="TB95" s="22"/>
      <c r="TC95" s="22"/>
      <c r="TD95" s="22"/>
      <c r="TE95" s="22"/>
      <c r="TF95" s="22"/>
      <c r="TG95" s="22"/>
      <c r="TH95" s="22"/>
      <c r="TI95" s="22"/>
      <c r="TJ95" s="22"/>
      <c r="TK95" s="22"/>
      <c r="TL95" s="22"/>
      <c r="TM95" s="22"/>
      <c r="TN95" s="22"/>
      <c r="TO95" s="22"/>
      <c r="TP95" s="22"/>
      <c r="TQ95" s="22"/>
      <c r="TR95" s="22"/>
      <c r="TS95" s="22"/>
      <c r="TT95" s="22"/>
      <c r="TU95" s="22"/>
      <c r="TV95" s="22"/>
      <c r="TW95" s="22"/>
      <c r="TX95" s="22"/>
      <c r="TY95" s="22"/>
      <c r="TZ95" s="22"/>
      <c r="UA95" s="22"/>
      <c r="UB95" s="22"/>
      <c r="UC95" s="22"/>
      <c r="UD95" s="22"/>
      <c r="UE95" s="22"/>
      <c r="UF95" s="22"/>
      <c r="UG95" s="22"/>
      <c r="UH95" s="22"/>
      <c r="UI95" s="22"/>
      <c r="UJ95" s="22"/>
      <c r="UK95" s="22"/>
      <c r="UL95" s="22"/>
      <c r="UM95" s="22"/>
      <c r="UN95" s="22"/>
      <c r="UO95" s="22"/>
      <c r="UP95" s="22"/>
      <c r="UQ95" s="22"/>
      <c r="UR95" s="22"/>
      <c r="US95" s="22"/>
      <c r="UT95" s="22"/>
      <c r="UU95" s="22"/>
      <c r="UV95" s="22"/>
      <c r="UW95" s="22"/>
      <c r="UX95" s="22"/>
      <c r="UY95" s="22"/>
      <c r="UZ95" s="22"/>
      <c r="VA95" s="22"/>
      <c r="VB95" s="22"/>
      <c r="VC95" s="22"/>
      <c r="VD95" s="22"/>
      <c r="VE95" s="22"/>
      <c r="VF95" s="22"/>
      <c r="VG95" s="22"/>
      <c r="VH95" s="22"/>
      <c r="VI95" s="22"/>
      <c r="VJ95" s="22"/>
      <c r="VK95" s="22"/>
      <c r="VL95" s="22"/>
      <c r="VM95" s="22"/>
      <c r="VN95" s="22"/>
      <c r="VO95" s="22"/>
      <c r="VP95" s="22"/>
      <c r="VQ95" s="22"/>
      <c r="VR95" s="22"/>
      <c r="VS95" s="22"/>
      <c r="VT95" s="22"/>
      <c r="VU95" s="22"/>
      <c r="VV95" s="22"/>
      <c r="VW95" s="22"/>
      <c r="VX95" s="22"/>
      <c r="VY95" s="22"/>
      <c r="VZ95" s="22"/>
      <c r="WA95" s="22"/>
      <c r="WB95" s="22"/>
      <c r="WC95" s="22"/>
      <c r="WD95" s="22"/>
      <c r="WE95" s="22"/>
      <c r="WF95" s="22"/>
      <c r="WG95" s="22"/>
      <c r="WH95" s="22"/>
      <c r="WI95" s="22"/>
      <c r="WJ95" s="22"/>
      <c r="WK95" s="22"/>
      <c r="WL95" s="22"/>
      <c r="WM95" s="22"/>
      <c r="WN95" s="22"/>
      <c r="WO95" s="22"/>
      <c r="WP95" s="22"/>
      <c r="WQ95" s="22"/>
      <c r="WR95" s="22"/>
      <c r="WS95" s="22"/>
      <c r="WT95" s="22"/>
      <c r="WU95" s="22"/>
      <c r="WV95" s="22"/>
      <c r="WW95" s="22"/>
      <c r="WX95" s="22"/>
      <c r="WY95" s="22"/>
      <c r="WZ95" s="22"/>
      <c r="XA95" s="22"/>
      <c r="XB95" s="22"/>
      <c r="XC95" s="22"/>
      <c r="XD95" s="22"/>
      <c r="XE95" s="22"/>
      <c r="XF95" s="22"/>
      <c r="XG95" s="22"/>
      <c r="XH95" s="22"/>
      <c r="XI95" s="22"/>
      <c r="XJ95" s="22"/>
      <c r="XK95" s="22"/>
      <c r="XL95" s="22"/>
      <c r="XM95" s="22"/>
      <c r="XN95" s="22"/>
      <c r="XO95" s="22"/>
      <c r="XP95" s="22"/>
      <c r="XQ95" s="22"/>
      <c r="XR95" s="22"/>
      <c r="XS95" s="22"/>
      <c r="XT95" s="22"/>
      <c r="XU95" s="22"/>
      <c r="XV95" s="22"/>
      <c r="XW95" s="22"/>
      <c r="XX95" s="22"/>
      <c r="XY95" s="22"/>
      <c r="XZ95" s="22"/>
      <c r="YA95" s="22"/>
      <c r="YB95" s="22"/>
      <c r="YC95" s="22"/>
      <c r="YD95" s="22"/>
      <c r="YE95" s="22"/>
      <c r="YF95" s="22"/>
      <c r="YG95" s="22"/>
      <c r="YH95" s="22"/>
      <c r="YI95" s="22"/>
      <c r="YJ95" s="22"/>
      <c r="YK95" s="22"/>
      <c r="YL95" s="22"/>
      <c r="YM95" s="22"/>
      <c r="YN95" s="22"/>
      <c r="YO95" s="22"/>
      <c r="YP95" s="22"/>
      <c r="YQ95" s="22"/>
      <c r="YR95" s="22"/>
      <c r="YS95" s="22"/>
      <c r="YT95" s="22"/>
      <c r="YU95" s="22"/>
      <c r="YV95" s="22"/>
      <c r="YW95" s="22"/>
      <c r="YX95" s="22"/>
      <c r="YY95" s="22"/>
      <c r="YZ95" s="22"/>
      <c r="ZA95" s="22"/>
      <c r="ZB95" s="22"/>
      <c r="ZC95" s="22"/>
      <c r="ZD95" s="22"/>
      <c r="ZE95" s="22"/>
      <c r="ZF95" s="22"/>
      <c r="ZG95" s="22"/>
      <c r="ZH95" s="22"/>
      <c r="ZI95" s="22"/>
      <c r="ZJ95" s="22"/>
      <c r="ZK95" s="22"/>
      <c r="ZL95" s="22"/>
      <c r="ZM95" s="22"/>
      <c r="ZN95" s="22"/>
      <c r="ZO95" s="22"/>
      <c r="ZP95" s="22"/>
      <c r="ZQ95" s="22"/>
      <c r="ZR95" s="22"/>
      <c r="ZS95" s="22"/>
      <c r="ZT95" s="22"/>
      <c r="ZU95" s="22"/>
      <c r="ZV95" s="22"/>
      <c r="ZW95" s="22"/>
      <c r="ZX95" s="22"/>
      <c r="ZY95" s="22"/>
      <c r="ZZ95" s="22"/>
      <c r="AAA95" s="22"/>
      <c r="AAB95" s="22"/>
      <c r="AAC95" s="22"/>
      <c r="AAD95" s="22"/>
      <c r="AAE95" s="22"/>
      <c r="AAF95" s="22"/>
      <c r="AAG95" s="22"/>
      <c r="AAH95" s="22"/>
      <c r="AAI95" s="22"/>
      <c r="AAJ95" s="22"/>
      <c r="AAK95" s="22"/>
      <c r="AAL95" s="22"/>
      <c r="AAM95" s="22"/>
      <c r="AAN95" s="22"/>
      <c r="AAO95" s="22"/>
      <c r="AAP95" s="22"/>
      <c r="AAQ95" s="22"/>
      <c r="AAR95" s="22"/>
      <c r="AAS95" s="22"/>
      <c r="AAT95" s="22"/>
      <c r="AAU95" s="22"/>
      <c r="AAV95" s="22"/>
      <c r="AAW95" s="22"/>
      <c r="AAX95" s="22"/>
      <c r="AAY95" s="22"/>
      <c r="AAZ95" s="22"/>
      <c r="ABA95" s="22"/>
      <c r="ABB95" s="22"/>
      <c r="ABC95" s="22"/>
      <c r="ABD95" s="22"/>
      <c r="ABE95" s="22"/>
      <c r="ABF95" s="22"/>
      <c r="ABG95" s="22"/>
      <c r="ABH95" s="22"/>
      <c r="ABI95" s="22"/>
      <c r="ABJ95" s="22"/>
      <c r="ABK95" s="22"/>
      <c r="ABL95" s="22"/>
      <c r="ABM95" s="22"/>
      <c r="ABN95" s="22"/>
      <c r="ABO95" s="22"/>
      <c r="ABP95" s="22"/>
      <c r="ABQ95" s="22"/>
      <c r="ABR95" s="22"/>
      <c r="ABS95" s="22"/>
      <c r="ABT95" s="22"/>
      <c r="ABU95" s="22"/>
      <c r="ABV95" s="22"/>
      <c r="ABW95" s="22"/>
      <c r="ABX95" s="22"/>
      <c r="ABY95" s="22"/>
      <c r="ABZ95" s="22"/>
      <c r="ACA95" s="22"/>
      <c r="ACB95" s="22"/>
      <c r="ACC95" s="22"/>
      <c r="ACD95" s="22"/>
      <c r="ACE95" s="22"/>
      <c r="ACF95" s="22"/>
      <c r="ACG95" s="22"/>
      <c r="ACH95" s="22"/>
      <c r="ACI95" s="22"/>
      <c r="ACJ95" s="22"/>
      <c r="ACK95" s="22"/>
      <c r="ACL95" s="22"/>
      <c r="ACM95" s="22"/>
      <c r="ACN95" s="22"/>
      <c r="ACO95" s="22"/>
      <c r="ACP95" s="22"/>
      <c r="ACQ95" s="22"/>
      <c r="ACR95" s="22"/>
      <c r="ACS95" s="22"/>
      <c r="ACT95" s="22"/>
      <c r="ACU95" s="22"/>
      <c r="ACV95" s="22"/>
      <c r="ACW95" s="22"/>
      <c r="ACX95" s="22"/>
      <c r="ACY95" s="22"/>
      <c r="ACZ95" s="22"/>
      <c r="ADA95" s="22"/>
      <c r="ADB95" s="22"/>
      <c r="ADC95" s="22"/>
      <c r="ADD95" s="22"/>
      <c r="ADE95" s="22"/>
      <c r="ADF95" s="22"/>
      <c r="ADG95" s="22"/>
      <c r="ADH95" s="22"/>
      <c r="ADI95" s="22"/>
      <c r="ADJ95" s="22"/>
      <c r="ADK95" s="22"/>
      <c r="ADL95" s="22"/>
      <c r="ADM95" s="22"/>
      <c r="ADN95" s="22"/>
      <c r="ADO95" s="22"/>
      <c r="ADP95" s="22"/>
      <c r="ADQ95" s="22"/>
      <c r="ADR95" s="22"/>
      <c r="ADS95" s="22"/>
      <c r="ADT95" s="22"/>
      <c r="ADU95" s="22"/>
      <c r="ADV95" s="22"/>
      <c r="ADW95" s="22"/>
      <c r="ADX95" s="22"/>
      <c r="ADY95" s="22"/>
      <c r="ADZ95" s="22"/>
      <c r="AEA95" s="22"/>
      <c r="AEB95" s="22"/>
      <c r="AEC95" s="22"/>
      <c r="AED95" s="22"/>
      <c r="AEE95" s="22"/>
      <c r="AEF95" s="22"/>
      <c r="AEG95" s="22"/>
      <c r="AEH95" s="22"/>
      <c r="AEI95" s="22"/>
      <c r="AEJ95" s="22"/>
      <c r="AEK95" s="22"/>
      <c r="AEL95" s="22"/>
      <c r="AEM95" s="22"/>
      <c r="AEN95" s="22"/>
      <c r="AEO95" s="22"/>
      <c r="AEP95" s="22"/>
      <c r="AEQ95" s="22"/>
      <c r="AER95" s="22"/>
      <c r="AES95" s="22"/>
      <c r="AET95" s="22"/>
      <c r="AEU95" s="22"/>
      <c r="AEV95" s="22"/>
      <c r="AEW95" s="22"/>
      <c r="AEX95" s="22"/>
      <c r="AEY95" s="22"/>
      <c r="AEZ95" s="22"/>
      <c r="AFA95" s="22"/>
      <c r="AFB95" s="22"/>
      <c r="AFC95" s="22"/>
      <c r="AFD95" s="22"/>
      <c r="AFE95" s="22"/>
      <c r="AFF95" s="22"/>
      <c r="AFG95" s="22"/>
      <c r="AFH95" s="22"/>
      <c r="AFI95" s="22"/>
      <c r="AFJ95" s="22"/>
      <c r="AFK95" s="22"/>
      <c r="AFL95" s="22"/>
      <c r="AFM95" s="22"/>
      <c r="AFN95" s="22"/>
      <c r="AFO95" s="22"/>
      <c r="AFP95" s="22"/>
      <c r="AFQ95" s="22"/>
      <c r="AFR95" s="22"/>
      <c r="AFS95" s="22"/>
      <c r="AFT95" s="22"/>
      <c r="AFU95" s="22"/>
      <c r="AFV95" s="22"/>
      <c r="AFW95" s="22"/>
      <c r="AFX95" s="22"/>
      <c r="AFY95" s="22"/>
      <c r="AFZ95" s="22"/>
      <c r="AGA95" s="22"/>
      <c r="AGB95" s="22"/>
      <c r="AGC95" s="22"/>
      <c r="AGD95" s="22"/>
      <c r="AGE95" s="22"/>
      <c r="AGF95" s="22"/>
      <c r="AGG95" s="22"/>
      <c r="AGH95" s="22"/>
      <c r="AGI95" s="22"/>
      <c r="AGJ95" s="22"/>
      <c r="AGK95" s="22"/>
      <c r="AGL95" s="22"/>
      <c r="AGM95" s="22"/>
      <c r="AGN95" s="22"/>
      <c r="AGO95" s="22"/>
      <c r="AGP95" s="22"/>
      <c r="AGQ95" s="22"/>
      <c r="AGR95" s="22"/>
      <c r="AGS95" s="22"/>
      <c r="AGT95" s="22"/>
      <c r="AGU95" s="22"/>
      <c r="AGV95" s="22"/>
      <c r="AGW95" s="22"/>
      <c r="AGX95" s="22"/>
      <c r="AGY95" s="22"/>
      <c r="AGZ95" s="22"/>
      <c r="AHA95" s="22"/>
      <c r="AHB95" s="22"/>
      <c r="AHC95" s="22"/>
      <c r="AHD95" s="22"/>
      <c r="AHE95" s="22"/>
      <c r="AHF95" s="22"/>
      <c r="AHG95" s="22"/>
      <c r="AHH95" s="22"/>
      <c r="AHI95" s="22"/>
      <c r="AHJ95" s="22"/>
      <c r="AHK95" s="22"/>
      <c r="AHL95" s="22"/>
      <c r="AHM95" s="22"/>
      <c r="AHN95" s="22"/>
      <c r="AHO95" s="22"/>
      <c r="AHP95" s="22"/>
      <c r="AHQ95" s="22"/>
      <c r="AHR95" s="22"/>
      <c r="AHS95" s="22"/>
      <c r="AHT95" s="22"/>
      <c r="AHU95" s="22"/>
      <c r="AHV95" s="22"/>
      <c r="AHW95" s="22"/>
      <c r="AHX95" s="22"/>
      <c r="AHY95" s="22"/>
      <c r="AHZ95" s="22"/>
      <c r="AIA95" s="22"/>
      <c r="AIB95" s="22"/>
      <c r="AIC95" s="22"/>
      <c r="AID95" s="22"/>
      <c r="AIE95" s="22"/>
      <c r="AIF95" s="22"/>
      <c r="AIG95" s="22"/>
      <c r="AIH95" s="22"/>
      <c r="AII95" s="22"/>
      <c r="AIJ95" s="22"/>
      <c r="AIK95" s="22"/>
      <c r="AIL95" s="22"/>
      <c r="AIM95" s="22"/>
      <c r="AIN95" s="22"/>
      <c r="AIO95" s="22"/>
      <c r="AIP95" s="22"/>
      <c r="AIQ95" s="22"/>
      <c r="AIR95" s="22"/>
      <c r="AIS95" s="22"/>
      <c r="AIT95" s="22"/>
      <c r="AIU95" s="22"/>
      <c r="AIV95" s="22"/>
      <c r="AIW95" s="22"/>
      <c r="AIX95" s="22"/>
      <c r="AIY95" s="22"/>
      <c r="AIZ95" s="22"/>
      <c r="AJA95" s="22"/>
      <c r="AJB95" s="22"/>
      <c r="AJC95" s="22"/>
      <c r="AJD95" s="22"/>
      <c r="AJE95" s="22"/>
      <c r="AJF95" s="22"/>
      <c r="AJG95" s="22"/>
      <c r="AJH95" s="22"/>
      <c r="AJI95" s="22"/>
      <c r="AJJ95" s="22"/>
      <c r="AJK95" s="22"/>
      <c r="AJL95" s="22"/>
      <c r="AJM95" s="22"/>
      <c r="AJN95" s="22"/>
      <c r="AJO95" s="22"/>
      <c r="AJP95" s="22"/>
      <c r="AJQ95" s="22"/>
      <c r="AJR95" s="22"/>
      <c r="AJS95" s="22"/>
      <c r="AJT95" s="22"/>
      <c r="AJU95" s="22"/>
      <c r="AJV95" s="22"/>
      <c r="AJW95" s="22"/>
      <c r="AJX95" s="22"/>
      <c r="AJY95" s="22"/>
      <c r="AJZ95" s="22"/>
      <c r="AKA95" s="22"/>
      <c r="AKB95" s="22"/>
      <c r="AKC95" s="22"/>
      <c r="AKD95" s="22"/>
      <c r="AKE95" s="22"/>
      <c r="AKF95" s="22"/>
      <c r="AKG95" s="22"/>
      <c r="AKH95" s="22"/>
      <c r="AKI95" s="22"/>
      <c r="AKJ95" s="22"/>
      <c r="AKK95" s="22"/>
      <c r="AKL95" s="22"/>
      <c r="AKM95" s="22"/>
      <c r="AKN95" s="22"/>
      <c r="AKO95" s="22"/>
      <c r="AKP95" s="22"/>
      <c r="AKQ95" s="22"/>
      <c r="AKR95" s="22"/>
      <c r="AKS95" s="22"/>
      <c r="AKT95" s="22"/>
      <c r="AKU95" s="22"/>
      <c r="AKV95" s="22"/>
      <c r="AKW95" s="22"/>
      <c r="AKX95" s="22"/>
      <c r="AKY95" s="22"/>
      <c r="AKZ95" s="22"/>
      <c r="ALA95" s="22"/>
      <c r="ALB95" s="22"/>
      <c r="ALC95" s="22"/>
      <c r="ALD95" s="22"/>
      <c r="ALE95" s="22"/>
      <c r="ALF95" s="22"/>
      <c r="ALG95" s="22"/>
      <c r="ALH95" s="22"/>
      <c r="ALI95" s="22"/>
      <c r="ALJ95" s="22"/>
      <c r="ALK95" s="22"/>
      <c r="ALL95" s="22"/>
      <c r="ALM95" s="22"/>
      <c r="ALN95" s="22"/>
      <c r="ALO95" s="22"/>
      <c r="ALP95" s="22"/>
      <c r="ALQ95" s="22"/>
      <c r="ALR95" s="22"/>
      <c r="ALS95" s="22"/>
      <c r="ALT95" s="22"/>
      <c r="ALU95" s="22"/>
      <c r="ALV95" s="22"/>
      <c r="ALW95" s="22"/>
      <c r="ALX95" s="22"/>
      <c r="ALY95" s="22"/>
      <c r="ALZ95" s="22"/>
      <c r="AMA95" s="22"/>
      <c r="AMB95" s="22"/>
      <c r="AMC95" s="22"/>
      <c r="AMD95" s="22"/>
      <c r="AME95" s="22"/>
      <c r="AMF95" s="22"/>
      <c r="AMG95" s="22"/>
      <c r="AMH95" s="22"/>
      <c r="AMI95" s="22"/>
      <c r="AMJ95" s="22"/>
      <c r="AMK95" s="22"/>
      <c r="AML95" s="22"/>
      <c r="AMM95" s="22"/>
      <c r="AMN95" s="22"/>
      <c r="AMO95" s="22"/>
      <c r="AMP95" s="22"/>
      <c r="AMQ95" s="22"/>
      <c r="AMR95" s="22"/>
      <c r="AMS95" s="22"/>
      <c r="AMT95" s="22"/>
      <c r="AMU95" s="22"/>
      <c r="AMV95" s="22"/>
      <c r="AMW95" s="22"/>
      <c r="AMX95" s="22"/>
      <c r="AMY95" s="22"/>
      <c r="AMZ95" s="22"/>
      <c r="ANA95" s="22"/>
      <c r="ANB95" s="22"/>
      <c r="ANC95" s="22"/>
      <c r="AND95" s="22"/>
      <c r="ANE95" s="22"/>
      <c r="ANF95" s="22"/>
      <c r="ANG95" s="22"/>
      <c r="ANH95" s="22"/>
      <c r="ANI95" s="22"/>
      <c r="ANJ95" s="22"/>
      <c r="ANK95" s="22"/>
      <c r="ANL95" s="22"/>
      <c r="ANM95" s="22"/>
      <c r="ANN95" s="22"/>
      <c r="ANO95" s="22"/>
      <c r="ANP95" s="22"/>
      <c r="ANQ95" s="22"/>
      <c r="ANR95" s="22"/>
      <c r="ANS95" s="22"/>
      <c r="ANT95" s="22"/>
      <c r="ANU95" s="22"/>
      <c r="ANV95" s="22"/>
      <c r="ANW95" s="22"/>
      <c r="ANX95" s="22"/>
      <c r="ANY95" s="22"/>
      <c r="ANZ95" s="22"/>
      <c r="AOA95" s="22"/>
      <c r="AOB95" s="22"/>
      <c r="AOC95" s="22"/>
      <c r="AOD95" s="22"/>
      <c r="AOE95" s="22"/>
      <c r="AOF95" s="22"/>
      <c r="AOG95" s="22"/>
      <c r="AOH95" s="22"/>
      <c r="AOI95" s="22"/>
      <c r="AOJ95" s="22"/>
      <c r="AOK95" s="22"/>
      <c r="AOL95" s="22"/>
      <c r="AOM95" s="22"/>
      <c r="AON95" s="22"/>
      <c r="AOO95" s="22"/>
      <c r="AOP95" s="22"/>
      <c r="AOQ95" s="22"/>
      <c r="AOR95" s="22"/>
      <c r="AOS95" s="22"/>
      <c r="AOT95" s="22"/>
      <c r="AOU95" s="22"/>
      <c r="AOV95" s="22"/>
      <c r="AOW95" s="22"/>
      <c r="AOX95" s="22"/>
      <c r="AOY95" s="22"/>
      <c r="AOZ95" s="22"/>
      <c r="APA95" s="22"/>
      <c r="APB95" s="22"/>
      <c r="APC95" s="22"/>
      <c r="APD95" s="22"/>
      <c r="APE95" s="22"/>
      <c r="APF95" s="22"/>
      <c r="APG95" s="22"/>
      <c r="APH95" s="22"/>
      <c r="API95" s="22"/>
      <c r="APJ95" s="22"/>
      <c r="APK95" s="22"/>
      <c r="APL95" s="22"/>
      <c r="APM95" s="22"/>
      <c r="APN95" s="22"/>
      <c r="APO95" s="22"/>
      <c r="APP95" s="22"/>
      <c r="APQ95" s="22"/>
      <c r="APR95" s="22"/>
      <c r="APS95" s="22"/>
      <c r="APT95" s="22"/>
      <c r="APU95" s="22"/>
      <c r="APV95" s="22"/>
      <c r="APW95" s="22"/>
      <c r="APX95" s="22"/>
      <c r="APY95" s="22"/>
      <c r="APZ95" s="22"/>
      <c r="AQA95" s="22"/>
      <c r="AQB95" s="22"/>
      <c r="AQC95" s="22"/>
      <c r="AQD95" s="22"/>
      <c r="AQE95" s="22"/>
      <c r="AQF95" s="22"/>
      <c r="AQG95" s="22"/>
      <c r="AQH95" s="22"/>
      <c r="AQI95" s="22"/>
      <c r="AQJ95" s="22"/>
      <c r="AQK95" s="22"/>
      <c r="AQL95" s="22"/>
      <c r="AQM95" s="22"/>
      <c r="AQN95" s="22"/>
      <c r="AQO95" s="22"/>
      <c r="AQP95" s="22"/>
      <c r="AQQ95" s="22"/>
      <c r="AQR95" s="22"/>
      <c r="AQS95" s="22"/>
      <c r="AQT95" s="22"/>
      <c r="AQU95" s="22"/>
      <c r="AQV95" s="22"/>
      <c r="AQW95" s="22"/>
      <c r="AQX95" s="22"/>
      <c r="AQY95" s="22"/>
      <c r="AQZ95" s="22"/>
      <c r="ARA95" s="22"/>
      <c r="ARB95" s="22"/>
      <c r="ARC95" s="22"/>
      <c r="ARD95" s="22"/>
      <c r="ARE95" s="22"/>
      <c r="ARF95" s="22"/>
      <c r="ARG95" s="22"/>
      <c r="ARH95" s="22"/>
      <c r="ARI95" s="22"/>
      <c r="ARJ95" s="22"/>
      <c r="ARK95" s="22"/>
      <c r="ARL95" s="22"/>
      <c r="ARM95" s="22"/>
      <c r="ARN95" s="22"/>
      <c r="ARO95" s="22"/>
      <c r="ARP95" s="22"/>
      <c r="ARQ95" s="22"/>
      <c r="ARR95" s="22"/>
      <c r="ARS95" s="22"/>
      <c r="ART95" s="22"/>
      <c r="ARU95" s="22"/>
      <c r="ARV95" s="22"/>
      <c r="ARW95" s="22"/>
      <c r="ARX95" s="22"/>
      <c r="ARY95" s="22"/>
      <c r="ARZ95" s="22"/>
      <c r="ASA95" s="22"/>
      <c r="ASB95" s="22"/>
      <c r="ASC95" s="22"/>
      <c r="ASD95" s="22"/>
      <c r="ASE95" s="22"/>
      <c r="ASF95" s="22"/>
      <c r="ASG95" s="22"/>
      <c r="ASH95" s="22"/>
      <c r="ASI95" s="22"/>
      <c r="ASJ95" s="22"/>
      <c r="ASK95" s="22"/>
      <c r="ASL95" s="22"/>
      <c r="ASM95" s="22"/>
      <c r="ASN95" s="22"/>
      <c r="ASO95" s="22"/>
      <c r="ASP95" s="22"/>
      <c r="ASQ95" s="22"/>
      <c r="ASR95" s="22"/>
      <c r="ASS95" s="22"/>
      <c r="AST95" s="22"/>
      <c r="ASU95" s="22"/>
      <c r="ASV95" s="22"/>
      <c r="ASW95" s="22"/>
      <c r="ASX95" s="22"/>
      <c r="ASY95" s="22"/>
      <c r="ASZ95" s="22"/>
      <c r="ATA95" s="22"/>
      <c r="ATB95" s="22"/>
      <c r="ATC95" s="22"/>
      <c r="ATD95" s="22"/>
      <c r="ATE95" s="22"/>
      <c r="ATF95" s="22"/>
      <c r="ATG95" s="22"/>
      <c r="ATH95" s="22"/>
      <c r="ATI95" s="22"/>
      <c r="ATJ95" s="22"/>
      <c r="ATK95" s="22"/>
      <c r="ATL95" s="22"/>
      <c r="ATM95" s="22"/>
      <c r="ATN95" s="22"/>
      <c r="ATO95" s="22"/>
      <c r="ATP95" s="22"/>
      <c r="ATQ95" s="22"/>
      <c r="ATR95" s="22"/>
      <c r="ATS95" s="22"/>
      <c r="ATT95" s="22"/>
      <c r="ATU95" s="22"/>
      <c r="ATV95" s="22"/>
      <c r="ATW95" s="22"/>
      <c r="ATX95" s="22"/>
      <c r="ATY95" s="22"/>
      <c r="ATZ95" s="22"/>
      <c r="AUA95" s="22"/>
      <c r="AUB95" s="22"/>
      <c r="AUC95" s="22"/>
      <c r="AUD95" s="22"/>
      <c r="AUE95" s="22"/>
      <c r="AUF95" s="22"/>
      <c r="AUG95" s="22"/>
      <c r="AUH95" s="22"/>
      <c r="AUI95" s="22"/>
      <c r="AUJ95" s="22"/>
      <c r="AUK95" s="22"/>
      <c r="AUL95" s="22"/>
      <c r="AUM95" s="22"/>
      <c r="AUN95" s="22"/>
      <c r="AUO95" s="22"/>
      <c r="AUP95" s="22"/>
      <c r="AUQ95" s="22"/>
      <c r="AUR95" s="22"/>
      <c r="AUS95" s="22"/>
      <c r="AUT95" s="22"/>
      <c r="AUU95" s="22"/>
      <c r="AUV95" s="22"/>
      <c r="AUW95" s="22"/>
      <c r="AUX95" s="22"/>
      <c r="AUY95" s="22"/>
      <c r="AUZ95" s="22"/>
      <c r="AVA95" s="22"/>
      <c r="AVB95" s="22"/>
      <c r="AVC95" s="22"/>
      <c r="AVD95" s="22"/>
      <c r="AVE95" s="22"/>
      <c r="AVF95" s="22"/>
      <c r="AVG95" s="22"/>
      <c r="AVH95" s="22"/>
      <c r="AVI95" s="22"/>
      <c r="AVJ95" s="22"/>
      <c r="AVK95" s="22"/>
      <c r="AVL95" s="22"/>
      <c r="AVM95" s="22"/>
      <c r="AVN95" s="22"/>
      <c r="AVO95" s="22"/>
      <c r="AVP95" s="22"/>
      <c r="AVQ95" s="22"/>
      <c r="AVR95" s="22"/>
      <c r="AVS95" s="22"/>
      <c r="AVT95" s="22"/>
      <c r="AVU95" s="22"/>
      <c r="AVV95" s="22"/>
      <c r="AVW95" s="22"/>
      <c r="AVX95" s="22"/>
      <c r="AVY95" s="22"/>
      <c r="AVZ95" s="22"/>
      <c r="AWA95" s="22"/>
      <c r="AWB95" s="22"/>
      <c r="AWC95" s="22"/>
      <c r="AWD95" s="22"/>
      <c r="AWE95" s="22"/>
      <c r="AWF95" s="22"/>
      <c r="AWG95" s="22"/>
      <c r="AWH95" s="22"/>
      <c r="AWI95" s="22"/>
      <c r="AWJ95" s="22"/>
      <c r="AWK95" s="22"/>
      <c r="AWL95" s="22"/>
      <c r="AWM95" s="22"/>
      <c r="AWN95" s="22"/>
      <c r="AWO95" s="22"/>
      <c r="AWP95" s="22"/>
      <c r="AWQ95" s="22"/>
      <c r="AWR95" s="22"/>
      <c r="AWS95" s="22"/>
      <c r="AWT95" s="22"/>
      <c r="AWU95" s="22"/>
      <c r="AWV95" s="22"/>
      <c r="AWW95" s="22"/>
      <c r="AWX95" s="22"/>
      <c r="AWY95" s="22"/>
      <c r="AWZ95" s="22"/>
      <c r="AXA95" s="22"/>
      <c r="AXB95" s="22"/>
      <c r="AXC95" s="22"/>
      <c r="AXD95" s="22"/>
      <c r="AXE95" s="22"/>
      <c r="AXF95" s="22"/>
      <c r="AXG95" s="22"/>
      <c r="AXH95" s="22"/>
      <c r="AXI95" s="22"/>
      <c r="AXJ95" s="22"/>
      <c r="AXK95" s="22"/>
      <c r="AXL95" s="22"/>
      <c r="AXM95" s="22"/>
      <c r="AXN95" s="22"/>
      <c r="AXO95" s="22"/>
      <c r="AXP95" s="22"/>
      <c r="AXQ95" s="22"/>
      <c r="AXR95" s="22"/>
      <c r="AXS95" s="22"/>
      <c r="AXT95" s="22"/>
      <c r="AXU95" s="22"/>
      <c r="AXV95" s="22"/>
      <c r="AXW95" s="22"/>
      <c r="AXX95" s="22"/>
      <c r="AXY95" s="22"/>
      <c r="AXZ95" s="22"/>
      <c r="AYA95" s="22"/>
      <c r="AYB95" s="22"/>
      <c r="AYC95" s="22"/>
      <c r="AYD95" s="22"/>
      <c r="AYE95" s="22"/>
      <c r="AYF95" s="22"/>
      <c r="AYG95" s="22"/>
      <c r="AYH95" s="22"/>
      <c r="AYI95" s="22"/>
      <c r="AYJ95" s="22"/>
      <c r="AYK95" s="22"/>
      <c r="AYL95" s="22"/>
      <c r="AYM95" s="22"/>
      <c r="AYN95" s="22"/>
      <c r="AYO95" s="22"/>
      <c r="AYP95" s="22"/>
      <c r="AYQ95" s="22"/>
      <c r="AYR95" s="22"/>
      <c r="AYS95" s="22"/>
      <c r="AYT95" s="22"/>
      <c r="AYU95" s="22"/>
      <c r="AYV95" s="22"/>
      <c r="AYW95" s="22"/>
      <c r="AYX95" s="22"/>
      <c r="AYY95" s="22"/>
      <c r="AYZ95" s="22"/>
      <c r="AZA95" s="22"/>
      <c r="AZB95" s="22"/>
      <c r="AZC95" s="22"/>
      <c r="AZD95" s="22"/>
      <c r="AZE95" s="22"/>
      <c r="AZF95" s="22"/>
      <c r="AZG95" s="22"/>
      <c r="AZH95" s="22"/>
      <c r="AZI95" s="22"/>
      <c r="AZJ95" s="22"/>
      <c r="AZK95" s="22"/>
      <c r="AZL95" s="22"/>
      <c r="AZM95" s="22"/>
      <c r="AZN95" s="22"/>
      <c r="AZO95" s="22"/>
      <c r="AZP95" s="22"/>
      <c r="AZQ95" s="22"/>
      <c r="AZR95" s="22"/>
      <c r="AZS95" s="22"/>
      <c r="AZT95" s="22"/>
      <c r="AZU95" s="22"/>
      <c r="AZV95" s="22"/>
      <c r="AZW95" s="22"/>
      <c r="AZX95" s="22"/>
      <c r="AZY95" s="22"/>
      <c r="AZZ95" s="22"/>
      <c r="BAA95" s="22"/>
      <c r="BAB95" s="22"/>
      <c r="BAC95" s="22"/>
      <c r="BAD95" s="22"/>
      <c r="BAE95" s="22"/>
      <c r="BAF95" s="22"/>
      <c r="BAG95" s="22"/>
      <c r="BAH95" s="22"/>
      <c r="BAI95" s="22"/>
      <c r="BAJ95" s="22"/>
      <c r="BAK95" s="22"/>
      <c r="BAL95" s="22"/>
      <c r="BAM95" s="22"/>
      <c r="BAN95" s="22"/>
      <c r="BAO95" s="22"/>
      <c r="BAP95" s="22"/>
      <c r="BAQ95" s="22"/>
      <c r="BAR95" s="22"/>
      <c r="BAS95" s="22"/>
      <c r="BAT95" s="22"/>
      <c r="BAU95" s="22"/>
      <c r="BAV95" s="22"/>
      <c r="BAW95" s="22"/>
      <c r="BAX95" s="22"/>
      <c r="BAY95" s="22"/>
      <c r="BAZ95" s="22"/>
      <c r="BBA95" s="22"/>
      <c r="BBB95" s="22"/>
      <c r="BBC95" s="22"/>
      <c r="BBD95" s="22"/>
      <c r="BBE95" s="22"/>
      <c r="BBF95" s="22"/>
      <c r="BBG95" s="22"/>
      <c r="BBH95" s="22"/>
      <c r="BBI95" s="22"/>
      <c r="BBJ95" s="22"/>
      <c r="BBK95" s="22"/>
      <c r="BBL95" s="22"/>
      <c r="BBM95" s="22"/>
      <c r="BBN95" s="22"/>
      <c r="BBO95" s="22"/>
      <c r="BBP95" s="22"/>
      <c r="BBQ95" s="22"/>
      <c r="BBR95" s="22"/>
      <c r="BBS95" s="22"/>
      <c r="BBT95" s="22"/>
      <c r="BBU95" s="22"/>
      <c r="BBV95" s="22"/>
      <c r="BBW95" s="22"/>
      <c r="BBX95" s="22"/>
      <c r="BBY95" s="22"/>
      <c r="BBZ95" s="22"/>
      <c r="BCA95" s="22"/>
      <c r="BCB95" s="22"/>
      <c r="BCC95" s="22"/>
      <c r="BCD95" s="22"/>
      <c r="BCE95" s="22"/>
      <c r="BCF95" s="22"/>
      <c r="BCG95" s="22"/>
      <c r="BCH95" s="22"/>
      <c r="BCI95" s="22"/>
      <c r="BCJ95" s="22"/>
      <c r="BCK95" s="22"/>
      <c r="BCL95" s="22"/>
      <c r="BCM95" s="22"/>
      <c r="BCN95" s="22"/>
      <c r="BCO95" s="22"/>
      <c r="BCP95" s="22"/>
      <c r="BCQ95" s="22"/>
      <c r="BCR95" s="22"/>
      <c r="BCS95" s="22"/>
      <c r="BCT95" s="22"/>
      <c r="BCU95" s="22"/>
      <c r="BCV95" s="22"/>
      <c r="BCW95" s="22"/>
      <c r="BCX95" s="22"/>
      <c r="BCY95" s="22"/>
      <c r="BCZ95" s="22"/>
      <c r="BDA95" s="22"/>
      <c r="BDB95" s="22"/>
      <c r="BDC95" s="22"/>
      <c r="BDD95" s="22"/>
      <c r="BDE95" s="22"/>
      <c r="BDF95" s="22"/>
      <c r="BDG95" s="22"/>
      <c r="BDH95" s="22"/>
      <c r="BDI95" s="22"/>
      <c r="BDJ95" s="22"/>
      <c r="BDK95" s="22"/>
      <c r="BDL95" s="22"/>
      <c r="BDM95" s="22"/>
      <c r="BDN95" s="22"/>
      <c r="BDO95" s="22"/>
      <c r="BDP95" s="22"/>
      <c r="BDQ95" s="22"/>
      <c r="BDR95" s="22"/>
      <c r="BDS95" s="22"/>
      <c r="BDT95" s="22"/>
      <c r="BDU95" s="22"/>
      <c r="BDV95" s="22"/>
      <c r="BDW95" s="22"/>
      <c r="BDX95" s="22"/>
      <c r="BDY95" s="22"/>
      <c r="BDZ95" s="22"/>
      <c r="BEA95" s="22"/>
      <c r="BEB95" s="22"/>
      <c r="BEC95" s="22"/>
      <c r="BED95" s="22"/>
      <c r="BEE95" s="22"/>
      <c r="BEF95" s="22"/>
      <c r="BEG95" s="22"/>
      <c r="BEH95" s="22"/>
      <c r="BEI95" s="22"/>
      <c r="BEJ95" s="22"/>
      <c r="BEK95" s="22"/>
      <c r="BEL95" s="22"/>
      <c r="BEM95" s="22"/>
      <c r="BEN95" s="22"/>
      <c r="BEO95" s="22"/>
      <c r="BEP95" s="22"/>
      <c r="BEQ95" s="22"/>
      <c r="BER95" s="22"/>
      <c r="BES95" s="22"/>
      <c r="BET95" s="22"/>
      <c r="BEU95" s="22"/>
      <c r="BEV95" s="22"/>
      <c r="BEW95" s="22"/>
      <c r="BEX95" s="22"/>
      <c r="BEY95" s="22"/>
      <c r="BEZ95" s="22"/>
      <c r="BFA95" s="22"/>
      <c r="BFB95" s="22"/>
      <c r="BFC95" s="22"/>
      <c r="BFD95" s="22"/>
      <c r="BFE95" s="22"/>
      <c r="BFF95" s="22"/>
      <c r="BFG95" s="22"/>
      <c r="BFH95" s="22"/>
      <c r="BFI95" s="22"/>
      <c r="BFJ95" s="22"/>
      <c r="BFK95" s="22"/>
      <c r="BFL95" s="22"/>
      <c r="BFM95" s="22"/>
      <c r="BFN95" s="22"/>
      <c r="BFO95" s="22"/>
      <c r="BFP95" s="22"/>
      <c r="BFQ95" s="22"/>
      <c r="BFR95" s="22"/>
      <c r="BFS95" s="22"/>
      <c r="BFT95" s="22"/>
      <c r="BFU95" s="22"/>
      <c r="BFV95" s="22"/>
      <c r="BFW95" s="22"/>
    </row>
    <row r="96" spans="1:1531" s="181" customFormat="1" ht="46.15" customHeight="1" x14ac:dyDescent="0.2">
      <c r="A96" s="261" t="s">
        <v>468</v>
      </c>
      <c r="B96" s="249"/>
      <c r="C96" s="88" t="s">
        <v>498</v>
      </c>
      <c r="D96" s="249"/>
      <c r="E96" s="249" t="s">
        <v>745</v>
      </c>
      <c r="F96" s="249"/>
      <c r="G96" s="249" t="s">
        <v>476</v>
      </c>
      <c r="H96" s="141"/>
      <c r="I96" s="245">
        <v>695</v>
      </c>
      <c r="J96" s="143"/>
      <c r="K96" s="88" t="s">
        <v>110</v>
      </c>
      <c r="L96" s="143"/>
      <c r="M96" s="143"/>
      <c r="N96" s="143"/>
      <c r="O96" s="143">
        <v>2016</v>
      </c>
      <c r="P96" s="129" t="s">
        <v>680</v>
      </c>
      <c r="Q96" s="143"/>
      <c r="R96" s="143"/>
      <c r="S96" s="246"/>
      <c r="T96" s="143"/>
      <c r="U96" s="143"/>
      <c r="V96" s="143"/>
      <c r="W96" s="143"/>
      <c r="X96" s="143"/>
      <c r="Y96" s="247"/>
      <c r="Z96" s="143"/>
      <c r="AA96" s="246"/>
      <c r="AB96" s="143"/>
      <c r="AC96" s="143"/>
      <c r="AD96" s="143"/>
      <c r="AE96" s="143"/>
      <c r="AF96" s="143"/>
      <c r="AG96" s="143"/>
      <c r="AH96" s="143"/>
      <c r="AI96" s="143"/>
      <c r="AJ96" s="143"/>
      <c r="AK96" s="143"/>
      <c r="AL96" s="143">
        <v>16</v>
      </c>
      <c r="AM96" s="143"/>
      <c r="AN96" s="248">
        <v>11120</v>
      </c>
      <c r="AP96" s="473"/>
      <c r="AQ96" s="486"/>
      <c r="AT96" s="491"/>
      <c r="AU96" s="481" t="s">
        <v>713</v>
      </c>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c r="IU96" s="22"/>
      <c r="IV96" s="22"/>
      <c r="IW96" s="22"/>
      <c r="IX96" s="22"/>
      <c r="IY96" s="22"/>
      <c r="IZ96" s="22"/>
      <c r="JA96" s="22"/>
      <c r="JB96" s="22"/>
      <c r="JC96" s="22"/>
      <c r="JD96" s="22"/>
      <c r="JE96" s="22"/>
      <c r="JF96" s="22"/>
      <c r="JG96" s="22"/>
      <c r="JH96" s="22"/>
      <c r="JI96" s="22"/>
      <c r="JJ96" s="22"/>
      <c r="JK96" s="22"/>
      <c r="JL96" s="22"/>
      <c r="JM96" s="22"/>
      <c r="JN96" s="22"/>
      <c r="JO96" s="22"/>
      <c r="JP96" s="22"/>
      <c r="JQ96" s="22"/>
      <c r="JR96" s="22"/>
      <c r="JS96" s="22"/>
      <c r="JT96" s="22"/>
      <c r="JU96" s="22"/>
      <c r="JV96" s="22"/>
      <c r="JW96" s="22"/>
      <c r="JX96" s="22"/>
      <c r="JY96" s="22"/>
      <c r="JZ96" s="22"/>
      <c r="KA96" s="22"/>
      <c r="KB96" s="22"/>
      <c r="KC96" s="22"/>
      <c r="KD96" s="22"/>
      <c r="KE96" s="22"/>
      <c r="KF96" s="22"/>
      <c r="KG96" s="22"/>
      <c r="KH96" s="22"/>
      <c r="KI96" s="22"/>
      <c r="KJ96" s="22"/>
      <c r="KK96" s="22"/>
      <c r="KL96" s="22"/>
      <c r="KM96" s="22"/>
      <c r="KN96" s="22"/>
      <c r="KO96" s="22"/>
      <c r="KP96" s="22"/>
      <c r="KQ96" s="22"/>
      <c r="KR96" s="22"/>
      <c r="KS96" s="22"/>
      <c r="KT96" s="22"/>
      <c r="KU96" s="22"/>
      <c r="KV96" s="22"/>
      <c r="KW96" s="22"/>
      <c r="KX96" s="22"/>
      <c r="KY96" s="22"/>
      <c r="KZ96" s="22"/>
      <c r="LA96" s="22"/>
      <c r="LB96" s="22"/>
      <c r="LC96" s="22"/>
      <c r="LD96" s="22"/>
      <c r="LE96" s="22"/>
      <c r="LF96" s="22"/>
      <c r="LG96" s="22"/>
      <c r="LH96" s="22"/>
      <c r="LI96" s="22"/>
      <c r="LJ96" s="22"/>
      <c r="LK96" s="22"/>
      <c r="LL96" s="22"/>
      <c r="LM96" s="22"/>
      <c r="LN96" s="22"/>
      <c r="LO96" s="22"/>
      <c r="LP96" s="22"/>
      <c r="LQ96" s="22"/>
      <c r="LR96" s="22"/>
      <c r="LS96" s="22"/>
      <c r="LT96" s="22"/>
      <c r="LU96" s="22"/>
      <c r="LV96" s="22"/>
      <c r="LW96" s="22"/>
      <c r="LX96" s="22"/>
      <c r="LY96" s="22"/>
      <c r="LZ96" s="22"/>
      <c r="MA96" s="22"/>
      <c r="MB96" s="22"/>
      <c r="MC96" s="22"/>
      <c r="MD96" s="22"/>
      <c r="ME96" s="22"/>
      <c r="MF96" s="22"/>
      <c r="MG96" s="22"/>
      <c r="MH96" s="22"/>
      <c r="MI96" s="22"/>
      <c r="MJ96" s="22"/>
      <c r="MK96" s="22"/>
      <c r="ML96" s="22"/>
      <c r="MM96" s="22"/>
      <c r="MN96" s="22"/>
      <c r="MO96" s="22"/>
      <c r="MP96" s="22"/>
      <c r="MQ96" s="22"/>
      <c r="MR96" s="22"/>
      <c r="MS96" s="22"/>
      <c r="MT96" s="22"/>
      <c r="MU96" s="22"/>
      <c r="MV96" s="22"/>
      <c r="MW96" s="22"/>
      <c r="MX96" s="22"/>
      <c r="MY96" s="22"/>
      <c r="MZ96" s="22"/>
      <c r="NA96" s="22"/>
      <c r="NB96" s="22"/>
      <c r="NC96" s="22"/>
      <c r="ND96" s="22"/>
      <c r="NE96" s="22"/>
      <c r="NF96" s="22"/>
      <c r="NG96" s="22"/>
      <c r="NH96" s="22"/>
      <c r="NI96" s="22"/>
      <c r="NJ96" s="22"/>
      <c r="NK96" s="22"/>
      <c r="NL96" s="22"/>
      <c r="NM96" s="22"/>
      <c r="NN96" s="22"/>
      <c r="NO96" s="22"/>
      <c r="NP96" s="22"/>
      <c r="NQ96" s="22"/>
      <c r="NR96" s="22"/>
      <c r="NS96" s="22"/>
      <c r="NT96" s="22"/>
      <c r="NU96" s="22"/>
      <c r="NV96" s="22"/>
      <c r="NW96" s="22"/>
      <c r="NX96" s="22"/>
      <c r="NY96" s="22"/>
      <c r="NZ96" s="22"/>
      <c r="OA96" s="22"/>
      <c r="OB96" s="22"/>
      <c r="OC96" s="22"/>
      <c r="OD96" s="22"/>
      <c r="OE96" s="22"/>
      <c r="OF96" s="22"/>
      <c r="OG96" s="22"/>
      <c r="OH96" s="22"/>
      <c r="OI96" s="22"/>
      <c r="OJ96" s="22"/>
      <c r="OK96" s="22"/>
      <c r="OL96" s="22"/>
      <c r="OM96" s="22"/>
      <c r="ON96" s="22"/>
      <c r="OO96" s="22"/>
      <c r="OP96" s="22"/>
      <c r="OQ96" s="22"/>
      <c r="OR96" s="22"/>
      <c r="OS96" s="22"/>
      <c r="OT96" s="22"/>
      <c r="OU96" s="22"/>
      <c r="OV96" s="22"/>
      <c r="OW96" s="22"/>
      <c r="OX96" s="22"/>
      <c r="OY96" s="22"/>
      <c r="OZ96" s="22"/>
      <c r="PA96" s="22"/>
      <c r="PB96" s="22"/>
      <c r="PC96" s="22"/>
      <c r="PD96" s="22"/>
      <c r="PE96" s="22"/>
      <c r="PF96" s="22"/>
      <c r="PG96" s="22"/>
      <c r="PH96" s="22"/>
      <c r="PI96" s="22"/>
      <c r="PJ96" s="22"/>
      <c r="PK96" s="22"/>
      <c r="PL96" s="22"/>
      <c r="PM96" s="22"/>
      <c r="PN96" s="22"/>
      <c r="PO96" s="22"/>
      <c r="PP96" s="22"/>
      <c r="PQ96" s="22"/>
      <c r="PR96" s="22"/>
      <c r="PS96" s="22"/>
      <c r="PT96" s="22"/>
      <c r="PU96" s="22"/>
      <c r="PV96" s="22"/>
      <c r="PW96" s="22"/>
      <c r="PX96" s="22"/>
      <c r="PY96" s="22"/>
      <c r="PZ96" s="22"/>
      <c r="QA96" s="22"/>
      <c r="QB96" s="22"/>
      <c r="QC96" s="22"/>
      <c r="QD96" s="22"/>
      <c r="QE96" s="22"/>
      <c r="QF96" s="22"/>
      <c r="QG96" s="22"/>
      <c r="QH96" s="22"/>
      <c r="QI96" s="22"/>
      <c r="QJ96" s="22"/>
      <c r="QK96" s="22"/>
      <c r="QL96" s="22"/>
      <c r="QM96" s="22"/>
      <c r="QN96" s="22"/>
      <c r="QO96" s="22"/>
      <c r="QP96" s="22"/>
      <c r="QQ96" s="22"/>
      <c r="QR96" s="22"/>
      <c r="QS96" s="22"/>
      <c r="QT96" s="22"/>
      <c r="QU96" s="22"/>
      <c r="QV96" s="22"/>
      <c r="QW96" s="22"/>
      <c r="QX96" s="22"/>
      <c r="QY96" s="22"/>
      <c r="QZ96" s="22"/>
      <c r="RA96" s="22"/>
      <c r="RB96" s="22"/>
      <c r="RC96" s="22"/>
      <c r="RD96" s="22"/>
      <c r="RE96" s="22"/>
      <c r="RF96" s="22"/>
      <c r="RG96" s="22"/>
      <c r="RH96" s="22"/>
      <c r="RI96" s="22"/>
      <c r="RJ96" s="22"/>
      <c r="RK96" s="22"/>
      <c r="RL96" s="22"/>
      <c r="RM96" s="22"/>
      <c r="RN96" s="22"/>
      <c r="RO96" s="22"/>
      <c r="RP96" s="22"/>
      <c r="RQ96" s="22"/>
      <c r="RR96" s="22"/>
      <c r="RS96" s="22"/>
      <c r="RT96" s="22"/>
      <c r="RU96" s="22"/>
      <c r="RV96" s="22"/>
      <c r="RW96" s="22"/>
      <c r="RX96" s="22"/>
      <c r="RY96" s="22"/>
      <c r="RZ96" s="22"/>
      <c r="SA96" s="22"/>
      <c r="SB96" s="22"/>
      <c r="SC96" s="22"/>
      <c r="SD96" s="22"/>
      <c r="SE96" s="22"/>
      <c r="SF96" s="22"/>
      <c r="SG96" s="22"/>
      <c r="SH96" s="22"/>
      <c r="SI96" s="22"/>
      <c r="SJ96" s="22"/>
      <c r="SK96" s="22"/>
      <c r="SL96" s="22"/>
      <c r="SM96" s="22"/>
      <c r="SN96" s="22"/>
      <c r="SO96" s="22"/>
      <c r="SP96" s="22"/>
      <c r="SQ96" s="22"/>
      <c r="SR96" s="22"/>
      <c r="SS96" s="22"/>
      <c r="ST96" s="22"/>
      <c r="SU96" s="22"/>
      <c r="SV96" s="22"/>
      <c r="SW96" s="22"/>
      <c r="SX96" s="22"/>
      <c r="SY96" s="22"/>
      <c r="SZ96" s="22"/>
      <c r="TA96" s="22"/>
      <c r="TB96" s="22"/>
      <c r="TC96" s="22"/>
      <c r="TD96" s="22"/>
      <c r="TE96" s="22"/>
      <c r="TF96" s="22"/>
      <c r="TG96" s="22"/>
      <c r="TH96" s="22"/>
      <c r="TI96" s="22"/>
      <c r="TJ96" s="22"/>
      <c r="TK96" s="22"/>
      <c r="TL96" s="22"/>
      <c r="TM96" s="22"/>
      <c r="TN96" s="22"/>
      <c r="TO96" s="22"/>
      <c r="TP96" s="22"/>
      <c r="TQ96" s="22"/>
      <c r="TR96" s="22"/>
      <c r="TS96" s="22"/>
      <c r="TT96" s="22"/>
      <c r="TU96" s="22"/>
      <c r="TV96" s="22"/>
      <c r="TW96" s="22"/>
      <c r="TX96" s="22"/>
      <c r="TY96" s="22"/>
      <c r="TZ96" s="22"/>
      <c r="UA96" s="22"/>
      <c r="UB96" s="22"/>
      <c r="UC96" s="22"/>
      <c r="UD96" s="22"/>
      <c r="UE96" s="22"/>
      <c r="UF96" s="22"/>
      <c r="UG96" s="22"/>
      <c r="UH96" s="22"/>
      <c r="UI96" s="22"/>
      <c r="UJ96" s="22"/>
      <c r="UK96" s="22"/>
      <c r="UL96" s="22"/>
      <c r="UM96" s="22"/>
      <c r="UN96" s="22"/>
      <c r="UO96" s="22"/>
      <c r="UP96" s="22"/>
      <c r="UQ96" s="22"/>
      <c r="UR96" s="22"/>
      <c r="US96" s="22"/>
      <c r="UT96" s="22"/>
      <c r="UU96" s="22"/>
      <c r="UV96" s="22"/>
      <c r="UW96" s="22"/>
      <c r="UX96" s="22"/>
      <c r="UY96" s="22"/>
      <c r="UZ96" s="22"/>
      <c r="VA96" s="22"/>
      <c r="VB96" s="22"/>
      <c r="VC96" s="22"/>
      <c r="VD96" s="22"/>
      <c r="VE96" s="22"/>
      <c r="VF96" s="22"/>
      <c r="VG96" s="22"/>
      <c r="VH96" s="22"/>
      <c r="VI96" s="22"/>
      <c r="VJ96" s="22"/>
      <c r="VK96" s="22"/>
      <c r="VL96" s="22"/>
      <c r="VM96" s="22"/>
      <c r="VN96" s="22"/>
      <c r="VO96" s="22"/>
      <c r="VP96" s="22"/>
      <c r="VQ96" s="22"/>
      <c r="VR96" s="22"/>
      <c r="VS96" s="22"/>
      <c r="VT96" s="22"/>
      <c r="VU96" s="22"/>
      <c r="VV96" s="22"/>
      <c r="VW96" s="22"/>
      <c r="VX96" s="22"/>
      <c r="VY96" s="22"/>
      <c r="VZ96" s="22"/>
      <c r="WA96" s="22"/>
      <c r="WB96" s="22"/>
      <c r="WC96" s="22"/>
      <c r="WD96" s="22"/>
      <c r="WE96" s="22"/>
      <c r="WF96" s="22"/>
      <c r="WG96" s="22"/>
      <c r="WH96" s="22"/>
      <c r="WI96" s="22"/>
      <c r="WJ96" s="22"/>
      <c r="WK96" s="22"/>
      <c r="WL96" s="22"/>
      <c r="WM96" s="22"/>
      <c r="WN96" s="22"/>
      <c r="WO96" s="22"/>
      <c r="WP96" s="22"/>
      <c r="WQ96" s="22"/>
      <c r="WR96" s="22"/>
      <c r="WS96" s="22"/>
      <c r="WT96" s="22"/>
      <c r="WU96" s="22"/>
      <c r="WV96" s="22"/>
      <c r="WW96" s="22"/>
      <c r="WX96" s="22"/>
      <c r="WY96" s="22"/>
      <c r="WZ96" s="22"/>
      <c r="XA96" s="22"/>
      <c r="XB96" s="22"/>
      <c r="XC96" s="22"/>
      <c r="XD96" s="22"/>
      <c r="XE96" s="22"/>
      <c r="XF96" s="22"/>
      <c r="XG96" s="22"/>
      <c r="XH96" s="22"/>
      <c r="XI96" s="22"/>
      <c r="XJ96" s="22"/>
      <c r="XK96" s="22"/>
      <c r="XL96" s="22"/>
      <c r="XM96" s="22"/>
      <c r="XN96" s="22"/>
      <c r="XO96" s="22"/>
      <c r="XP96" s="22"/>
      <c r="XQ96" s="22"/>
      <c r="XR96" s="22"/>
      <c r="XS96" s="22"/>
      <c r="XT96" s="22"/>
      <c r="XU96" s="22"/>
      <c r="XV96" s="22"/>
      <c r="XW96" s="22"/>
      <c r="XX96" s="22"/>
      <c r="XY96" s="22"/>
      <c r="XZ96" s="22"/>
      <c r="YA96" s="22"/>
      <c r="YB96" s="22"/>
      <c r="YC96" s="22"/>
      <c r="YD96" s="22"/>
      <c r="YE96" s="22"/>
      <c r="YF96" s="22"/>
      <c r="YG96" s="22"/>
      <c r="YH96" s="22"/>
      <c r="YI96" s="22"/>
      <c r="YJ96" s="22"/>
      <c r="YK96" s="22"/>
      <c r="YL96" s="22"/>
      <c r="YM96" s="22"/>
      <c r="YN96" s="22"/>
      <c r="YO96" s="22"/>
      <c r="YP96" s="22"/>
      <c r="YQ96" s="22"/>
      <c r="YR96" s="22"/>
      <c r="YS96" s="22"/>
      <c r="YT96" s="22"/>
      <c r="YU96" s="22"/>
      <c r="YV96" s="22"/>
      <c r="YW96" s="22"/>
      <c r="YX96" s="22"/>
      <c r="YY96" s="22"/>
      <c r="YZ96" s="22"/>
      <c r="ZA96" s="22"/>
      <c r="ZB96" s="22"/>
      <c r="ZC96" s="22"/>
      <c r="ZD96" s="22"/>
      <c r="ZE96" s="22"/>
      <c r="ZF96" s="22"/>
      <c r="ZG96" s="22"/>
      <c r="ZH96" s="22"/>
      <c r="ZI96" s="22"/>
      <c r="ZJ96" s="22"/>
      <c r="ZK96" s="22"/>
      <c r="ZL96" s="22"/>
      <c r="ZM96" s="22"/>
      <c r="ZN96" s="22"/>
      <c r="ZO96" s="22"/>
      <c r="ZP96" s="22"/>
      <c r="ZQ96" s="22"/>
      <c r="ZR96" s="22"/>
      <c r="ZS96" s="22"/>
      <c r="ZT96" s="22"/>
      <c r="ZU96" s="22"/>
      <c r="ZV96" s="22"/>
      <c r="ZW96" s="22"/>
      <c r="ZX96" s="22"/>
      <c r="ZY96" s="22"/>
      <c r="ZZ96" s="22"/>
      <c r="AAA96" s="22"/>
      <c r="AAB96" s="22"/>
      <c r="AAC96" s="22"/>
      <c r="AAD96" s="22"/>
      <c r="AAE96" s="22"/>
      <c r="AAF96" s="22"/>
      <c r="AAG96" s="22"/>
      <c r="AAH96" s="22"/>
      <c r="AAI96" s="22"/>
      <c r="AAJ96" s="22"/>
      <c r="AAK96" s="22"/>
      <c r="AAL96" s="22"/>
      <c r="AAM96" s="22"/>
      <c r="AAN96" s="22"/>
      <c r="AAO96" s="22"/>
      <c r="AAP96" s="22"/>
      <c r="AAQ96" s="22"/>
      <c r="AAR96" s="22"/>
      <c r="AAS96" s="22"/>
      <c r="AAT96" s="22"/>
      <c r="AAU96" s="22"/>
      <c r="AAV96" s="22"/>
      <c r="AAW96" s="22"/>
      <c r="AAX96" s="22"/>
      <c r="AAY96" s="22"/>
      <c r="AAZ96" s="22"/>
      <c r="ABA96" s="22"/>
      <c r="ABB96" s="22"/>
      <c r="ABC96" s="22"/>
      <c r="ABD96" s="22"/>
      <c r="ABE96" s="22"/>
      <c r="ABF96" s="22"/>
      <c r="ABG96" s="22"/>
      <c r="ABH96" s="22"/>
      <c r="ABI96" s="22"/>
      <c r="ABJ96" s="22"/>
      <c r="ABK96" s="22"/>
      <c r="ABL96" s="22"/>
      <c r="ABM96" s="22"/>
      <c r="ABN96" s="22"/>
      <c r="ABO96" s="22"/>
      <c r="ABP96" s="22"/>
      <c r="ABQ96" s="22"/>
      <c r="ABR96" s="22"/>
      <c r="ABS96" s="22"/>
      <c r="ABT96" s="22"/>
      <c r="ABU96" s="22"/>
      <c r="ABV96" s="22"/>
      <c r="ABW96" s="22"/>
      <c r="ABX96" s="22"/>
      <c r="ABY96" s="22"/>
      <c r="ABZ96" s="22"/>
      <c r="ACA96" s="22"/>
      <c r="ACB96" s="22"/>
      <c r="ACC96" s="22"/>
      <c r="ACD96" s="22"/>
      <c r="ACE96" s="22"/>
      <c r="ACF96" s="22"/>
      <c r="ACG96" s="22"/>
      <c r="ACH96" s="22"/>
      <c r="ACI96" s="22"/>
      <c r="ACJ96" s="22"/>
      <c r="ACK96" s="22"/>
      <c r="ACL96" s="22"/>
      <c r="ACM96" s="22"/>
      <c r="ACN96" s="22"/>
      <c r="ACO96" s="22"/>
      <c r="ACP96" s="22"/>
      <c r="ACQ96" s="22"/>
      <c r="ACR96" s="22"/>
      <c r="ACS96" s="22"/>
      <c r="ACT96" s="22"/>
      <c r="ACU96" s="22"/>
      <c r="ACV96" s="22"/>
      <c r="ACW96" s="22"/>
      <c r="ACX96" s="22"/>
      <c r="ACY96" s="22"/>
      <c r="ACZ96" s="22"/>
      <c r="ADA96" s="22"/>
      <c r="ADB96" s="22"/>
      <c r="ADC96" s="22"/>
      <c r="ADD96" s="22"/>
      <c r="ADE96" s="22"/>
      <c r="ADF96" s="22"/>
      <c r="ADG96" s="22"/>
      <c r="ADH96" s="22"/>
      <c r="ADI96" s="22"/>
      <c r="ADJ96" s="22"/>
      <c r="ADK96" s="22"/>
      <c r="ADL96" s="22"/>
      <c r="ADM96" s="22"/>
      <c r="ADN96" s="22"/>
      <c r="ADO96" s="22"/>
      <c r="ADP96" s="22"/>
      <c r="ADQ96" s="22"/>
      <c r="ADR96" s="22"/>
      <c r="ADS96" s="22"/>
      <c r="ADT96" s="22"/>
      <c r="ADU96" s="22"/>
      <c r="ADV96" s="22"/>
      <c r="ADW96" s="22"/>
      <c r="ADX96" s="22"/>
      <c r="ADY96" s="22"/>
      <c r="ADZ96" s="22"/>
      <c r="AEA96" s="22"/>
      <c r="AEB96" s="22"/>
      <c r="AEC96" s="22"/>
      <c r="AED96" s="22"/>
      <c r="AEE96" s="22"/>
      <c r="AEF96" s="22"/>
      <c r="AEG96" s="22"/>
      <c r="AEH96" s="22"/>
      <c r="AEI96" s="22"/>
      <c r="AEJ96" s="22"/>
      <c r="AEK96" s="22"/>
      <c r="AEL96" s="22"/>
      <c r="AEM96" s="22"/>
      <c r="AEN96" s="22"/>
      <c r="AEO96" s="22"/>
      <c r="AEP96" s="22"/>
      <c r="AEQ96" s="22"/>
      <c r="AER96" s="22"/>
      <c r="AES96" s="22"/>
      <c r="AET96" s="22"/>
      <c r="AEU96" s="22"/>
      <c r="AEV96" s="22"/>
      <c r="AEW96" s="22"/>
      <c r="AEX96" s="22"/>
      <c r="AEY96" s="22"/>
      <c r="AEZ96" s="22"/>
      <c r="AFA96" s="22"/>
      <c r="AFB96" s="22"/>
      <c r="AFC96" s="22"/>
      <c r="AFD96" s="22"/>
      <c r="AFE96" s="22"/>
      <c r="AFF96" s="22"/>
      <c r="AFG96" s="22"/>
      <c r="AFH96" s="22"/>
      <c r="AFI96" s="22"/>
      <c r="AFJ96" s="22"/>
      <c r="AFK96" s="22"/>
      <c r="AFL96" s="22"/>
      <c r="AFM96" s="22"/>
      <c r="AFN96" s="22"/>
      <c r="AFO96" s="22"/>
      <c r="AFP96" s="22"/>
      <c r="AFQ96" s="22"/>
      <c r="AFR96" s="22"/>
      <c r="AFS96" s="22"/>
      <c r="AFT96" s="22"/>
      <c r="AFU96" s="22"/>
      <c r="AFV96" s="22"/>
      <c r="AFW96" s="22"/>
      <c r="AFX96" s="22"/>
      <c r="AFY96" s="22"/>
      <c r="AFZ96" s="22"/>
      <c r="AGA96" s="22"/>
      <c r="AGB96" s="22"/>
      <c r="AGC96" s="22"/>
      <c r="AGD96" s="22"/>
      <c r="AGE96" s="22"/>
      <c r="AGF96" s="22"/>
      <c r="AGG96" s="22"/>
      <c r="AGH96" s="22"/>
      <c r="AGI96" s="22"/>
      <c r="AGJ96" s="22"/>
      <c r="AGK96" s="22"/>
      <c r="AGL96" s="22"/>
      <c r="AGM96" s="22"/>
      <c r="AGN96" s="22"/>
      <c r="AGO96" s="22"/>
      <c r="AGP96" s="22"/>
      <c r="AGQ96" s="22"/>
      <c r="AGR96" s="22"/>
      <c r="AGS96" s="22"/>
      <c r="AGT96" s="22"/>
      <c r="AGU96" s="22"/>
      <c r="AGV96" s="22"/>
      <c r="AGW96" s="22"/>
      <c r="AGX96" s="22"/>
      <c r="AGY96" s="22"/>
      <c r="AGZ96" s="22"/>
      <c r="AHA96" s="22"/>
      <c r="AHB96" s="22"/>
      <c r="AHC96" s="22"/>
      <c r="AHD96" s="22"/>
      <c r="AHE96" s="22"/>
      <c r="AHF96" s="22"/>
      <c r="AHG96" s="22"/>
      <c r="AHH96" s="22"/>
      <c r="AHI96" s="22"/>
      <c r="AHJ96" s="22"/>
      <c r="AHK96" s="22"/>
      <c r="AHL96" s="22"/>
      <c r="AHM96" s="22"/>
      <c r="AHN96" s="22"/>
      <c r="AHO96" s="22"/>
      <c r="AHP96" s="22"/>
      <c r="AHQ96" s="22"/>
      <c r="AHR96" s="22"/>
      <c r="AHS96" s="22"/>
      <c r="AHT96" s="22"/>
      <c r="AHU96" s="22"/>
      <c r="AHV96" s="22"/>
      <c r="AHW96" s="22"/>
      <c r="AHX96" s="22"/>
      <c r="AHY96" s="22"/>
      <c r="AHZ96" s="22"/>
      <c r="AIA96" s="22"/>
      <c r="AIB96" s="22"/>
      <c r="AIC96" s="22"/>
      <c r="AID96" s="22"/>
      <c r="AIE96" s="22"/>
      <c r="AIF96" s="22"/>
      <c r="AIG96" s="22"/>
      <c r="AIH96" s="22"/>
      <c r="AII96" s="22"/>
      <c r="AIJ96" s="22"/>
      <c r="AIK96" s="22"/>
      <c r="AIL96" s="22"/>
      <c r="AIM96" s="22"/>
      <c r="AIN96" s="22"/>
      <c r="AIO96" s="22"/>
      <c r="AIP96" s="22"/>
      <c r="AIQ96" s="22"/>
      <c r="AIR96" s="22"/>
      <c r="AIS96" s="22"/>
      <c r="AIT96" s="22"/>
      <c r="AIU96" s="22"/>
      <c r="AIV96" s="22"/>
      <c r="AIW96" s="22"/>
      <c r="AIX96" s="22"/>
      <c r="AIY96" s="22"/>
      <c r="AIZ96" s="22"/>
      <c r="AJA96" s="22"/>
      <c r="AJB96" s="22"/>
      <c r="AJC96" s="22"/>
      <c r="AJD96" s="22"/>
      <c r="AJE96" s="22"/>
      <c r="AJF96" s="22"/>
      <c r="AJG96" s="22"/>
      <c r="AJH96" s="22"/>
      <c r="AJI96" s="22"/>
      <c r="AJJ96" s="22"/>
      <c r="AJK96" s="22"/>
      <c r="AJL96" s="22"/>
      <c r="AJM96" s="22"/>
      <c r="AJN96" s="22"/>
      <c r="AJO96" s="22"/>
      <c r="AJP96" s="22"/>
      <c r="AJQ96" s="22"/>
      <c r="AJR96" s="22"/>
      <c r="AJS96" s="22"/>
      <c r="AJT96" s="22"/>
      <c r="AJU96" s="22"/>
      <c r="AJV96" s="22"/>
      <c r="AJW96" s="22"/>
      <c r="AJX96" s="22"/>
      <c r="AJY96" s="22"/>
      <c r="AJZ96" s="22"/>
      <c r="AKA96" s="22"/>
      <c r="AKB96" s="22"/>
      <c r="AKC96" s="22"/>
      <c r="AKD96" s="22"/>
      <c r="AKE96" s="22"/>
      <c r="AKF96" s="22"/>
      <c r="AKG96" s="22"/>
      <c r="AKH96" s="22"/>
      <c r="AKI96" s="22"/>
      <c r="AKJ96" s="22"/>
      <c r="AKK96" s="22"/>
      <c r="AKL96" s="22"/>
      <c r="AKM96" s="22"/>
      <c r="AKN96" s="22"/>
      <c r="AKO96" s="22"/>
      <c r="AKP96" s="22"/>
      <c r="AKQ96" s="22"/>
      <c r="AKR96" s="22"/>
      <c r="AKS96" s="22"/>
      <c r="AKT96" s="22"/>
      <c r="AKU96" s="22"/>
      <c r="AKV96" s="22"/>
      <c r="AKW96" s="22"/>
      <c r="AKX96" s="22"/>
      <c r="AKY96" s="22"/>
      <c r="AKZ96" s="22"/>
      <c r="ALA96" s="22"/>
      <c r="ALB96" s="22"/>
      <c r="ALC96" s="22"/>
      <c r="ALD96" s="22"/>
      <c r="ALE96" s="22"/>
      <c r="ALF96" s="22"/>
      <c r="ALG96" s="22"/>
      <c r="ALH96" s="22"/>
      <c r="ALI96" s="22"/>
      <c r="ALJ96" s="22"/>
      <c r="ALK96" s="22"/>
      <c r="ALL96" s="22"/>
      <c r="ALM96" s="22"/>
      <c r="ALN96" s="22"/>
      <c r="ALO96" s="22"/>
      <c r="ALP96" s="22"/>
      <c r="ALQ96" s="22"/>
      <c r="ALR96" s="22"/>
      <c r="ALS96" s="22"/>
      <c r="ALT96" s="22"/>
      <c r="ALU96" s="22"/>
      <c r="ALV96" s="22"/>
      <c r="ALW96" s="22"/>
      <c r="ALX96" s="22"/>
      <c r="ALY96" s="22"/>
      <c r="ALZ96" s="22"/>
      <c r="AMA96" s="22"/>
      <c r="AMB96" s="22"/>
      <c r="AMC96" s="22"/>
      <c r="AMD96" s="22"/>
      <c r="AME96" s="22"/>
      <c r="AMF96" s="22"/>
      <c r="AMG96" s="22"/>
      <c r="AMH96" s="22"/>
      <c r="AMI96" s="22"/>
      <c r="AMJ96" s="22"/>
      <c r="AMK96" s="22"/>
      <c r="AML96" s="22"/>
      <c r="AMM96" s="22"/>
      <c r="AMN96" s="22"/>
      <c r="AMO96" s="22"/>
      <c r="AMP96" s="22"/>
      <c r="AMQ96" s="22"/>
      <c r="AMR96" s="22"/>
      <c r="AMS96" s="22"/>
      <c r="AMT96" s="22"/>
      <c r="AMU96" s="22"/>
      <c r="AMV96" s="22"/>
      <c r="AMW96" s="22"/>
      <c r="AMX96" s="22"/>
      <c r="AMY96" s="22"/>
      <c r="AMZ96" s="22"/>
      <c r="ANA96" s="22"/>
      <c r="ANB96" s="22"/>
      <c r="ANC96" s="22"/>
      <c r="AND96" s="22"/>
      <c r="ANE96" s="22"/>
      <c r="ANF96" s="22"/>
      <c r="ANG96" s="22"/>
      <c r="ANH96" s="22"/>
      <c r="ANI96" s="22"/>
      <c r="ANJ96" s="22"/>
      <c r="ANK96" s="22"/>
      <c r="ANL96" s="22"/>
      <c r="ANM96" s="22"/>
      <c r="ANN96" s="22"/>
      <c r="ANO96" s="22"/>
      <c r="ANP96" s="22"/>
      <c r="ANQ96" s="22"/>
      <c r="ANR96" s="22"/>
      <c r="ANS96" s="22"/>
      <c r="ANT96" s="22"/>
      <c r="ANU96" s="22"/>
      <c r="ANV96" s="22"/>
      <c r="ANW96" s="22"/>
      <c r="ANX96" s="22"/>
      <c r="ANY96" s="22"/>
      <c r="ANZ96" s="22"/>
      <c r="AOA96" s="22"/>
      <c r="AOB96" s="22"/>
      <c r="AOC96" s="22"/>
      <c r="AOD96" s="22"/>
      <c r="AOE96" s="22"/>
      <c r="AOF96" s="22"/>
      <c r="AOG96" s="22"/>
      <c r="AOH96" s="22"/>
      <c r="AOI96" s="22"/>
      <c r="AOJ96" s="22"/>
      <c r="AOK96" s="22"/>
      <c r="AOL96" s="22"/>
      <c r="AOM96" s="22"/>
      <c r="AON96" s="22"/>
      <c r="AOO96" s="22"/>
      <c r="AOP96" s="22"/>
      <c r="AOQ96" s="22"/>
      <c r="AOR96" s="22"/>
      <c r="AOS96" s="22"/>
      <c r="AOT96" s="22"/>
      <c r="AOU96" s="22"/>
      <c r="AOV96" s="22"/>
      <c r="AOW96" s="22"/>
      <c r="AOX96" s="22"/>
      <c r="AOY96" s="22"/>
      <c r="AOZ96" s="22"/>
      <c r="APA96" s="22"/>
      <c r="APB96" s="22"/>
      <c r="APC96" s="22"/>
      <c r="APD96" s="22"/>
      <c r="APE96" s="22"/>
      <c r="APF96" s="22"/>
      <c r="APG96" s="22"/>
      <c r="APH96" s="22"/>
      <c r="API96" s="22"/>
      <c r="APJ96" s="22"/>
      <c r="APK96" s="22"/>
      <c r="APL96" s="22"/>
      <c r="APM96" s="22"/>
      <c r="APN96" s="22"/>
      <c r="APO96" s="22"/>
      <c r="APP96" s="22"/>
      <c r="APQ96" s="22"/>
      <c r="APR96" s="22"/>
      <c r="APS96" s="22"/>
      <c r="APT96" s="22"/>
      <c r="APU96" s="22"/>
      <c r="APV96" s="22"/>
      <c r="APW96" s="22"/>
      <c r="APX96" s="22"/>
      <c r="APY96" s="22"/>
      <c r="APZ96" s="22"/>
      <c r="AQA96" s="22"/>
      <c r="AQB96" s="22"/>
      <c r="AQC96" s="22"/>
      <c r="AQD96" s="22"/>
      <c r="AQE96" s="22"/>
      <c r="AQF96" s="22"/>
      <c r="AQG96" s="22"/>
      <c r="AQH96" s="22"/>
      <c r="AQI96" s="22"/>
      <c r="AQJ96" s="22"/>
      <c r="AQK96" s="22"/>
      <c r="AQL96" s="22"/>
      <c r="AQM96" s="22"/>
      <c r="AQN96" s="22"/>
      <c r="AQO96" s="22"/>
      <c r="AQP96" s="22"/>
      <c r="AQQ96" s="22"/>
      <c r="AQR96" s="22"/>
      <c r="AQS96" s="22"/>
      <c r="AQT96" s="22"/>
      <c r="AQU96" s="22"/>
      <c r="AQV96" s="22"/>
      <c r="AQW96" s="22"/>
      <c r="AQX96" s="22"/>
      <c r="AQY96" s="22"/>
      <c r="AQZ96" s="22"/>
      <c r="ARA96" s="22"/>
      <c r="ARB96" s="22"/>
      <c r="ARC96" s="22"/>
      <c r="ARD96" s="22"/>
      <c r="ARE96" s="22"/>
      <c r="ARF96" s="22"/>
      <c r="ARG96" s="22"/>
      <c r="ARH96" s="22"/>
      <c r="ARI96" s="22"/>
      <c r="ARJ96" s="22"/>
      <c r="ARK96" s="22"/>
      <c r="ARL96" s="22"/>
      <c r="ARM96" s="22"/>
      <c r="ARN96" s="22"/>
      <c r="ARO96" s="22"/>
      <c r="ARP96" s="22"/>
      <c r="ARQ96" s="22"/>
      <c r="ARR96" s="22"/>
      <c r="ARS96" s="22"/>
      <c r="ART96" s="22"/>
      <c r="ARU96" s="22"/>
      <c r="ARV96" s="22"/>
      <c r="ARW96" s="22"/>
      <c r="ARX96" s="22"/>
      <c r="ARY96" s="22"/>
      <c r="ARZ96" s="22"/>
      <c r="ASA96" s="22"/>
      <c r="ASB96" s="22"/>
      <c r="ASC96" s="22"/>
      <c r="ASD96" s="22"/>
      <c r="ASE96" s="22"/>
      <c r="ASF96" s="22"/>
      <c r="ASG96" s="22"/>
      <c r="ASH96" s="22"/>
      <c r="ASI96" s="22"/>
      <c r="ASJ96" s="22"/>
      <c r="ASK96" s="22"/>
      <c r="ASL96" s="22"/>
      <c r="ASM96" s="22"/>
      <c r="ASN96" s="22"/>
      <c r="ASO96" s="22"/>
      <c r="ASP96" s="22"/>
      <c r="ASQ96" s="22"/>
      <c r="ASR96" s="22"/>
      <c r="ASS96" s="22"/>
      <c r="AST96" s="22"/>
      <c r="ASU96" s="22"/>
      <c r="ASV96" s="22"/>
      <c r="ASW96" s="22"/>
      <c r="ASX96" s="22"/>
      <c r="ASY96" s="22"/>
      <c r="ASZ96" s="22"/>
      <c r="ATA96" s="22"/>
      <c r="ATB96" s="22"/>
      <c r="ATC96" s="22"/>
      <c r="ATD96" s="22"/>
      <c r="ATE96" s="22"/>
      <c r="ATF96" s="22"/>
      <c r="ATG96" s="22"/>
      <c r="ATH96" s="22"/>
      <c r="ATI96" s="22"/>
      <c r="ATJ96" s="22"/>
      <c r="ATK96" s="22"/>
      <c r="ATL96" s="22"/>
      <c r="ATM96" s="22"/>
      <c r="ATN96" s="22"/>
      <c r="ATO96" s="22"/>
      <c r="ATP96" s="22"/>
      <c r="ATQ96" s="22"/>
      <c r="ATR96" s="22"/>
      <c r="ATS96" s="22"/>
      <c r="ATT96" s="22"/>
      <c r="ATU96" s="22"/>
      <c r="ATV96" s="22"/>
      <c r="ATW96" s="22"/>
      <c r="ATX96" s="22"/>
      <c r="ATY96" s="22"/>
      <c r="ATZ96" s="22"/>
      <c r="AUA96" s="22"/>
      <c r="AUB96" s="22"/>
      <c r="AUC96" s="22"/>
      <c r="AUD96" s="22"/>
      <c r="AUE96" s="22"/>
      <c r="AUF96" s="22"/>
      <c r="AUG96" s="22"/>
      <c r="AUH96" s="22"/>
      <c r="AUI96" s="22"/>
      <c r="AUJ96" s="22"/>
      <c r="AUK96" s="22"/>
      <c r="AUL96" s="22"/>
      <c r="AUM96" s="22"/>
      <c r="AUN96" s="22"/>
      <c r="AUO96" s="22"/>
      <c r="AUP96" s="22"/>
      <c r="AUQ96" s="22"/>
      <c r="AUR96" s="22"/>
      <c r="AUS96" s="22"/>
      <c r="AUT96" s="22"/>
      <c r="AUU96" s="22"/>
      <c r="AUV96" s="22"/>
      <c r="AUW96" s="22"/>
      <c r="AUX96" s="22"/>
      <c r="AUY96" s="22"/>
      <c r="AUZ96" s="22"/>
      <c r="AVA96" s="22"/>
      <c r="AVB96" s="22"/>
      <c r="AVC96" s="22"/>
      <c r="AVD96" s="22"/>
      <c r="AVE96" s="22"/>
      <c r="AVF96" s="22"/>
      <c r="AVG96" s="22"/>
      <c r="AVH96" s="22"/>
      <c r="AVI96" s="22"/>
      <c r="AVJ96" s="22"/>
      <c r="AVK96" s="22"/>
      <c r="AVL96" s="22"/>
      <c r="AVM96" s="22"/>
      <c r="AVN96" s="22"/>
      <c r="AVO96" s="22"/>
      <c r="AVP96" s="22"/>
      <c r="AVQ96" s="22"/>
      <c r="AVR96" s="22"/>
      <c r="AVS96" s="22"/>
      <c r="AVT96" s="22"/>
      <c r="AVU96" s="22"/>
      <c r="AVV96" s="22"/>
      <c r="AVW96" s="22"/>
      <c r="AVX96" s="22"/>
      <c r="AVY96" s="22"/>
      <c r="AVZ96" s="22"/>
      <c r="AWA96" s="22"/>
      <c r="AWB96" s="22"/>
      <c r="AWC96" s="22"/>
      <c r="AWD96" s="22"/>
      <c r="AWE96" s="22"/>
      <c r="AWF96" s="22"/>
      <c r="AWG96" s="22"/>
      <c r="AWH96" s="22"/>
      <c r="AWI96" s="22"/>
      <c r="AWJ96" s="22"/>
      <c r="AWK96" s="22"/>
      <c r="AWL96" s="22"/>
      <c r="AWM96" s="22"/>
      <c r="AWN96" s="22"/>
      <c r="AWO96" s="22"/>
      <c r="AWP96" s="22"/>
      <c r="AWQ96" s="22"/>
      <c r="AWR96" s="22"/>
      <c r="AWS96" s="22"/>
      <c r="AWT96" s="22"/>
      <c r="AWU96" s="22"/>
      <c r="AWV96" s="22"/>
      <c r="AWW96" s="22"/>
      <c r="AWX96" s="22"/>
      <c r="AWY96" s="22"/>
      <c r="AWZ96" s="22"/>
      <c r="AXA96" s="22"/>
      <c r="AXB96" s="22"/>
      <c r="AXC96" s="22"/>
      <c r="AXD96" s="22"/>
      <c r="AXE96" s="22"/>
      <c r="AXF96" s="22"/>
      <c r="AXG96" s="22"/>
      <c r="AXH96" s="22"/>
      <c r="AXI96" s="22"/>
      <c r="AXJ96" s="22"/>
      <c r="AXK96" s="22"/>
      <c r="AXL96" s="22"/>
      <c r="AXM96" s="22"/>
      <c r="AXN96" s="22"/>
      <c r="AXO96" s="22"/>
      <c r="AXP96" s="22"/>
      <c r="AXQ96" s="22"/>
      <c r="AXR96" s="22"/>
      <c r="AXS96" s="22"/>
      <c r="AXT96" s="22"/>
      <c r="AXU96" s="22"/>
      <c r="AXV96" s="22"/>
      <c r="AXW96" s="22"/>
      <c r="AXX96" s="22"/>
      <c r="AXY96" s="22"/>
      <c r="AXZ96" s="22"/>
      <c r="AYA96" s="22"/>
      <c r="AYB96" s="22"/>
      <c r="AYC96" s="22"/>
      <c r="AYD96" s="22"/>
      <c r="AYE96" s="22"/>
      <c r="AYF96" s="22"/>
      <c r="AYG96" s="22"/>
      <c r="AYH96" s="22"/>
      <c r="AYI96" s="22"/>
      <c r="AYJ96" s="22"/>
      <c r="AYK96" s="22"/>
      <c r="AYL96" s="22"/>
      <c r="AYM96" s="22"/>
      <c r="AYN96" s="22"/>
      <c r="AYO96" s="22"/>
      <c r="AYP96" s="22"/>
      <c r="AYQ96" s="22"/>
      <c r="AYR96" s="22"/>
      <c r="AYS96" s="22"/>
      <c r="AYT96" s="22"/>
      <c r="AYU96" s="22"/>
      <c r="AYV96" s="22"/>
      <c r="AYW96" s="22"/>
      <c r="AYX96" s="22"/>
      <c r="AYY96" s="22"/>
      <c r="AYZ96" s="22"/>
      <c r="AZA96" s="22"/>
      <c r="AZB96" s="22"/>
      <c r="AZC96" s="22"/>
      <c r="AZD96" s="22"/>
      <c r="AZE96" s="22"/>
      <c r="AZF96" s="22"/>
      <c r="AZG96" s="22"/>
      <c r="AZH96" s="22"/>
      <c r="AZI96" s="22"/>
      <c r="AZJ96" s="22"/>
      <c r="AZK96" s="22"/>
      <c r="AZL96" s="22"/>
      <c r="AZM96" s="22"/>
      <c r="AZN96" s="22"/>
      <c r="AZO96" s="22"/>
      <c r="AZP96" s="22"/>
      <c r="AZQ96" s="22"/>
      <c r="AZR96" s="22"/>
      <c r="AZS96" s="22"/>
      <c r="AZT96" s="22"/>
      <c r="AZU96" s="22"/>
      <c r="AZV96" s="22"/>
      <c r="AZW96" s="22"/>
      <c r="AZX96" s="22"/>
      <c r="AZY96" s="22"/>
      <c r="AZZ96" s="22"/>
      <c r="BAA96" s="22"/>
      <c r="BAB96" s="22"/>
      <c r="BAC96" s="22"/>
      <c r="BAD96" s="22"/>
      <c r="BAE96" s="22"/>
      <c r="BAF96" s="22"/>
      <c r="BAG96" s="22"/>
      <c r="BAH96" s="22"/>
      <c r="BAI96" s="22"/>
      <c r="BAJ96" s="22"/>
      <c r="BAK96" s="22"/>
      <c r="BAL96" s="22"/>
      <c r="BAM96" s="22"/>
      <c r="BAN96" s="22"/>
      <c r="BAO96" s="22"/>
      <c r="BAP96" s="22"/>
      <c r="BAQ96" s="22"/>
      <c r="BAR96" s="22"/>
      <c r="BAS96" s="22"/>
      <c r="BAT96" s="22"/>
      <c r="BAU96" s="22"/>
      <c r="BAV96" s="22"/>
      <c r="BAW96" s="22"/>
      <c r="BAX96" s="22"/>
      <c r="BAY96" s="22"/>
      <c r="BAZ96" s="22"/>
      <c r="BBA96" s="22"/>
      <c r="BBB96" s="22"/>
      <c r="BBC96" s="22"/>
      <c r="BBD96" s="22"/>
      <c r="BBE96" s="22"/>
      <c r="BBF96" s="22"/>
      <c r="BBG96" s="22"/>
      <c r="BBH96" s="22"/>
      <c r="BBI96" s="22"/>
      <c r="BBJ96" s="22"/>
      <c r="BBK96" s="22"/>
      <c r="BBL96" s="22"/>
      <c r="BBM96" s="22"/>
      <c r="BBN96" s="22"/>
      <c r="BBO96" s="22"/>
      <c r="BBP96" s="22"/>
      <c r="BBQ96" s="22"/>
      <c r="BBR96" s="22"/>
      <c r="BBS96" s="22"/>
      <c r="BBT96" s="22"/>
      <c r="BBU96" s="22"/>
      <c r="BBV96" s="22"/>
      <c r="BBW96" s="22"/>
      <c r="BBX96" s="22"/>
      <c r="BBY96" s="22"/>
      <c r="BBZ96" s="22"/>
      <c r="BCA96" s="22"/>
      <c r="BCB96" s="22"/>
      <c r="BCC96" s="22"/>
      <c r="BCD96" s="22"/>
      <c r="BCE96" s="22"/>
      <c r="BCF96" s="22"/>
      <c r="BCG96" s="22"/>
      <c r="BCH96" s="22"/>
      <c r="BCI96" s="22"/>
      <c r="BCJ96" s="22"/>
      <c r="BCK96" s="22"/>
      <c r="BCL96" s="22"/>
      <c r="BCM96" s="22"/>
      <c r="BCN96" s="22"/>
      <c r="BCO96" s="22"/>
      <c r="BCP96" s="22"/>
      <c r="BCQ96" s="22"/>
      <c r="BCR96" s="22"/>
      <c r="BCS96" s="22"/>
      <c r="BCT96" s="22"/>
      <c r="BCU96" s="22"/>
      <c r="BCV96" s="22"/>
      <c r="BCW96" s="22"/>
      <c r="BCX96" s="22"/>
      <c r="BCY96" s="22"/>
      <c r="BCZ96" s="22"/>
      <c r="BDA96" s="22"/>
      <c r="BDB96" s="22"/>
      <c r="BDC96" s="22"/>
      <c r="BDD96" s="22"/>
      <c r="BDE96" s="22"/>
      <c r="BDF96" s="22"/>
      <c r="BDG96" s="22"/>
      <c r="BDH96" s="22"/>
      <c r="BDI96" s="22"/>
      <c r="BDJ96" s="22"/>
      <c r="BDK96" s="22"/>
      <c r="BDL96" s="22"/>
      <c r="BDM96" s="22"/>
      <c r="BDN96" s="22"/>
      <c r="BDO96" s="22"/>
      <c r="BDP96" s="22"/>
      <c r="BDQ96" s="22"/>
      <c r="BDR96" s="22"/>
      <c r="BDS96" s="22"/>
      <c r="BDT96" s="22"/>
      <c r="BDU96" s="22"/>
      <c r="BDV96" s="22"/>
      <c r="BDW96" s="22"/>
      <c r="BDX96" s="22"/>
      <c r="BDY96" s="22"/>
      <c r="BDZ96" s="22"/>
      <c r="BEA96" s="22"/>
      <c r="BEB96" s="22"/>
      <c r="BEC96" s="22"/>
      <c r="BED96" s="22"/>
      <c r="BEE96" s="22"/>
      <c r="BEF96" s="22"/>
      <c r="BEG96" s="22"/>
      <c r="BEH96" s="22"/>
      <c r="BEI96" s="22"/>
      <c r="BEJ96" s="22"/>
      <c r="BEK96" s="22"/>
      <c r="BEL96" s="22"/>
      <c r="BEM96" s="22"/>
      <c r="BEN96" s="22"/>
      <c r="BEO96" s="22"/>
      <c r="BEP96" s="22"/>
      <c r="BEQ96" s="22"/>
      <c r="BER96" s="22"/>
      <c r="BES96" s="22"/>
      <c r="BET96" s="22"/>
      <c r="BEU96" s="22"/>
      <c r="BEV96" s="22"/>
      <c r="BEW96" s="22"/>
      <c r="BEX96" s="22"/>
      <c r="BEY96" s="22"/>
      <c r="BEZ96" s="22"/>
      <c r="BFA96" s="22"/>
      <c r="BFB96" s="22"/>
      <c r="BFC96" s="22"/>
      <c r="BFD96" s="22"/>
      <c r="BFE96" s="22"/>
      <c r="BFF96" s="22"/>
      <c r="BFG96" s="22"/>
      <c r="BFH96" s="22"/>
      <c r="BFI96" s="22"/>
      <c r="BFJ96" s="22"/>
      <c r="BFK96" s="22"/>
      <c r="BFL96" s="22"/>
      <c r="BFM96" s="22"/>
      <c r="BFN96" s="22"/>
      <c r="BFO96" s="22"/>
      <c r="BFP96" s="22"/>
      <c r="BFQ96" s="22"/>
      <c r="BFR96" s="22"/>
      <c r="BFS96" s="22"/>
      <c r="BFT96" s="22"/>
      <c r="BFU96" s="22"/>
      <c r="BFV96" s="22"/>
      <c r="BFW96" s="22"/>
    </row>
    <row r="97" spans="1:1531" s="181" customFormat="1" ht="46.15" customHeight="1" x14ac:dyDescent="0.2">
      <c r="A97" s="261" t="s">
        <v>468</v>
      </c>
      <c r="B97" s="249"/>
      <c r="C97" s="88" t="s">
        <v>498</v>
      </c>
      <c r="D97" s="249"/>
      <c r="E97" s="249" t="s">
        <v>746</v>
      </c>
      <c r="F97" s="249"/>
      <c r="G97" s="249" t="s">
        <v>476</v>
      </c>
      <c r="H97" s="141"/>
      <c r="I97" s="245">
        <v>650</v>
      </c>
      <c r="J97" s="143"/>
      <c r="K97" s="88" t="s">
        <v>110</v>
      </c>
      <c r="L97" s="143"/>
      <c r="M97" s="143"/>
      <c r="N97" s="143"/>
      <c r="O97" s="143">
        <v>2016</v>
      </c>
      <c r="P97" s="129" t="s">
        <v>680</v>
      </c>
      <c r="Q97" s="143"/>
      <c r="R97" s="143"/>
      <c r="S97" s="246"/>
      <c r="T97" s="143"/>
      <c r="U97" s="143"/>
      <c r="V97" s="143"/>
      <c r="W97" s="143"/>
      <c r="X97" s="143"/>
      <c r="Y97" s="247"/>
      <c r="Z97" s="143"/>
      <c r="AA97" s="246"/>
      <c r="AB97" s="143"/>
      <c r="AC97" s="143"/>
      <c r="AD97" s="143"/>
      <c r="AE97" s="143"/>
      <c r="AF97" s="143"/>
      <c r="AG97" s="143"/>
      <c r="AH97" s="143"/>
      <c r="AI97" s="143"/>
      <c r="AJ97" s="143"/>
      <c r="AK97" s="143"/>
      <c r="AL97" s="143">
        <v>28</v>
      </c>
      <c r="AM97" s="143"/>
      <c r="AN97" s="248">
        <v>18200</v>
      </c>
      <c r="AP97" s="473"/>
      <c r="AQ97" s="486"/>
      <c r="AT97" s="491"/>
      <c r="AU97" s="481" t="s">
        <v>713</v>
      </c>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c r="IV97" s="22"/>
      <c r="IW97" s="22"/>
      <c r="IX97" s="22"/>
      <c r="IY97" s="22"/>
      <c r="IZ97" s="22"/>
      <c r="JA97" s="22"/>
      <c r="JB97" s="22"/>
      <c r="JC97" s="22"/>
      <c r="JD97" s="22"/>
      <c r="JE97" s="22"/>
      <c r="JF97" s="22"/>
      <c r="JG97" s="22"/>
      <c r="JH97" s="22"/>
      <c r="JI97" s="22"/>
      <c r="JJ97" s="22"/>
      <c r="JK97" s="22"/>
      <c r="JL97" s="22"/>
      <c r="JM97" s="22"/>
      <c r="JN97" s="22"/>
      <c r="JO97" s="22"/>
      <c r="JP97" s="22"/>
      <c r="JQ97" s="22"/>
      <c r="JR97" s="22"/>
      <c r="JS97" s="22"/>
      <c r="JT97" s="22"/>
      <c r="JU97" s="22"/>
      <c r="JV97" s="22"/>
      <c r="JW97" s="22"/>
      <c r="JX97" s="22"/>
      <c r="JY97" s="22"/>
      <c r="JZ97" s="22"/>
      <c r="KA97" s="22"/>
      <c r="KB97" s="22"/>
      <c r="KC97" s="22"/>
      <c r="KD97" s="22"/>
      <c r="KE97" s="22"/>
      <c r="KF97" s="22"/>
      <c r="KG97" s="22"/>
      <c r="KH97" s="22"/>
      <c r="KI97" s="22"/>
      <c r="KJ97" s="22"/>
      <c r="KK97" s="22"/>
      <c r="KL97" s="22"/>
      <c r="KM97" s="22"/>
      <c r="KN97" s="22"/>
      <c r="KO97" s="22"/>
      <c r="KP97" s="22"/>
      <c r="KQ97" s="22"/>
      <c r="KR97" s="22"/>
      <c r="KS97" s="22"/>
      <c r="KT97" s="22"/>
      <c r="KU97" s="22"/>
      <c r="KV97" s="22"/>
      <c r="KW97" s="22"/>
      <c r="KX97" s="22"/>
      <c r="KY97" s="22"/>
      <c r="KZ97" s="22"/>
      <c r="LA97" s="22"/>
      <c r="LB97" s="22"/>
      <c r="LC97" s="22"/>
      <c r="LD97" s="22"/>
      <c r="LE97" s="22"/>
      <c r="LF97" s="22"/>
      <c r="LG97" s="22"/>
      <c r="LH97" s="22"/>
      <c r="LI97" s="22"/>
      <c r="LJ97" s="22"/>
      <c r="LK97" s="22"/>
      <c r="LL97" s="22"/>
      <c r="LM97" s="22"/>
      <c r="LN97" s="22"/>
      <c r="LO97" s="22"/>
      <c r="LP97" s="22"/>
      <c r="LQ97" s="22"/>
      <c r="LR97" s="22"/>
      <c r="LS97" s="22"/>
      <c r="LT97" s="22"/>
      <c r="LU97" s="22"/>
      <c r="LV97" s="22"/>
      <c r="LW97" s="22"/>
      <c r="LX97" s="22"/>
      <c r="LY97" s="22"/>
      <c r="LZ97" s="22"/>
      <c r="MA97" s="22"/>
      <c r="MB97" s="22"/>
      <c r="MC97" s="22"/>
      <c r="MD97" s="22"/>
      <c r="ME97" s="22"/>
      <c r="MF97" s="22"/>
      <c r="MG97" s="22"/>
      <c r="MH97" s="22"/>
      <c r="MI97" s="22"/>
      <c r="MJ97" s="22"/>
      <c r="MK97" s="22"/>
      <c r="ML97" s="22"/>
      <c r="MM97" s="22"/>
      <c r="MN97" s="22"/>
      <c r="MO97" s="22"/>
      <c r="MP97" s="22"/>
      <c r="MQ97" s="22"/>
      <c r="MR97" s="22"/>
      <c r="MS97" s="22"/>
      <c r="MT97" s="22"/>
      <c r="MU97" s="22"/>
      <c r="MV97" s="22"/>
      <c r="MW97" s="22"/>
      <c r="MX97" s="22"/>
      <c r="MY97" s="22"/>
      <c r="MZ97" s="22"/>
      <c r="NA97" s="22"/>
      <c r="NB97" s="22"/>
      <c r="NC97" s="22"/>
      <c r="ND97" s="22"/>
      <c r="NE97" s="22"/>
      <c r="NF97" s="22"/>
      <c r="NG97" s="22"/>
      <c r="NH97" s="22"/>
      <c r="NI97" s="22"/>
      <c r="NJ97" s="22"/>
      <c r="NK97" s="22"/>
      <c r="NL97" s="22"/>
      <c r="NM97" s="22"/>
      <c r="NN97" s="22"/>
      <c r="NO97" s="22"/>
      <c r="NP97" s="22"/>
      <c r="NQ97" s="22"/>
      <c r="NR97" s="22"/>
      <c r="NS97" s="22"/>
      <c r="NT97" s="22"/>
      <c r="NU97" s="22"/>
      <c r="NV97" s="22"/>
      <c r="NW97" s="22"/>
      <c r="NX97" s="22"/>
      <c r="NY97" s="22"/>
      <c r="NZ97" s="22"/>
      <c r="OA97" s="22"/>
      <c r="OB97" s="22"/>
      <c r="OC97" s="22"/>
      <c r="OD97" s="22"/>
      <c r="OE97" s="22"/>
      <c r="OF97" s="22"/>
      <c r="OG97" s="22"/>
      <c r="OH97" s="22"/>
      <c r="OI97" s="22"/>
      <c r="OJ97" s="22"/>
      <c r="OK97" s="22"/>
      <c r="OL97" s="22"/>
      <c r="OM97" s="22"/>
      <c r="ON97" s="22"/>
      <c r="OO97" s="22"/>
      <c r="OP97" s="22"/>
      <c r="OQ97" s="22"/>
      <c r="OR97" s="22"/>
      <c r="OS97" s="22"/>
      <c r="OT97" s="22"/>
      <c r="OU97" s="22"/>
      <c r="OV97" s="22"/>
      <c r="OW97" s="22"/>
      <c r="OX97" s="22"/>
      <c r="OY97" s="22"/>
      <c r="OZ97" s="22"/>
      <c r="PA97" s="22"/>
      <c r="PB97" s="22"/>
      <c r="PC97" s="22"/>
      <c r="PD97" s="22"/>
      <c r="PE97" s="22"/>
      <c r="PF97" s="22"/>
      <c r="PG97" s="22"/>
      <c r="PH97" s="22"/>
      <c r="PI97" s="22"/>
      <c r="PJ97" s="22"/>
      <c r="PK97" s="22"/>
      <c r="PL97" s="22"/>
      <c r="PM97" s="22"/>
      <c r="PN97" s="22"/>
      <c r="PO97" s="22"/>
      <c r="PP97" s="22"/>
      <c r="PQ97" s="22"/>
      <c r="PR97" s="22"/>
      <c r="PS97" s="22"/>
      <c r="PT97" s="22"/>
      <c r="PU97" s="22"/>
      <c r="PV97" s="22"/>
      <c r="PW97" s="22"/>
      <c r="PX97" s="22"/>
      <c r="PY97" s="22"/>
      <c r="PZ97" s="22"/>
      <c r="QA97" s="22"/>
      <c r="QB97" s="22"/>
      <c r="QC97" s="22"/>
      <c r="QD97" s="22"/>
      <c r="QE97" s="22"/>
      <c r="QF97" s="22"/>
      <c r="QG97" s="22"/>
      <c r="QH97" s="22"/>
      <c r="QI97" s="22"/>
      <c r="QJ97" s="22"/>
      <c r="QK97" s="22"/>
      <c r="QL97" s="22"/>
      <c r="QM97" s="22"/>
      <c r="QN97" s="22"/>
      <c r="QO97" s="22"/>
      <c r="QP97" s="22"/>
      <c r="QQ97" s="22"/>
      <c r="QR97" s="22"/>
      <c r="QS97" s="22"/>
      <c r="QT97" s="22"/>
      <c r="QU97" s="22"/>
      <c r="QV97" s="22"/>
      <c r="QW97" s="22"/>
      <c r="QX97" s="22"/>
      <c r="QY97" s="22"/>
      <c r="QZ97" s="22"/>
      <c r="RA97" s="22"/>
      <c r="RB97" s="22"/>
      <c r="RC97" s="22"/>
      <c r="RD97" s="22"/>
      <c r="RE97" s="22"/>
      <c r="RF97" s="22"/>
      <c r="RG97" s="22"/>
      <c r="RH97" s="22"/>
      <c r="RI97" s="22"/>
      <c r="RJ97" s="22"/>
      <c r="RK97" s="22"/>
      <c r="RL97" s="22"/>
      <c r="RM97" s="22"/>
      <c r="RN97" s="22"/>
      <c r="RO97" s="22"/>
      <c r="RP97" s="22"/>
      <c r="RQ97" s="22"/>
      <c r="RR97" s="22"/>
      <c r="RS97" s="22"/>
      <c r="RT97" s="22"/>
      <c r="RU97" s="22"/>
      <c r="RV97" s="22"/>
      <c r="RW97" s="22"/>
      <c r="RX97" s="22"/>
      <c r="RY97" s="22"/>
      <c r="RZ97" s="22"/>
      <c r="SA97" s="22"/>
      <c r="SB97" s="22"/>
      <c r="SC97" s="22"/>
      <c r="SD97" s="22"/>
      <c r="SE97" s="22"/>
      <c r="SF97" s="22"/>
      <c r="SG97" s="22"/>
      <c r="SH97" s="22"/>
      <c r="SI97" s="22"/>
      <c r="SJ97" s="22"/>
      <c r="SK97" s="22"/>
      <c r="SL97" s="22"/>
      <c r="SM97" s="22"/>
      <c r="SN97" s="22"/>
      <c r="SO97" s="22"/>
      <c r="SP97" s="22"/>
      <c r="SQ97" s="22"/>
      <c r="SR97" s="22"/>
      <c r="SS97" s="22"/>
      <c r="ST97" s="22"/>
      <c r="SU97" s="22"/>
      <c r="SV97" s="22"/>
      <c r="SW97" s="22"/>
      <c r="SX97" s="22"/>
      <c r="SY97" s="22"/>
      <c r="SZ97" s="22"/>
      <c r="TA97" s="22"/>
      <c r="TB97" s="22"/>
      <c r="TC97" s="22"/>
      <c r="TD97" s="22"/>
      <c r="TE97" s="22"/>
      <c r="TF97" s="22"/>
      <c r="TG97" s="22"/>
      <c r="TH97" s="22"/>
      <c r="TI97" s="22"/>
      <c r="TJ97" s="22"/>
      <c r="TK97" s="22"/>
      <c r="TL97" s="22"/>
      <c r="TM97" s="22"/>
      <c r="TN97" s="22"/>
      <c r="TO97" s="22"/>
      <c r="TP97" s="22"/>
      <c r="TQ97" s="22"/>
      <c r="TR97" s="22"/>
      <c r="TS97" s="22"/>
      <c r="TT97" s="22"/>
      <c r="TU97" s="22"/>
      <c r="TV97" s="22"/>
      <c r="TW97" s="22"/>
      <c r="TX97" s="22"/>
      <c r="TY97" s="22"/>
      <c r="TZ97" s="22"/>
      <c r="UA97" s="22"/>
      <c r="UB97" s="22"/>
      <c r="UC97" s="22"/>
      <c r="UD97" s="22"/>
      <c r="UE97" s="22"/>
      <c r="UF97" s="22"/>
      <c r="UG97" s="22"/>
      <c r="UH97" s="22"/>
      <c r="UI97" s="22"/>
      <c r="UJ97" s="22"/>
      <c r="UK97" s="22"/>
      <c r="UL97" s="22"/>
      <c r="UM97" s="22"/>
      <c r="UN97" s="22"/>
      <c r="UO97" s="22"/>
      <c r="UP97" s="22"/>
      <c r="UQ97" s="22"/>
      <c r="UR97" s="22"/>
      <c r="US97" s="22"/>
      <c r="UT97" s="22"/>
      <c r="UU97" s="22"/>
      <c r="UV97" s="22"/>
      <c r="UW97" s="22"/>
      <c r="UX97" s="22"/>
      <c r="UY97" s="22"/>
      <c r="UZ97" s="22"/>
      <c r="VA97" s="22"/>
      <c r="VB97" s="22"/>
      <c r="VC97" s="22"/>
      <c r="VD97" s="22"/>
      <c r="VE97" s="22"/>
      <c r="VF97" s="22"/>
      <c r="VG97" s="22"/>
      <c r="VH97" s="22"/>
      <c r="VI97" s="22"/>
      <c r="VJ97" s="22"/>
      <c r="VK97" s="22"/>
      <c r="VL97" s="22"/>
      <c r="VM97" s="22"/>
      <c r="VN97" s="22"/>
      <c r="VO97" s="22"/>
      <c r="VP97" s="22"/>
      <c r="VQ97" s="22"/>
      <c r="VR97" s="22"/>
      <c r="VS97" s="22"/>
      <c r="VT97" s="22"/>
      <c r="VU97" s="22"/>
      <c r="VV97" s="22"/>
      <c r="VW97" s="22"/>
      <c r="VX97" s="22"/>
      <c r="VY97" s="22"/>
      <c r="VZ97" s="22"/>
      <c r="WA97" s="22"/>
      <c r="WB97" s="22"/>
      <c r="WC97" s="22"/>
      <c r="WD97" s="22"/>
      <c r="WE97" s="22"/>
      <c r="WF97" s="22"/>
      <c r="WG97" s="22"/>
      <c r="WH97" s="22"/>
      <c r="WI97" s="22"/>
      <c r="WJ97" s="22"/>
      <c r="WK97" s="22"/>
      <c r="WL97" s="22"/>
      <c r="WM97" s="22"/>
      <c r="WN97" s="22"/>
      <c r="WO97" s="22"/>
      <c r="WP97" s="22"/>
      <c r="WQ97" s="22"/>
      <c r="WR97" s="22"/>
      <c r="WS97" s="22"/>
      <c r="WT97" s="22"/>
      <c r="WU97" s="22"/>
      <c r="WV97" s="22"/>
      <c r="WW97" s="22"/>
      <c r="WX97" s="22"/>
      <c r="WY97" s="22"/>
      <c r="WZ97" s="22"/>
      <c r="XA97" s="22"/>
      <c r="XB97" s="22"/>
      <c r="XC97" s="22"/>
      <c r="XD97" s="22"/>
      <c r="XE97" s="22"/>
      <c r="XF97" s="22"/>
      <c r="XG97" s="22"/>
      <c r="XH97" s="22"/>
      <c r="XI97" s="22"/>
      <c r="XJ97" s="22"/>
      <c r="XK97" s="22"/>
      <c r="XL97" s="22"/>
      <c r="XM97" s="22"/>
      <c r="XN97" s="22"/>
      <c r="XO97" s="22"/>
      <c r="XP97" s="22"/>
      <c r="XQ97" s="22"/>
      <c r="XR97" s="22"/>
      <c r="XS97" s="22"/>
      <c r="XT97" s="22"/>
      <c r="XU97" s="22"/>
      <c r="XV97" s="22"/>
      <c r="XW97" s="22"/>
      <c r="XX97" s="22"/>
      <c r="XY97" s="22"/>
      <c r="XZ97" s="22"/>
      <c r="YA97" s="22"/>
      <c r="YB97" s="22"/>
      <c r="YC97" s="22"/>
      <c r="YD97" s="22"/>
      <c r="YE97" s="22"/>
      <c r="YF97" s="22"/>
      <c r="YG97" s="22"/>
      <c r="YH97" s="22"/>
      <c r="YI97" s="22"/>
      <c r="YJ97" s="22"/>
      <c r="YK97" s="22"/>
      <c r="YL97" s="22"/>
      <c r="YM97" s="22"/>
      <c r="YN97" s="22"/>
      <c r="YO97" s="22"/>
      <c r="YP97" s="22"/>
      <c r="YQ97" s="22"/>
      <c r="YR97" s="22"/>
      <c r="YS97" s="22"/>
      <c r="YT97" s="22"/>
      <c r="YU97" s="22"/>
      <c r="YV97" s="22"/>
      <c r="YW97" s="22"/>
      <c r="YX97" s="22"/>
      <c r="YY97" s="22"/>
      <c r="YZ97" s="22"/>
      <c r="ZA97" s="22"/>
      <c r="ZB97" s="22"/>
      <c r="ZC97" s="22"/>
      <c r="ZD97" s="22"/>
      <c r="ZE97" s="22"/>
      <c r="ZF97" s="22"/>
      <c r="ZG97" s="22"/>
      <c r="ZH97" s="22"/>
      <c r="ZI97" s="22"/>
      <c r="ZJ97" s="22"/>
      <c r="ZK97" s="22"/>
      <c r="ZL97" s="22"/>
      <c r="ZM97" s="22"/>
      <c r="ZN97" s="22"/>
      <c r="ZO97" s="22"/>
      <c r="ZP97" s="22"/>
      <c r="ZQ97" s="22"/>
      <c r="ZR97" s="22"/>
      <c r="ZS97" s="22"/>
      <c r="ZT97" s="22"/>
      <c r="ZU97" s="22"/>
      <c r="ZV97" s="22"/>
      <c r="ZW97" s="22"/>
      <c r="ZX97" s="22"/>
      <c r="ZY97" s="22"/>
      <c r="ZZ97" s="22"/>
      <c r="AAA97" s="22"/>
      <c r="AAB97" s="22"/>
      <c r="AAC97" s="22"/>
      <c r="AAD97" s="22"/>
      <c r="AAE97" s="22"/>
      <c r="AAF97" s="22"/>
      <c r="AAG97" s="22"/>
      <c r="AAH97" s="22"/>
      <c r="AAI97" s="22"/>
      <c r="AAJ97" s="22"/>
      <c r="AAK97" s="22"/>
      <c r="AAL97" s="22"/>
      <c r="AAM97" s="22"/>
      <c r="AAN97" s="22"/>
      <c r="AAO97" s="22"/>
      <c r="AAP97" s="22"/>
      <c r="AAQ97" s="22"/>
      <c r="AAR97" s="22"/>
      <c r="AAS97" s="22"/>
      <c r="AAT97" s="22"/>
      <c r="AAU97" s="22"/>
      <c r="AAV97" s="22"/>
      <c r="AAW97" s="22"/>
      <c r="AAX97" s="22"/>
      <c r="AAY97" s="22"/>
      <c r="AAZ97" s="22"/>
      <c r="ABA97" s="22"/>
      <c r="ABB97" s="22"/>
      <c r="ABC97" s="22"/>
      <c r="ABD97" s="22"/>
      <c r="ABE97" s="22"/>
      <c r="ABF97" s="22"/>
      <c r="ABG97" s="22"/>
      <c r="ABH97" s="22"/>
      <c r="ABI97" s="22"/>
      <c r="ABJ97" s="22"/>
      <c r="ABK97" s="22"/>
      <c r="ABL97" s="22"/>
      <c r="ABM97" s="22"/>
      <c r="ABN97" s="22"/>
      <c r="ABO97" s="22"/>
      <c r="ABP97" s="22"/>
      <c r="ABQ97" s="22"/>
      <c r="ABR97" s="22"/>
      <c r="ABS97" s="22"/>
      <c r="ABT97" s="22"/>
      <c r="ABU97" s="22"/>
      <c r="ABV97" s="22"/>
      <c r="ABW97" s="22"/>
      <c r="ABX97" s="22"/>
      <c r="ABY97" s="22"/>
      <c r="ABZ97" s="22"/>
      <c r="ACA97" s="22"/>
      <c r="ACB97" s="22"/>
      <c r="ACC97" s="22"/>
      <c r="ACD97" s="22"/>
      <c r="ACE97" s="22"/>
      <c r="ACF97" s="22"/>
      <c r="ACG97" s="22"/>
      <c r="ACH97" s="22"/>
      <c r="ACI97" s="22"/>
      <c r="ACJ97" s="22"/>
      <c r="ACK97" s="22"/>
      <c r="ACL97" s="22"/>
      <c r="ACM97" s="22"/>
      <c r="ACN97" s="22"/>
      <c r="ACO97" s="22"/>
      <c r="ACP97" s="22"/>
      <c r="ACQ97" s="22"/>
      <c r="ACR97" s="22"/>
      <c r="ACS97" s="22"/>
      <c r="ACT97" s="22"/>
      <c r="ACU97" s="22"/>
      <c r="ACV97" s="22"/>
      <c r="ACW97" s="22"/>
      <c r="ACX97" s="22"/>
      <c r="ACY97" s="22"/>
      <c r="ACZ97" s="22"/>
      <c r="ADA97" s="22"/>
      <c r="ADB97" s="22"/>
      <c r="ADC97" s="22"/>
      <c r="ADD97" s="22"/>
      <c r="ADE97" s="22"/>
      <c r="ADF97" s="22"/>
      <c r="ADG97" s="22"/>
      <c r="ADH97" s="22"/>
      <c r="ADI97" s="22"/>
      <c r="ADJ97" s="22"/>
      <c r="ADK97" s="22"/>
      <c r="ADL97" s="22"/>
      <c r="ADM97" s="22"/>
      <c r="ADN97" s="22"/>
      <c r="ADO97" s="22"/>
      <c r="ADP97" s="22"/>
      <c r="ADQ97" s="22"/>
      <c r="ADR97" s="22"/>
      <c r="ADS97" s="22"/>
      <c r="ADT97" s="22"/>
      <c r="ADU97" s="22"/>
      <c r="ADV97" s="22"/>
      <c r="ADW97" s="22"/>
      <c r="ADX97" s="22"/>
      <c r="ADY97" s="22"/>
      <c r="ADZ97" s="22"/>
      <c r="AEA97" s="22"/>
      <c r="AEB97" s="22"/>
      <c r="AEC97" s="22"/>
      <c r="AED97" s="22"/>
      <c r="AEE97" s="22"/>
      <c r="AEF97" s="22"/>
      <c r="AEG97" s="22"/>
      <c r="AEH97" s="22"/>
      <c r="AEI97" s="22"/>
      <c r="AEJ97" s="22"/>
      <c r="AEK97" s="22"/>
      <c r="AEL97" s="22"/>
      <c r="AEM97" s="22"/>
      <c r="AEN97" s="22"/>
      <c r="AEO97" s="22"/>
      <c r="AEP97" s="22"/>
      <c r="AEQ97" s="22"/>
      <c r="AER97" s="22"/>
      <c r="AES97" s="22"/>
      <c r="AET97" s="22"/>
      <c r="AEU97" s="22"/>
      <c r="AEV97" s="22"/>
      <c r="AEW97" s="22"/>
      <c r="AEX97" s="22"/>
      <c r="AEY97" s="22"/>
      <c r="AEZ97" s="22"/>
      <c r="AFA97" s="22"/>
      <c r="AFB97" s="22"/>
      <c r="AFC97" s="22"/>
      <c r="AFD97" s="22"/>
      <c r="AFE97" s="22"/>
      <c r="AFF97" s="22"/>
      <c r="AFG97" s="22"/>
      <c r="AFH97" s="22"/>
      <c r="AFI97" s="22"/>
      <c r="AFJ97" s="22"/>
      <c r="AFK97" s="22"/>
      <c r="AFL97" s="22"/>
      <c r="AFM97" s="22"/>
      <c r="AFN97" s="22"/>
      <c r="AFO97" s="22"/>
      <c r="AFP97" s="22"/>
      <c r="AFQ97" s="22"/>
      <c r="AFR97" s="22"/>
      <c r="AFS97" s="22"/>
      <c r="AFT97" s="22"/>
      <c r="AFU97" s="22"/>
      <c r="AFV97" s="22"/>
      <c r="AFW97" s="22"/>
      <c r="AFX97" s="22"/>
      <c r="AFY97" s="22"/>
      <c r="AFZ97" s="22"/>
      <c r="AGA97" s="22"/>
      <c r="AGB97" s="22"/>
      <c r="AGC97" s="22"/>
      <c r="AGD97" s="22"/>
      <c r="AGE97" s="22"/>
      <c r="AGF97" s="22"/>
      <c r="AGG97" s="22"/>
      <c r="AGH97" s="22"/>
      <c r="AGI97" s="22"/>
      <c r="AGJ97" s="22"/>
      <c r="AGK97" s="22"/>
      <c r="AGL97" s="22"/>
      <c r="AGM97" s="22"/>
      <c r="AGN97" s="22"/>
      <c r="AGO97" s="22"/>
      <c r="AGP97" s="22"/>
      <c r="AGQ97" s="22"/>
      <c r="AGR97" s="22"/>
      <c r="AGS97" s="22"/>
      <c r="AGT97" s="22"/>
      <c r="AGU97" s="22"/>
      <c r="AGV97" s="22"/>
      <c r="AGW97" s="22"/>
      <c r="AGX97" s="22"/>
      <c r="AGY97" s="22"/>
      <c r="AGZ97" s="22"/>
      <c r="AHA97" s="22"/>
      <c r="AHB97" s="22"/>
      <c r="AHC97" s="22"/>
      <c r="AHD97" s="22"/>
      <c r="AHE97" s="22"/>
      <c r="AHF97" s="22"/>
      <c r="AHG97" s="22"/>
      <c r="AHH97" s="22"/>
      <c r="AHI97" s="22"/>
      <c r="AHJ97" s="22"/>
      <c r="AHK97" s="22"/>
      <c r="AHL97" s="22"/>
      <c r="AHM97" s="22"/>
      <c r="AHN97" s="22"/>
      <c r="AHO97" s="22"/>
      <c r="AHP97" s="22"/>
      <c r="AHQ97" s="22"/>
      <c r="AHR97" s="22"/>
      <c r="AHS97" s="22"/>
      <c r="AHT97" s="22"/>
      <c r="AHU97" s="22"/>
      <c r="AHV97" s="22"/>
      <c r="AHW97" s="22"/>
      <c r="AHX97" s="22"/>
      <c r="AHY97" s="22"/>
      <c r="AHZ97" s="22"/>
      <c r="AIA97" s="22"/>
      <c r="AIB97" s="22"/>
      <c r="AIC97" s="22"/>
      <c r="AID97" s="22"/>
      <c r="AIE97" s="22"/>
      <c r="AIF97" s="22"/>
      <c r="AIG97" s="22"/>
      <c r="AIH97" s="22"/>
      <c r="AII97" s="22"/>
      <c r="AIJ97" s="22"/>
      <c r="AIK97" s="22"/>
      <c r="AIL97" s="22"/>
      <c r="AIM97" s="22"/>
      <c r="AIN97" s="22"/>
      <c r="AIO97" s="22"/>
      <c r="AIP97" s="22"/>
      <c r="AIQ97" s="22"/>
      <c r="AIR97" s="22"/>
      <c r="AIS97" s="22"/>
      <c r="AIT97" s="22"/>
      <c r="AIU97" s="22"/>
      <c r="AIV97" s="22"/>
      <c r="AIW97" s="22"/>
      <c r="AIX97" s="22"/>
      <c r="AIY97" s="22"/>
      <c r="AIZ97" s="22"/>
      <c r="AJA97" s="22"/>
      <c r="AJB97" s="22"/>
      <c r="AJC97" s="22"/>
      <c r="AJD97" s="22"/>
      <c r="AJE97" s="22"/>
      <c r="AJF97" s="22"/>
      <c r="AJG97" s="22"/>
      <c r="AJH97" s="22"/>
      <c r="AJI97" s="22"/>
      <c r="AJJ97" s="22"/>
      <c r="AJK97" s="22"/>
      <c r="AJL97" s="22"/>
      <c r="AJM97" s="22"/>
      <c r="AJN97" s="22"/>
      <c r="AJO97" s="22"/>
      <c r="AJP97" s="22"/>
      <c r="AJQ97" s="22"/>
      <c r="AJR97" s="22"/>
      <c r="AJS97" s="22"/>
      <c r="AJT97" s="22"/>
      <c r="AJU97" s="22"/>
      <c r="AJV97" s="22"/>
      <c r="AJW97" s="22"/>
      <c r="AJX97" s="22"/>
      <c r="AJY97" s="22"/>
      <c r="AJZ97" s="22"/>
      <c r="AKA97" s="22"/>
      <c r="AKB97" s="22"/>
      <c r="AKC97" s="22"/>
      <c r="AKD97" s="22"/>
      <c r="AKE97" s="22"/>
      <c r="AKF97" s="22"/>
      <c r="AKG97" s="22"/>
      <c r="AKH97" s="22"/>
      <c r="AKI97" s="22"/>
      <c r="AKJ97" s="22"/>
      <c r="AKK97" s="22"/>
      <c r="AKL97" s="22"/>
      <c r="AKM97" s="22"/>
      <c r="AKN97" s="22"/>
      <c r="AKO97" s="22"/>
      <c r="AKP97" s="22"/>
      <c r="AKQ97" s="22"/>
      <c r="AKR97" s="22"/>
      <c r="AKS97" s="22"/>
      <c r="AKT97" s="22"/>
      <c r="AKU97" s="22"/>
      <c r="AKV97" s="22"/>
      <c r="AKW97" s="22"/>
      <c r="AKX97" s="22"/>
      <c r="AKY97" s="22"/>
      <c r="AKZ97" s="22"/>
      <c r="ALA97" s="22"/>
      <c r="ALB97" s="22"/>
      <c r="ALC97" s="22"/>
      <c r="ALD97" s="22"/>
      <c r="ALE97" s="22"/>
      <c r="ALF97" s="22"/>
      <c r="ALG97" s="22"/>
      <c r="ALH97" s="22"/>
      <c r="ALI97" s="22"/>
      <c r="ALJ97" s="22"/>
      <c r="ALK97" s="22"/>
      <c r="ALL97" s="22"/>
      <c r="ALM97" s="22"/>
      <c r="ALN97" s="22"/>
      <c r="ALO97" s="22"/>
      <c r="ALP97" s="22"/>
      <c r="ALQ97" s="22"/>
      <c r="ALR97" s="22"/>
      <c r="ALS97" s="22"/>
      <c r="ALT97" s="22"/>
      <c r="ALU97" s="22"/>
      <c r="ALV97" s="22"/>
      <c r="ALW97" s="22"/>
      <c r="ALX97" s="22"/>
      <c r="ALY97" s="22"/>
      <c r="ALZ97" s="22"/>
      <c r="AMA97" s="22"/>
      <c r="AMB97" s="22"/>
      <c r="AMC97" s="22"/>
      <c r="AMD97" s="22"/>
      <c r="AME97" s="22"/>
      <c r="AMF97" s="22"/>
      <c r="AMG97" s="22"/>
      <c r="AMH97" s="22"/>
      <c r="AMI97" s="22"/>
      <c r="AMJ97" s="22"/>
      <c r="AMK97" s="22"/>
      <c r="AML97" s="22"/>
      <c r="AMM97" s="22"/>
      <c r="AMN97" s="22"/>
      <c r="AMO97" s="22"/>
      <c r="AMP97" s="22"/>
      <c r="AMQ97" s="22"/>
      <c r="AMR97" s="22"/>
      <c r="AMS97" s="22"/>
      <c r="AMT97" s="22"/>
      <c r="AMU97" s="22"/>
      <c r="AMV97" s="22"/>
      <c r="AMW97" s="22"/>
      <c r="AMX97" s="22"/>
      <c r="AMY97" s="22"/>
      <c r="AMZ97" s="22"/>
      <c r="ANA97" s="22"/>
      <c r="ANB97" s="22"/>
      <c r="ANC97" s="22"/>
      <c r="AND97" s="22"/>
      <c r="ANE97" s="22"/>
      <c r="ANF97" s="22"/>
      <c r="ANG97" s="22"/>
      <c r="ANH97" s="22"/>
      <c r="ANI97" s="22"/>
      <c r="ANJ97" s="22"/>
      <c r="ANK97" s="22"/>
      <c r="ANL97" s="22"/>
      <c r="ANM97" s="22"/>
      <c r="ANN97" s="22"/>
      <c r="ANO97" s="22"/>
      <c r="ANP97" s="22"/>
      <c r="ANQ97" s="22"/>
      <c r="ANR97" s="22"/>
      <c r="ANS97" s="22"/>
      <c r="ANT97" s="22"/>
      <c r="ANU97" s="22"/>
      <c r="ANV97" s="22"/>
      <c r="ANW97" s="22"/>
      <c r="ANX97" s="22"/>
      <c r="ANY97" s="22"/>
      <c r="ANZ97" s="22"/>
      <c r="AOA97" s="22"/>
      <c r="AOB97" s="22"/>
      <c r="AOC97" s="22"/>
      <c r="AOD97" s="22"/>
      <c r="AOE97" s="22"/>
      <c r="AOF97" s="22"/>
      <c r="AOG97" s="22"/>
      <c r="AOH97" s="22"/>
      <c r="AOI97" s="22"/>
      <c r="AOJ97" s="22"/>
      <c r="AOK97" s="22"/>
      <c r="AOL97" s="22"/>
      <c r="AOM97" s="22"/>
      <c r="AON97" s="22"/>
      <c r="AOO97" s="22"/>
      <c r="AOP97" s="22"/>
      <c r="AOQ97" s="22"/>
      <c r="AOR97" s="22"/>
      <c r="AOS97" s="22"/>
      <c r="AOT97" s="22"/>
      <c r="AOU97" s="22"/>
      <c r="AOV97" s="22"/>
      <c r="AOW97" s="22"/>
      <c r="AOX97" s="22"/>
      <c r="AOY97" s="22"/>
      <c r="AOZ97" s="22"/>
      <c r="APA97" s="22"/>
      <c r="APB97" s="22"/>
      <c r="APC97" s="22"/>
      <c r="APD97" s="22"/>
      <c r="APE97" s="22"/>
      <c r="APF97" s="22"/>
      <c r="APG97" s="22"/>
      <c r="APH97" s="22"/>
      <c r="API97" s="22"/>
      <c r="APJ97" s="22"/>
      <c r="APK97" s="22"/>
      <c r="APL97" s="22"/>
      <c r="APM97" s="22"/>
      <c r="APN97" s="22"/>
      <c r="APO97" s="22"/>
      <c r="APP97" s="22"/>
      <c r="APQ97" s="22"/>
      <c r="APR97" s="22"/>
      <c r="APS97" s="22"/>
      <c r="APT97" s="22"/>
      <c r="APU97" s="22"/>
      <c r="APV97" s="22"/>
      <c r="APW97" s="22"/>
      <c r="APX97" s="22"/>
      <c r="APY97" s="22"/>
      <c r="APZ97" s="22"/>
      <c r="AQA97" s="22"/>
      <c r="AQB97" s="22"/>
      <c r="AQC97" s="22"/>
      <c r="AQD97" s="22"/>
      <c r="AQE97" s="22"/>
      <c r="AQF97" s="22"/>
      <c r="AQG97" s="22"/>
      <c r="AQH97" s="22"/>
      <c r="AQI97" s="22"/>
      <c r="AQJ97" s="22"/>
      <c r="AQK97" s="22"/>
      <c r="AQL97" s="22"/>
      <c r="AQM97" s="22"/>
      <c r="AQN97" s="22"/>
      <c r="AQO97" s="22"/>
      <c r="AQP97" s="22"/>
      <c r="AQQ97" s="22"/>
      <c r="AQR97" s="22"/>
      <c r="AQS97" s="22"/>
      <c r="AQT97" s="22"/>
      <c r="AQU97" s="22"/>
      <c r="AQV97" s="22"/>
      <c r="AQW97" s="22"/>
      <c r="AQX97" s="22"/>
      <c r="AQY97" s="22"/>
      <c r="AQZ97" s="22"/>
      <c r="ARA97" s="22"/>
      <c r="ARB97" s="22"/>
      <c r="ARC97" s="22"/>
      <c r="ARD97" s="22"/>
      <c r="ARE97" s="22"/>
      <c r="ARF97" s="22"/>
      <c r="ARG97" s="22"/>
      <c r="ARH97" s="22"/>
      <c r="ARI97" s="22"/>
      <c r="ARJ97" s="22"/>
      <c r="ARK97" s="22"/>
      <c r="ARL97" s="22"/>
      <c r="ARM97" s="22"/>
      <c r="ARN97" s="22"/>
      <c r="ARO97" s="22"/>
      <c r="ARP97" s="22"/>
      <c r="ARQ97" s="22"/>
      <c r="ARR97" s="22"/>
      <c r="ARS97" s="22"/>
      <c r="ART97" s="22"/>
      <c r="ARU97" s="22"/>
      <c r="ARV97" s="22"/>
      <c r="ARW97" s="22"/>
      <c r="ARX97" s="22"/>
      <c r="ARY97" s="22"/>
      <c r="ARZ97" s="22"/>
      <c r="ASA97" s="22"/>
      <c r="ASB97" s="22"/>
      <c r="ASC97" s="22"/>
      <c r="ASD97" s="22"/>
      <c r="ASE97" s="22"/>
      <c r="ASF97" s="22"/>
      <c r="ASG97" s="22"/>
      <c r="ASH97" s="22"/>
      <c r="ASI97" s="22"/>
      <c r="ASJ97" s="22"/>
      <c r="ASK97" s="22"/>
      <c r="ASL97" s="22"/>
      <c r="ASM97" s="22"/>
      <c r="ASN97" s="22"/>
      <c r="ASO97" s="22"/>
      <c r="ASP97" s="22"/>
      <c r="ASQ97" s="22"/>
      <c r="ASR97" s="22"/>
      <c r="ASS97" s="22"/>
      <c r="AST97" s="22"/>
      <c r="ASU97" s="22"/>
      <c r="ASV97" s="22"/>
      <c r="ASW97" s="22"/>
      <c r="ASX97" s="22"/>
      <c r="ASY97" s="22"/>
      <c r="ASZ97" s="22"/>
      <c r="ATA97" s="22"/>
      <c r="ATB97" s="22"/>
      <c r="ATC97" s="22"/>
      <c r="ATD97" s="22"/>
      <c r="ATE97" s="22"/>
      <c r="ATF97" s="22"/>
      <c r="ATG97" s="22"/>
      <c r="ATH97" s="22"/>
      <c r="ATI97" s="22"/>
      <c r="ATJ97" s="22"/>
      <c r="ATK97" s="22"/>
      <c r="ATL97" s="22"/>
      <c r="ATM97" s="22"/>
      <c r="ATN97" s="22"/>
      <c r="ATO97" s="22"/>
      <c r="ATP97" s="22"/>
      <c r="ATQ97" s="22"/>
      <c r="ATR97" s="22"/>
      <c r="ATS97" s="22"/>
      <c r="ATT97" s="22"/>
      <c r="ATU97" s="22"/>
      <c r="ATV97" s="22"/>
      <c r="ATW97" s="22"/>
      <c r="ATX97" s="22"/>
      <c r="ATY97" s="22"/>
      <c r="ATZ97" s="22"/>
      <c r="AUA97" s="22"/>
      <c r="AUB97" s="22"/>
      <c r="AUC97" s="22"/>
      <c r="AUD97" s="22"/>
      <c r="AUE97" s="22"/>
      <c r="AUF97" s="22"/>
      <c r="AUG97" s="22"/>
      <c r="AUH97" s="22"/>
      <c r="AUI97" s="22"/>
      <c r="AUJ97" s="22"/>
      <c r="AUK97" s="22"/>
      <c r="AUL97" s="22"/>
      <c r="AUM97" s="22"/>
      <c r="AUN97" s="22"/>
      <c r="AUO97" s="22"/>
      <c r="AUP97" s="22"/>
      <c r="AUQ97" s="22"/>
      <c r="AUR97" s="22"/>
      <c r="AUS97" s="22"/>
      <c r="AUT97" s="22"/>
      <c r="AUU97" s="22"/>
      <c r="AUV97" s="22"/>
      <c r="AUW97" s="22"/>
      <c r="AUX97" s="22"/>
      <c r="AUY97" s="22"/>
      <c r="AUZ97" s="22"/>
      <c r="AVA97" s="22"/>
      <c r="AVB97" s="22"/>
      <c r="AVC97" s="22"/>
      <c r="AVD97" s="22"/>
      <c r="AVE97" s="22"/>
      <c r="AVF97" s="22"/>
      <c r="AVG97" s="22"/>
      <c r="AVH97" s="22"/>
      <c r="AVI97" s="22"/>
      <c r="AVJ97" s="22"/>
      <c r="AVK97" s="22"/>
      <c r="AVL97" s="22"/>
      <c r="AVM97" s="22"/>
      <c r="AVN97" s="22"/>
      <c r="AVO97" s="22"/>
      <c r="AVP97" s="22"/>
      <c r="AVQ97" s="22"/>
      <c r="AVR97" s="22"/>
      <c r="AVS97" s="22"/>
      <c r="AVT97" s="22"/>
      <c r="AVU97" s="22"/>
      <c r="AVV97" s="22"/>
      <c r="AVW97" s="22"/>
      <c r="AVX97" s="22"/>
      <c r="AVY97" s="22"/>
      <c r="AVZ97" s="22"/>
      <c r="AWA97" s="22"/>
      <c r="AWB97" s="22"/>
      <c r="AWC97" s="22"/>
      <c r="AWD97" s="22"/>
      <c r="AWE97" s="22"/>
      <c r="AWF97" s="22"/>
      <c r="AWG97" s="22"/>
      <c r="AWH97" s="22"/>
      <c r="AWI97" s="22"/>
      <c r="AWJ97" s="22"/>
      <c r="AWK97" s="22"/>
      <c r="AWL97" s="22"/>
      <c r="AWM97" s="22"/>
      <c r="AWN97" s="22"/>
      <c r="AWO97" s="22"/>
      <c r="AWP97" s="22"/>
      <c r="AWQ97" s="22"/>
      <c r="AWR97" s="22"/>
      <c r="AWS97" s="22"/>
      <c r="AWT97" s="22"/>
      <c r="AWU97" s="22"/>
      <c r="AWV97" s="22"/>
      <c r="AWW97" s="22"/>
      <c r="AWX97" s="22"/>
      <c r="AWY97" s="22"/>
      <c r="AWZ97" s="22"/>
      <c r="AXA97" s="22"/>
      <c r="AXB97" s="22"/>
      <c r="AXC97" s="22"/>
      <c r="AXD97" s="22"/>
      <c r="AXE97" s="22"/>
      <c r="AXF97" s="22"/>
      <c r="AXG97" s="22"/>
      <c r="AXH97" s="22"/>
      <c r="AXI97" s="22"/>
      <c r="AXJ97" s="22"/>
      <c r="AXK97" s="22"/>
      <c r="AXL97" s="22"/>
      <c r="AXM97" s="22"/>
      <c r="AXN97" s="22"/>
      <c r="AXO97" s="22"/>
      <c r="AXP97" s="22"/>
      <c r="AXQ97" s="22"/>
      <c r="AXR97" s="22"/>
      <c r="AXS97" s="22"/>
      <c r="AXT97" s="22"/>
      <c r="AXU97" s="22"/>
      <c r="AXV97" s="22"/>
      <c r="AXW97" s="22"/>
      <c r="AXX97" s="22"/>
      <c r="AXY97" s="22"/>
      <c r="AXZ97" s="22"/>
      <c r="AYA97" s="22"/>
      <c r="AYB97" s="22"/>
      <c r="AYC97" s="22"/>
      <c r="AYD97" s="22"/>
      <c r="AYE97" s="22"/>
      <c r="AYF97" s="22"/>
      <c r="AYG97" s="22"/>
      <c r="AYH97" s="22"/>
      <c r="AYI97" s="22"/>
      <c r="AYJ97" s="22"/>
      <c r="AYK97" s="22"/>
      <c r="AYL97" s="22"/>
      <c r="AYM97" s="22"/>
      <c r="AYN97" s="22"/>
      <c r="AYO97" s="22"/>
      <c r="AYP97" s="22"/>
      <c r="AYQ97" s="22"/>
      <c r="AYR97" s="22"/>
      <c r="AYS97" s="22"/>
      <c r="AYT97" s="22"/>
      <c r="AYU97" s="22"/>
      <c r="AYV97" s="22"/>
      <c r="AYW97" s="22"/>
      <c r="AYX97" s="22"/>
      <c r="AYY97" s="22"/>
      <c r="AYZ97" s="22"/>
      <c r="AZA97" s="22"/>
      <c r="AZB97" s="22"/>
      <c r="AZC97" s="22"/>
      <c r="AZD97" s="22"/>
      <c r="AZE97" s="22"/>
      <c r="AZF97" s="22"/>
      <c r="AZG97" s="22"/>
      <c r="AZH97" s="22"/>
      <c r="AZI97" s="22"/>
      <c r="AZJ97" s="22"/>
      <c r="AZK97" s="22"/>
      <c r="AZL97" s="22"/>
      <c r="AZM97" s="22"/>
      <c r="AZN97" s="22"/>
      <c r="AZO97" s="22"/>
      <c r="AZP97" s="22"/>
      <c r="AZQ97" s="22"/>
      <c r="AZR97" s="22"/>
      <c r="AZS97" s="22"/>
      <c r="AZT97" s="22"/>
      <c r="AZU97" s="22"/>
      <c r="AZV97" s="22"/>
      <c r="AZW97" s="22"/>
      <c r="AZX97" s="22"/>
      <c r="AZY97" s="22"/>
      <c r="AZZ97" s="22"/>
      <c r="BAA97" s="22"/>
      <c r="BAB97" s="22"/>
      <c r="BAC97" s="22"/>
      <c r="BAD97" s="22"/>
      <c r="BAE97" s="22"/>
      <c r="BAF97" s="22"/>
      <c r="BAG97" s="22"/>
      <c r="BAH97" s="22"/>
      <c r="BAI97" s="22"/>
      <c r="BAJ97" s="22"/>
      <c r="BAK97" s="22"/>
      <c r="BAL97" s="22"/>
      <c r="BAM97" s="22"/>
      <c r="BAN97" s="22"/>
      <c r="BAO97" s="22"/>
      <c r="BAP97" s="22"/>
      <c r="BAQ97" s="22"/>
      <c r="BAR97" s="22"/>
      <c r="BAS97" s="22"/>
      <c r="BAT97" s="22"/>
      <c r="BAU97" s="22"/>
      <c r="BAV97" s="22"/>
      <c r="BAW97" s="22"/>
      <c r="BAX97" s="22"/>
      <c r="BAY97" s="22"/>
      <c r="BAZ97" s="22"/>
      <c r="BBA97" s="22"/>
      <c r="BBB97" s="22"/>
      <c r="BBC97" s="22"/>
      <c r="BBD97" s="22"/>
      <c r="BBE97" s="22"/>
      <c r="BBF97" s="22"/>
      <c r="BBG97" s="22"/>
      <c r="BBH97" s="22"/>
      <c r="BBI97" s="22"/>
      <c r="BBJ97" s="22"/>
      <c r="BBK97" s="22"/>
      <c r="BBL97" s="22"/>
      <c r="BBM97" s="22"/>
      <c r="BBN97" s="22"/>
      <c r="BBO97" s="22"/>
      <c r="BBP97" s="22"/>
      <c r="BBQ97" s="22"/>
      <c r="BBR97" s="22"/>
      <c r="BBS97" s="22"/>
      <c r="BBT97" s="22"/>
      <c r="BBU97" s="22"/>
      <c r="BBV97" s="22"/>
      <c r="BBW97" s="22"/>
      <c r="BBX97" s="22"/>
      <c r="BBY97" s="22"/>
      <c r="BBZ97" s="22"/>
      <c r="BCA97" s="22"/>
      <c r="BCB97" s="22"/>
      <c r="BCC97" s="22"/>
      <c r="BCD97" s="22"/>
      <c r="BCE97" s="22"/>
      <c r="BCF97" s="22"/>
      <c r="BCG97" s="22"/>
      <c r="BCH97" s="22"/>
      <c r="BCI97" s="22"/>
      <c r="BCJ97" s="22"/>
      <c r="BCK97" s="22"/>
      <c r="BCL97" s="22"/>
      <c r="BCM97" s="22"/>
      <c r="BCN97" s="22"/>
      <c r="BCO97" s="22"/>
      <c r="BCP97" s="22"/>
      <c r="BCQ97" s="22"/>
      <c r="BCR97" s="22"/>
      <c r="BCS97" s="22"/>
      <c r="BCT97" s="22"/>
      <c r="BCU97" s="22"/>
      <c r="BCV97" s="22"/>
      <c r="BCW97" s="22"/>
      <c r="BCX97" s="22"/>
      <c r="BCY97" s="22"/>
      <c r="BCZ97" s="22"/>
      <c r="BDA97" s="22"/>
      <c r="BDB97" s="22"/>
      <c r="BDC97" s="22"/>
      <c r="BDD97" s="22"/>
      <c r="BDE97" s="22"/>
      <c r="BDF97" s="22"/>
      <c r="BDG97" s="22"/>
      <c r="BDH97" s="22"/>
      <c r="BDI97" s="22"/>
      <c r="BDJ97" s="22"/>
      <c r="BDK97" s="22"/>
      <c r="BDL97" s="22"/>
      <c r="BDM97" s="22"/>
      <c r="BDN97" s="22"/>
      <c r="BDO97" s="22"/>
      <c r="BDP97" s="22"/>
      <c r="BDQ97" s="22"/>
      <c r="BDR97" s="22"/>
      <c r="BDS97" s="22"/>
      <c r="BDT97" s="22"/>
      <c r="BDU97" s="22"/>
      <c r="BDV97" s="22"/>
      <c r="BDW97" s="22"/>
      <c r="BDX97" s="22"/>
      <c r="BDY97" s="22"/>
      <c r="BDZ97" s="22"/>
      <c r="BEA97" s="22"/>
      <c r="BEB97" s="22"/>
      <c r="BEC97" s="22"/>
      <c r="BED97" s="22"/>
      <c r="BEE97" s="22"/>
      <c r="BEF97" s="22"/>
      <c r="BEG97" s="22"/>
      <c r="BEH97" s="22"/>
      <c r="BEI97" s="22"/>
      <c r="BEJ97" s="22"/>
      <c r="BEK97" s="22"/>
      <c r="BEL97" s="22"/>
      <c r="BEM97" s="22"/>
      <c r="BEN97" s="22"/>
      <c r="BEO97" s="22"/>
      <c r="BEP97" s="22"/>
      <c r="BEQ97" s="22"/>
      <c r="BER97" s="22"/>
      <c r="BES97" s="22"/>
      <c r="BET97" s="22"/>
      <c r="BEU97" s="22"/>
      <c r="BEV97" s="22"/>
      <c r="BEW97" s="22"/>
      <c r="BEX97" s="22"/>
      <c r="BEY97" s="22"/>
      <c r="BEZ97" s="22"/>
      <c r="BFA97" s="22"/>
      <c r="BFB97" s="22"/>
      <c r="BFC97" s="22"/>
      <c r="BFD97" s="22"/>
      <c r="BFE97" s="22"/>
      <c r="BFF97" s="22"/>
      <c r="BFG97" s="22"/>
      <c r="BFH97" s="22"/>
      <c r="BFI97" s="22"/>
      <c r="BFJ97" s="22"/>
      <c r="BFK97" s="22"/>
      <c r="BFL97" s="22"/>
      <c r="BFM97" s="22"/>
      <c r="BFN97" s="22"/>
      <c r="BFO97" s="22"/>
      <c r="BFP97" s="22"/>
      <c r="BFQ97" s="22"/>
      <c r="BFR97" s="22"/>
      <c r="BFS97" s="22"/>
      <c r="BFT97" s="22"/>
      <c r="BFU97" s="22"/>
      <c r="BFV97" s="22"/>
      <c r="BFW97" s="22"/>
    </row>
    <row r="98" spans="1:1531" s="181" customFormat="1" ht="46.15" customHeight="1" x14ac:dyDescent="0.2">
      <c r="A98" s="261" t="s">
        <v>468</v>
      </c>
      <c r="B98" s="249"/>
      <c r="C98" s="88" t="s">
        <v>498</v>
      </c>
      <c r="D98" s="249"/>
      <c r="E98" s="249" t="s">
        <v>747</v>
      </c>
      <c r="F98" s="249"/>
      <c r="G98" s="249" t="s">
        <v>476</v>
      </c>
      <c r="H98" s="141"/>
      <c r="I98" s="245">
        <v>650</v>
      </c>
      <c r="J98" s="143"/>
      <c r="K98" s="88" t="s">
        <v>110</v>
      </c>
      <c r="L98" s="143"/>
      <c r="M98" s="143"/>
      <c r="N98" s="143"/>
      <c r="O98" s="143">
        <v>2016</v>
      </c>
      <c r="P98" s="129" t="s">
        <v>680</v>
      </c>
      <c r="Q98" s="143"/>
      <c r="R98" s="143"/>
      <c r="S98" s="246"/>
      <c r="T98" s="143"/>
      <c r="U98" s="143"/>
      <c r="V98" s="143"/>
      <c r="W98" s="143"/>
      <c r="X98" s="143"/>
      <c r="Y98" s="247"/>
      <c r="Z98" s="143"/>
      <c r="AA98" s="246"/>
      <c r="AB98" s="143"/>
      <c r="AC98" s="143"/>
      <c r="AD98" s="143"/>
      <c r="AE98" s="143"/>
      <c r="AF98" s="143"/>
      <c r="AG98" s="143"/>
      <c r="AH98" s="143"/>
      <c r="AI98" s="143"/>
      <c r="AJ98" s="143"/>
      <c r="AK98" s="143"/>
      <c r="AL98" s="143">
        <v>2</v>
      </c>
      <c r="AM98" s="143"/>
      <c r="AN98" s="248">
        <v>1300</v>
      </c>
      <c r="AP98" s="473"/>
      <c r="AQ98" s="486">
        <v>1300</v>
      </c>
      <c r="AT98" s="491"/>
      <c r="AU98" s="481" t="s">
        <v>713</v>
      </c>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c r="IV98" s="22"/>
      <c r="IW98" s="22"/>
      <c r="IX98" s="22"/>
      <c r="IY98" s="22"/>
      <c r="IZ98" s="22"/>
      <c r="JA98" s="22"/>
      <c r="JB98" s="22"/>
      <c r="JC98" s="22"/>
      <c r="JD98" s="22"/>
      <c r="JE98" s="22"/>
      <c r="JF98" s="22"/>
      <c r="JG98" s="22"/>
      <c r="JH98" s="22"/>
      <c r="JI98" s="22"/>
      <c r="JJ98" s="22"/>
      <c r="JK98" s="22"/>
      <c r="JL98" s="22"/>
      <c r="JM98" s="22"/>
      <c r="JN98" s="22"/>
      <c r="JO98" s="22"/>
      <c r="JP98" s="22"/>
      <c r="JQ98" s="22"/>
      <c r="JR98" s="22"/>
      <c r="JS98" s="22"/>
      <c r="JT98" s="22"/>
      <c r="JU98" s="22"/>
      <c r="JV98" s="22"/>
      <c r="JW98" s="22"/>
      <c r="JX98" s="22"/>
      <c r="JY98" s="22"/>
      <c r="JZ98" s="22"/>
      <c r="KA98" s="22"/>
      <c r="KB98" s="22"/>
      <c r="KC98" s="22"/>
      <c r="KD98" s="22"/>
      <c r="KE98" s="22"/>
      <c r="KF98" s="22"/>
      <c r="KG98" s="22"/>
      <c r="KH98" s="22"/>
      <c r="KI98" s="22"/>
      <c r="KJ98" s="22"/>
      <c r="KK98" s="22"/>
      <c r="KL98" s="22"/>
      <c r="KM98" s="22"/>
      <c r="KN98" s="22"/>
      <c r="KO98" s="22"/>
      <c r="KP98" s="22"/>
      <c r="KQ98" s="22"/>
      <c r="KR98" s="22"/>
      <c r="KS98" s="22"/>
      <c r="KT98" s="22"/>
      <c r="KU98" s="22"/>
      <c r="KV98" s="22"/>
      <c r="KW98" s="22"/>
      <c r="KX98" s="22"/>
      <c r="KY98" s="22"/>
      <c r="KZ98" s="22"/>
      <c r="LA98" s="22"/>
      <c r="LB98" s="22"/>
      <c r="LC98" s="22"/>
      <c r="LD98" s="22"/>
      <c r="LE98" s="22"/>
      <c r="LF98" s="22"/>
      <c r="LG98" s="22"/>
      <c r="LH98" s="22"/>
      <c r="LI98" s="22"/>
      <c r="LJ98" s="22"/>
      <c r="LK98" s="22"/>
      <c r="LL98" s="22"/>
      <c r="LM98" s="22"/>
      <c r="LN98" s="22"/>
      <c r="LO98" s="22"/>
      <c r="LP98" s="22"/>
      <c r="LQ98" s="22"/>
      <c r="LR98" s="22"/>
      <c r="LS98" s="22"/>
      <c r="LT98" s="22"/>
      <c r="LU98" s="22"/>
      <c r="LV98" s="22"/>
      <c r="LW98" s="22"/>
      <c r="LX98" s="22"/>
      <c r="LY98" s="22"/>
      <c r="LZ98" s="22"/>
      <c r="MA98" s="22"/>
      <c r="MB98" s="22"/>
      <c r="MC98" s="22"/>
      <c r="MD98" s="22"/>
      <c r="ME98" s="22"/>
      <c r="MF98" s="22"/>
      <c r="MG98" s="22"/>
      <c r="MH98" s="22"/>
      <c r="MI98" s="22"/>
      <c r="MJ98" s="22"/>
      <c r="MK98" s="22"/>
      <c r="ML98" s="22"/>
      <c r="MM98" s="22"/>
      <c r="MN98" s="22"/>
      <c r="MO98" s="22"/>
      <c r="MP98" s="22"/>
      <c r="MQ98" s="22"/>
      <c r="MR98" s="22"/>
      <c r="MS98" s="22"/>
      <c r="MT98" s="22"/>
      <c r="MU98" s="22"/>
      <c r="MV98" s="22"/>
      <c r="MW98" s="22"/>
      <c r="MX98" s="22"/>
      <c r="MY98" s="22"/>
      <c r="MZ98" s="22"/>
      <c r="NA98" s="22"/>
      <c r="NB98" s="22"/>
      <c r="NC98" s="22"/>
      <c r="ND98" s="22"/>
      <c r="NE98" s="22"/>
      <c r="NF98" s="22"/>
      <c r="NG98" s="22"/>
      <c r="NH98" s="22"/>
      <c r="NI98" s="22"/>
      <c r="NJ98" s="22"/>
      <c r="NK98" s="22"/>
      <c r="NL98" s="22"/>
      <c r="NM98" s="22"/>
      <c r="NN98" s="22"/>
      <c r="NO98" s="22"/>
      <c r="NP98" s="22"/>
      <c r="NQ98" s="22"/>
      <c r="NR98" s="22"/>
      <c r="NS98" s="22"/>
      <c r="NT98" s="22"/>
      <c r="NU98" s="22"/>
      <c r="NV98" s="22"/>
      <c r="NW98" s="22"/>
      <c r="NX98" s="22"/>
      <c r="NY98" s="22"/>
      <c r="NZ98" s="22"/>
      <c r="OA98" s="22"/>
      <c r="OB98" s="22"/>
      <c r="OC98" s="22"/>
      <c r="OD98" s="22"/>
      <c r="OE98" s="22"/>
      <c r="OF98" s="22"/>
      <c r="OG98" s="22"/>
      <c r="OH98" s="22"/>
      <c r="OI98" s="22"/>
      <c r="OJ98" s="22"/>
      <c r="OK98" s="22"/>
      <c r="OL98" s="22"/>
      <c r="OM98" s="22"/>
      <c r="ON98" s="22"/>
      <c r="OO98" s="22"/>
      <c r="OP98" s="22"/>
      <c r="OQ98" s="22"/>
      <c r="OR98" s="22"/>
      <c r="OS98" s="22"/>
      <c r="OT98" s="22"/>
      <c r="OU98" s="22"/>
      <c r="OV98" s="22"/>
      <c r="OW98" s="22"/>
      <c r="OX98" s="22"/>
      <c r="OY98" s="22"/>
      <c r="OZ98" s="22"/>
      <c r="PA98" s="22"/>
      <c r="PB98" s="22"/>
      <c r="PC98" s="22"/>
      <c r="PD98" s="22"/>
      <c r="PE98" s="22"/>
      <c r="PF98" s="22"/>
      <c r="PG98" s="22"/>
      <c r="PH98" s="22"/>
      <c r="PI98" s="22"/>
      <c r="PJ98" s="22"/>
      <c r="PK98" s="22"/>
      <c r="PL98" s="22"/>
      <c r="PM98" s="22"/>
      <c r="PN98" s="22"/>
      <c r="PO98" s="22"/>
      <c r="PP98" s="22"/>
      <c r="PQ98" s="22"/>
      <c r="PR98" s="22"/>
      <c r="PS98" s="22"/>
      <c r="PT98" s="22"/>
      <c r="PU98" s="22"/>
      <c r="PV98" s="22"/>
      <c r="PW98" s="22"/>
      <c r="PX98" s="22"/>
      <c r="PY98" s="22"/>
      <c r="PZ98" s="22"/>
      <c r="QA98" s="22"/>
      <c r="QB98" s="22"/>
      <c r="QC98" s="22"/>
      <c r="QD98" s="22"/>
      <c r="QE98" s="22"/>
      <c r="QF98" s="22"/>
      <c r="QG98" s="22"/>
      <c r="QH98" s="22"/>
      <c r="QI98" s="22"/>
      <c r="QJ98" s="22"/>
      <c r="QK98" s="22"/>
      <c r="QL98" s="22"/>
      <c r="QM98" s="22"/>
      <c r="QN98" s="22"/>
      <c r="QO98" s="22"/>
      <c r="QP98" s="22"/>
      <c r="QQ98" s="22"/>
      <c r="QR98" s="22"/>
      <c r="QS98" s="22"/>
      <c r="QT98" s="22"/>
      <c r="QU98" s="22"/>
      <c r="QV98" s="22"/>
      <c r="QW98" s="22"/>
      <c r="QX98" s="22"/>
      <c r="QY98" s="22"/>
      <c r="QZ98" s="22"/>
      <c r="RA98" s="22"/>
      <c r="RB98" s="22"/>
      <c r="RC98" s="22"/>
      <c r="RD98" s="22"/>
      <c r="RE98" s="22"/>
      <c r="RF98" s="22"/>
      <c r="RG98" s="22"/>
      <c r="RH98" s="22"/>
      <c r="RI98" s="22"/>
      <c r="RJ98" s="22"/>
      <c r="RK98" s="22"/>
      <c r="RL98" s="22"/>
      <c r="RM98" s="22"/>
      <c r="RN98" s="22"/>
      <c r="RO98" s="22"/>
      <c r="RP98" s="22"/>
      <c r="RQ98" s="22"/>
      <c r="RR98" s="22"/>
      <c r="RS98" s="22"/>
      <c r="RT98" s="22"/>
      <c r="RU98" s="22"/>
      <c r="RV98" s="22"/>
      <c r="RW98" s="22"/>
      <c r="RX98" s="22"/>
      <c r="RY98" s="22"/>
      <c r="RZ98" s="22"/>
      <c r="SA98" s="22"/>
      <c r="SB98" s="22"/>
      <c r="SC98" s="22"/>
      <c r="SD98" s="22"/>
      <c r="SE98" s="22"/>
      <c r="SF98" s="22"/>
      <c r="SG98" s="22"/>
      <c r="SH98" s="22"/>
      <c r="SI98" s="22"/>
      <c r="SJ98" s="22"/>
      <c r="SK98" s="22"/>
      <c r="SL98" s="22"/>
      <c r="SM98" s="22"/>
      <c r="SN98" s="22"/>
      <c r="SO98" s="22"/>
      <c r="SP98" s="22"/>
      <c r="SQ98" s="22"/>
      <c r="SR98" s="22"/>
      <c r="SS98" s="22"/>
      <c r="ST98" s="22"/>
      <c r="SU98" s="22"/>
      <c r="SV98" s="22"/>
      <c r="SW98" s="22"/>
      <c r="SX98" s="22"/>
      <c r="SY98" s="22"/>
      <c r="SZ98" s="22"/>
      <c r="TA98" s="22"/>
      <c r="TB98" s="22"/>
      <c r="TC98" s="22"/>
      <c r="TD98" s="22"/>
      <c r="TE98" s="22"/>
      <c r="TF98" s="22"/>
      <c r="TG98" s="22"/>
      <c r="TH98" s="22"/>
      <c r="TI98" s="22"/>
      <c r="TJ98" s="22"/>
      <c r="TK98" s="22"/>
      <c r="TL98" s="22"/>
      <c r="TM98" s="22"/>
      <c r="TN98" s="22"/>
      <c r="TO98" s="22"/>
      <c r="TP98" s="22"/>
      <c r="TQ98" s="22"/>
      <c r="TR98" s="22"/>
      <c r="TS98" s="22"/>
      <c r="TT98" s="22"/>
      <c r="TU98" s="22"/>
      <c r="TV98" s="22"/>
      <c r="TW98" s="22"/>
      <c r="TX98" s="22"/>
      <c r="TY98" s="22"/>
      <c r="TZ98" s="22"/>
      <c r="UA98" s="22"/>
      <c r="UB98" s="22"/>
      <c r="UC98" s="22"/>
      <c r="UD98" s="22"/>
      <c r="UE98" s="22"/>
      <c r="UF98" s="22"/>
      <c r="UG98" s="22"/>
      <c r="UH98" s="22"/>
      <c r="UI98" s="22"/>
      <c r="UJ98" s="22"/>
      <c r="UK98" s="22"/>
      <c r="UL98" s="22"/>
      <c r="UM98" s="22"/>
      <c r="UN98" s="22"/>
      <c r="UO98" s="22"/>
      <c r="UP98" s="22"/>
      <c r="UQ98" s="22"/>
      <c r="UR98" s="22"/>
      <c r="US98" s="22"/>
      <c r="UT98" s="22"/>
      <c r="UU98" s="22"/>
      <c r="UV98" s="22"/>
      <c r="UW98" s="22"/>
      <c r="UX98" s="22"/>
      <c r="UY98" s="22"/>
      <c r="UZ98" s="22"/>
      <c r="VA98" s="22"/>
      <c r="VB98" s="22"/>
      <c r="VC98" s="22"/>
      <c r="VD98" s="22"/>
      <c r="VE98" s="22"/>
      <c r="VF98" s="22"/>
      <c r="VG98" s="22"/>
      <c r="VH98" s="22"/>
      <c r="VI98" s="22"/>
      <c r="VJ98" s="22"/>
      <c r="VK98" s="22"/>
      <c r="VL98" s="22"/>
      <c r="VM98" s="22"/>
      <c r="VN98" s="22"/>
      <c r="VO98" s="22"/>
      <c r="VP98" s="22"/>
      <c r="VQ98" s="22"/>
      <c r="VR98" s="22"/>
      <c r="VS98" s="22"/>
      <c r="VT98" s="22"/>
      <c r="VU98" s="22"/>
      <c r="VV98" s="22"/>
      <c r="VW98" s="22"/>
      <c r="VX98" s="22"/>
      <c r="VY98" s="22"/>
      <c r="VZ98" s="22"/>
      <c r="WA98" s="22"/>
      <c r="WB98" s="22"/>
      <c r="WC98" s="22"/>
      <c r="WD98" s="22"/>
      <c r="WE98" s="22"/>
      <c r="WF98" s="22"/>
      <c r="WG98" s="22"/>
      <c r="WH98" s="22"/>
      <c r="WI98" s="22"/>
      <c r="WJ98" s="22"/>
      <c r="WK98" s="22"/>
      <c r="WL98" s="22"/>
      <c r="WM98" s="22"/>
      <c r="WN98" s="22"/>
      <c r="WO98" s="22"/>
      <c r="WP98" s="22"/>
      <c r="WQ98" s="22"/>
      <c r="WR98" s="22"/>
      <c r="WS98" s="22"/>
      <c r="WT98" s="22"/>
      <c r="WU98" s="22"/>
      <c r="WV98" s="22"/>
      <c r="WW98" s="22"/>
      <c r="WX98" s="22"/>
      <c r="WY98" s="22"/>
      <c r="WZ98" s="22"/>
      <c r="XA98" s="22"/>
      <c r="XB98" s="22"/>
      <c r="XC98" s="22"/>
      <c r="XD98" s="22"/>
      <c r="XE98" s="22"/>
      <c r="XF98" s="22"/>
      <c r="XG98" s="22"/>
      <c r="XH98" s="22"/>
      <c r="XI98" s="22"/>
      <c r="XJ98" s="22"/>
      <c r="XK98" s="22"/>
      <c r="XL98" s="22"/>
      <c r="XM98" s="22"/>
      <c r="XN98" s="22"/>
      <c r="XO98" s="22"/>
      <c r="XP98" s="22"/>
      <c r="XQ98" s="22"/>
      <c r="XR98" s="22"/>
      <c r="XS98" s="22"/>
      <c r="XT98" s="22"/>
      <c r="XU98" s="22"/>
      <c r="XV98" s="22"/>
      <c r="XW98" s="22"/>
      <c r="XX98" s="22"/>
      <c r="XY98" s="22"/>
      <c r="XZ98" s="22"/>
      <c r="YA98" s="22"/>
      <c r="YB98" s="22"/>
      <c r="YC98" s="22"/>
      <c r="YD98" s="22"/>
      <c r="YE98" s="22"/>
      <c r="YF98" s="22"/>
      <c r="YG98" s="22"/>
      <c r="YH98" s="22"/>
      <c r="YI98" s="22"/>
      <c r="YJ98" s="22"/>
      <c r="YK98" s="22"/>
      <c r="YL98" s="22"/>
      <c r="YM98" s="22"/>
      <c r="YN98" s="22"/>
      <c r="YO98" s="22"/>
      <c r="YP98" s="22"/>
      <c r="YQ98" s="22"/>
      <c r="YR98" s="22"/>
      <c r="YS98" s="22"/>
      <c r="YT98" s="22"/>
      <c r="YU98" s="22"/>
      <c r="YV98" s="22"/>
      <c r="YW98" s="22"/>
      <c r="YX98" s="22"/>
      <c r="YY98" s="22"/>
      <c r="YZ98" s="22"/>
      <c r="ZA98" s="22"/>
      <c r="ZB98" s="22"/>
      <c r="ZC98" s="22"/>
      <c r="ZD98" s="22"/>
      <c r="ZE98" s="22"/>
      <c r="ZF98" s="22"/>
      <c r="ZG98" s="22"/>
      <c r="ZH98" s="22"/>
      <c r="ZI98" s="22"/>
      <c r="ZJ98" s="22"/>
      <c r="ZK98" s="22"/>
      <c r="ZL98" s="22"/>
      <c r="ZM98" s="22"/>
      <c r="ZN98" s="22"/>
      <c r="ZO98" s="22"/>
      <c r="ZP98" s="22"/>
      <c r="ZQ98" s="22"/>
      <c r="ZR98" s="22"/>
      <c r="ZS98" s="22"/>
      <c r="ZT98" s="22"/>
      <c r="ZU98" s="22"/>
      <c r="ZV98" s="22"/>
      <c r="ZW98" s="22"/>
      <c r="ZX98" s="22"/>
      <c r="ZY98" s="22"/>
      <c r="ZZ98" s="22"/>
      <c r="AAA98" s="22"/>
      <c r="AAB98" s="22"/>
      <c r="AAC98" s="22"/>
      <c r="AAD98" s="22"/>
      <c r="AAE98" s="22"/>
      <c r="AAF98" s="22"/>
      <c r="AAG98" s="22"/>
      <c r="AAH98" s="22"/>
      <c r="AAI98" s="22"/>
      <c r="AAJ98" s="22"/>
      <c r="AAK98" s="22"/>
      <c r="AAL98" s="22"/>
      <c r="AAM98" s="22"/>
      <c r="AAN98" s="22"/>
      <c r="AAO98" s="22"/>
      <c r="AAP98" s="22"/>
      <c r="AAQ98" s="22"/>
      <c r="AAR98" s="22"/>
      <c r="AAS98" s="22"/>
      <c r="AAT98" s="22"/>
      <c r="AAU98" s="22"/>
      <c r="AAV98" s="22"/>
      <c r="AAW98" s="22"/>
      <c r="AAX98" s="22"/>
      <c r="AAY98" s="22"/>
      <c r="AAZ98" s="22"/>
      <c r="ABA98" s="22"/>
      <c r="ABB98" s="22"/>
      <c r="ABC98" s="22"/>
      <c r="ABD98" s="22"/>
      <c r="ABE98" s="22"/>
      <c r="ABF98" s="22"/>
      <c r="ABG98" s="22"/>
      <c r="ABH98" s="22"/>
      <c r="ABI98" s="22"/>
      <c r="ABJ98" s="22"/>
      <c r="ABK98" s="22"/>
      <c r="ABL98" s="22"/>
      <c r="ABM98" s="22"/>
      <c r="ABN98" s="22"/>
      <c r="ABO98" s="22"/>
      <c r="ABP98" s="22"/>
      <c r="ABQ98" s="22"/>
      <c r="ABR98" s="22"/>
      <c r="ABS98" s="22"/>
      <c r="ABT98" s="22"/>
      <c r="ABU98" s="22"/>
      <c r="ABV98" s="22"/>
      <c r="ABW98" s="22"/>
      <c r="ABX98" s="22"/>
      <c r="ABY98" s="22"/>
      <c r="ABZ98" s="22"/>
      <c r="ACA98" s="22"/>
      <c r="ACB98" s="22"/>
      <c r="ACC98" s="22"/>
      <c r="ACD98" s="22"/>
      <c r="ACE98" s="22"/>
      <c r="ACF98" s="22"/>
      <c r="ACG98" s="22"/>
      <c r="ACH98" s="22"/>
      <c r="ACI98" s="22"/>
      <c r="ACJ98" s="22"/>
      <c r="ACK98" s="22"/>
      <c r="ACL98" s="22"/>
      <c r="ACM98" s="22"/>
      <c r="ACN98" s="22"/>
      <c r="ACO98" s="22"/>
      <c r="ACP98" s="22"/>
      <c r="ACQ98" s="22"/>
      <c r="ACR98" s="22"/>
      <c r="ACS98" s="22"/>
      <c r="ACT98" s="22"/>
      <c r="ACU98" s="22"/>
      <c r="ACV98" s="22"/>
      <c r="ACW98" s="22"/>
      <c r="ACX98" s="22"/>
      <c r="ACY98" s="22"/>
      <c r="ACZ98" s="22"/>
      <c r="ADA98" s="22"/>
      <c r="ADB98" s="22"/>
      <c r="ADC98" s="22"/>
      <c r="ADD98" s="22"/>
      <c r="ADE98" s="22"/>
      <c r="ADF98" s="22"/>
      <c r="ADG98" s="22"/>
      <c r="ADH98" s="22"/>
      <c r="ADI98" s="22"/>
      <c r="ADJ98" s="22"/>
      <c r="ADK98" s="22"/>
      <c r="ADL98" s="22"/>
      <c r="ADM98" s="22"/>
      <c r="ADN98" s="22"/>
      <c r="ADO98" s="22"/>
      <c r="ADP98" s="22"/>
      <c r="ADQ98" s="22"/>
      <c r="ADR98" s="22"/>
      <c r="ADS98" s="22"/>
      <c r="ADT98" s="22"/>
      <c r="ADU98" s="22"/>
      <c r="ADV98" s="22"/>
      <c r="ADW98" s="22"/>
      <c r="ADX98" s="22"/>
      <c r="ADY98" s="22"/>
      <c r="ADZ98" s="22"/>
      <c r="AEA98" s="22"/>
      <c r="AEB98" s="22"/>
      <c r="AEC98" s="22"/>
      <c r="AED98" s="22"/>
      <c r="AEE98" s="22"/>
      <c r="AEF98" s="22"/>
      <c r="AEG98" s="22"/>
      <c r="AEH98" s="22"/>
      <c r="AEI98" s="22"/>
      <c r="AEJ98" s="22"/>
      <c r="AEK98" s="22"/>
      <c r="AEL98" s="22"/>
      <c r="AEM98" s="22"/>
      <c r="AEN98" s="22"/>
      <c r="AEO98" s="22"/>
      <c r="AEP98" s="22"/>
      <c r="AEQ98" s="22"/>
      <c r="AER98" s="22"/>
      <c r="AES98" s="22"/>
      <c r="AET98" s="22"/>
      <c r="AEU98" s="22"/>
      <c r="AEV98" s="22"/>
      <c r="AEW98" s="22"/>
      <c r="AEX98" s="22"/>
      <c r="AEY98" s="22"/>
      <c r="AEZ98" s="22"/>
      <c r="AFA98" s="22"/>
      <c r="AFB98" s="22"/>
      <c r="AFC98" s="22"/>
      <c r="AFD98" s="22"/>
      <c r="AFE98" s="22"/>
      <c r="AFF98" s="22"/>
      <c r="AFG98" s="22"/>
      <c r="AFH98" s="22"/>
      <c r="AFI98" s="22"/>
      <c r="AFJ98" s="22"/>
      <c r="AFK98" s="22"/>
      <c r="AFL98" s="22"/>
      <c r="AFM98" s="22"/>
      <c r="AFN98" s="22"/>
      <c r="AFO98" s="22"/>
      <c r="AFP98" s="22"/>
      <c r="AFQ98" s="22"/>
      <c r="AFR98" s="22"/>
      <c r="AFS98" s="22"/>
      <c r="AFT98" s="22"/>
      <c r="AFU98" s="22"/>
      <c r="AFV98" s="22"/>
      <c r="AFW98" s="22"/>
      <c r="AFX98" s="22"/>
      <c r="AFY98" s="22"/>
      <c r="AFZ98" s="22"/>
      <c r="AGA98" s="22"/>
      <c r="AGB98" s="22"/>
      <c r="AGC98" s="22"/>
      <c r="AGD98" s="22"/>
      <c r="AGE98" s="22"/>
      <c r="AGF98" s="22"/>
      <c r="AGG98" s="22"/>
      <c r="AGH98" s="22"/>
      <c r="AGI98" s="22"/>
      <c r="AGJ98" s="22"/>
      <c r="AGK98" s="22"/>
      <c r="AGL98" s="22"/>
      <c r="AGM98" s="22"/>
      <c r="AGN98" s="22"/>
      <c r="AGO98" s="22"/>
      <c r="AGP98" s="22"/>
      <c r="AGQ98" s="22"/>
      <c r="AGR98" s="22"/>
      <c r="AGS98" s="22"/>
      <c r="AGT98" s="22"/>
      <c r="AGU98" s="22"/>
      <c r="AGV98" s="22"/>
      <c r="AGW98" s="22"/>
      <c r="AGX98" s="22"/>
      <c r="AGY98" s="22"/>
      <c r="AGZ98" s="22"/>
      <c r="AHA98" s="22"/>
      <c r="AHB98" s="22"/>
      <c r="AHC98" s="22"/>
      <c r="AHD98" s="22"/>
      <c r="AHE98" s="22"/>
      <c r="AHF98" s="22"/>
      <c r="AHG98" s="22"/>
      <c r="AHH98" s="22"/>
      <c r="AHI98" s="22"/>
      <c r="AHJ98" s="22"/>
      <c r="AHK98" s="22"/>
      <c r="AHL98" s="22"/>
      <c r="AHM98" s="22"/>
      <c r="AHN98" s="22"/>
      <c r="AHO98" s="22"/>
      <c r="AHP98" s="22"/>
      <c r="AHQ98" s="22"/>
      <c r="AHR98" s="22"/>
      <c r="AHS98" s="22"/>
      <c r="AHT98" s="22"/>
      <c r="AHU98" s="22"/>
      <c r="AHV98" s="22"/>
      <c r="AHW98" s="22"/>
      <c r="AHX98" s="22"/>
      <c r="AHY98" s="22"/>
      <c r="AHZ98" s="22"/>
      <c r="AIA98" s="22"/>
      <c r="AIB98" s="22"/>
      <c r="AIC98" s="22"/>
      <c r="AID98" s="22"/>
      <c r="AIE98" s="22"/>
      <c r="AIF98" s="22"/>
      <c r="AIG98" s="22"/>
      <c r="AIH98" s="22"/>
      <c r="AII98" s="22"/>
      <c r="AIJ98" s="22"/>
      <c r="AIK98" s="22"/>
      <c r="AIL98" s="22"/>
      <c r="AIM98" s="22"/>
      <c r="AIN98" s="22"/>
      <c r="AIO98" s="22"/>
      <c r="AIP98" s="22"/>
      <c r="AIQ98" s="22"/>
      <c r="AIR98" s="22"/>
      <c r="AIS98" s="22"/>
      <c r="AIT98" s="22"/>
      <c r="AIU98" s="22"/>
      <c r="AIV98" s="22"/>
      <c r="AIW98" s="22"/>
      <c r="AIX98" s="22"/>
      <c r="AIY98" s="22"/>
      <c r="AIZ98" s="22"/>
      <c r="AJA98" s="22"/>
      <c r="AJB98" s="22"/>
      <c r="AJC98" s="22"/>
      <c r="AJD98" s="22"/>
      <c r="AJE98" s="22"/>
      <c r="AJF98" s="22"/>
      <c r="AJG98" s="22"/>
      <c r="AJH98" s="22"/>
      <c r="AJI98" s="22"/>
      <c r="AJJ98" s="22"/>
      <c r="AJK98" s="22"/>
      <c r="AJL98" s="22"/>
      <c r="AJM98" s="22"/>
      <c r="AJN98" s="22"/>
      <c r="AJO98" s="22"/>
      <c r="AJP98" s="22"/>
      <c r="AJQ98" s="22"/>
      <c r="AJR98" s="22"/>
      <c r="AJS98" s="22"/>
      <c r="AJT98" s="22"/>
      <c r="AJU98" s="22"/>
      <c r="AJV98" s="22"/>
      <c r="AJW98" s="22"/>
      <c r="AJX98" s="22"/>
      <c r="AJY98" s="22"/>
      <c r="AJZ98" s="22"/>
      <c r="AKA98" s="22"/>
      <c r="AKB98" s="22"/>
      <c r="AKC98" s="22"/>
      <c r="AKD98" s="22"/>
      <c r="AKE98" s="22"/>
      <c r="AKF98" s="22"/>
      <c r="AKG98" s="22"/>
      <c r="AKH98" s="22"/>
      <c r="AKI98" s="22"/>
      <c r="AKJ98" s="22"/>
      <c r="AKK98" s="22"/>
      <c r="AKL98" s="22"/>
      <c r="AKM98" s="22"/>
      <c r="AKN98" s="22"/>
      <c r="AKO98" s="22"/>
      <c r="AKP98" s="22"/>
      <c r="AKQ98" s="22"/>
      <c r="AKR98" s="22"/>
      <c r="AKS98" s="22"/>
      <c r="AKT98" s="22"/>
      <c r="AKU98" s="22"/>
      <c r="AKV98" s="22"/>
      <c r="AKW98" s="22"/>
      <c r="AKX98" s="22"/>
      <c r="AKY98" s="22"/>
      <c r="AKZ98" s="22"/>
      <c r="ALA98" s="22"/>
      <c r="ALB98" s="22"/>
      <c r="ALC98" s="22"/>
      <c r="ALD98" s="22"/>
      <c r="ALE98" s="22"/>
      <c r="ALF98" s="22"/>
      <c r="ALG98" s="22"/>
      <c r="ALH98" s="22"/>
      <c r="ALI98" s="22"/>
      <c r="ALJ98" s="22"/>
      <c r="ALK98" s="22"/>
      <c r="ALL98" s="22"/>
      <c r="ALM98" s="22"/>
      <c r="ALN98" s="22"/>
      <c r="ALO98" s="22"/>
      <c r="ALP98" s="22"/>
      <c r="ALQ98" s="22"/>
      <c r="ALR98" s="22"/>
      <c r="ALS98" s="22"/>
      <c r="ALT98" s="22"/>
      <c r="ALU98" s="22"/>
      <c r="ALV98" s="22"/>
      <c r="ALW98" s="22"/>
      <c r="ALX98" s="22"/>
      <c r="ALY98" s="22"/>
      <c r="ALZ98" s="22"/>
      <c r="AMA98" s="22"/>
      <c r="AMB98" s="22"/>
      <c r="AMC98" s="22"/>
      <c r="AMD98" s="22"/>
      <c r="AME98" s="22"/>
      <c r="AMF98" s="22"/>
      <c r="AMG98" s="22"/>
      <c r="AMH98" s="22"/>
      <c r="AMI98" s="22"/>
      <c r="AMJ98" s="22"/>
      <c r="AMK98" s="22"/>
      <c r="AML98" s="22"/>
      <c r="AMM98" s="22"/>
      <c r="AMN98" s="22"/>
      <c r="AMO98" s="22"/>
      <c r="AMP98" s="22"/>
      <c r="AMQ98" s="22"/>
      <c r="AMR98" s="22"/>
      <c r="AMS98" s="22"/>
      <c r="AMT98" s="22"/>
      <c r="AMU98" s="22"/>
      <c r="AMV98" s="22"/>
      <c r="AMW98" s="22"/>
      <c r="AMX98" s="22"/>
      <c r="AMY98" s="22"/>
      <c r="AMZ98" s="22"/>
      <c r="ANA98" s="22"/>
      <c r="ANB98" s="22"/>
      <c r="ANC98" s="22"/>
      <c r="AND98" s="22"/>
      <c r="ANE98" s="22"/>
      <c r="ANF98" s="22"/>
      <c r="ANG98" s="22"/>
      <c r="ANH98" s="22"/>
      <c r="ANI98" s="22"/>
      <c r="ANJ98" s="22"/>
      <c r="ANK98" s="22"/>
      <c r="ANL98" s="22"/>
      <c r="ANM98" s="22"/>
      <c r="ANN98" s="22"/>
      <c r="ANO98" s="22"/>
      <c r="ANP98" s="22"/>
      <c r="ANQ98" s="22"/>
      <c r="ANR98" s="22"/>
      <c r="ANS98" s="22"/>
      <c r="ANT98" s="22"/>
      <c r="ANU98" s="22"/>
      <c r="ANV98" s="22"/>
      <c r="ANW98" s="22"/>
      <c r="ANX98" s="22"/>
      <c r="ANY98" s="22"/>
      <c r="ANZ98" s="22"/>
      <c r="AOA98" s="22"/>
      <c r="AOB98" s="22"/>
      <c r="AOC98" s="22"/>
      <c r="AOD98" s="22"/>
      <c r="AOE98" s="22"/>
      <c r="AOF98" s="22"/>
      <c r="AOG98" s="22"/>
      <c r="AOH98" s="22"/>
      <c r="AOI98" s="22"/>
      <c r="AOJ98" s="22"/>
      <c r="AOK98" s="22"/>
      <c r="AOL98" s="22"/>
      <c r="AOM98" s="22"/>
      <c r="AON98" s="22"/>
      <c r="AOO98" s="22"/>
      <c r="AOP98" s="22"/>
      <c r="AOQ98" s="22"/>
      <c r="AOR98" s="22"/>
      <c r="AOS98" s="22"/>
      <c r="AOT98" s="22"/>
      <c r="AOU98" s="22"/>
      <c r="AOV98" s="22"/>
      <c r="AOW98" s="22"/>
      <c r="AOX98" s="22"/>
      <c r="AOY98" s="22"/>
      <c r="AOZ98" s="22"/>
      <c r="APA98" s="22"/>
      <c r="APB98" s="22"/>
      <c r="APC98" s="22"/>
      <c r="APD98" s="22"/>
      <c r="APE98" s="22"/>
      <c r="APF98" s="22"/>
      <c r="APG98" s="22"/>
      <c r="APH98" s="22"/>
      <c r="API98" s="22"/>
      <c r="APJ98" s="22"/>
      <c r="APK98" s="22"/>
      <c r="APL98" s="22"/>
      <c r="APM98" s="22"/>
      <c r="APN98" s="22"/>
      <c r="APO98" s="22"/>
      <c r="APP98" s="22"/>
      <c r="APQ98" s="22"/>
      <c r="APR98" s="22"/>
      <c r="APS98" s="22"/>
      <c r="APT98" s="22"/>
      <c r="APU98" s="22"/>
      <c r="APV98" s="22"/>
      <c r="APW98" s="22"/>
      <c r="APX98" s="22"/>
      <c r="APY98" s="22"/>
      <c r="APZ98" s="22"/>
      <c r="AQA98" s="22"/>
      <c r="AQB98" s="22"/>
      <c r="AQC98" s="22"/>
      <c r="AQD98" s="22"/>
      <c r="AQE98" s="22"/>
      <c r="AQF98" s="22"/>
      <c r="AQG98" s="22"/>
      <c r="AQH98" s="22"/>
      <c r="AQI98" s="22"/>
      <c r="AQJ98" s="22"/>
      <c r="AQK98" s="22"/>
      <c r="AQL98" s="22"/>
      <c r="AQM98" s="22"/>
      <c r="AQN98" s="22"/>
      <c r="AQO98" s="22"/>
      <c r="AQP98" s="22"/>
      <c r="AQQ98" s="22"/>
      <c r="AQR98" s="22"/>
      <c r="AQS98" s="22"/>
      <c r="AQT98" s="22"/>
      <c r="AQU98" s="22"/>
      <c r="AQV98" s="22"/>
      <c r="AQW98" s="22"/>
      <c r="AQX98" s="22"/>
      <c r="AQY98" s="22"/>
      <c r="AQZ98" s="22"/>
      <c r="ARA98" s="22"/>
      <c r="ARB98" s="22"/>
      <c r="ARC98" s="22"/>
      <c r="ARD98" s="22"/>
      <c r="ARE98" s="22"/>
      <c r="ARF98" s="22"/>
      <c r="ARG98" s="22"/>
      <c r="ARH98" s="22"/>
      <c r="ARI98" s="22"/>
      <c r="ARJ98" s="22"/>
      <c r="ARK98" s="22"/>
      <c r="ARL98" s="22"/>
      <c r="ARM98" s="22"/>
      <c r="ARN98" s="22"/>
      <c r="ARO98" s="22"/>
      <c r="ARP98" s="22"/>
      <c r="ARQ98" s="22"/>
      <c r="ARR98" s="22"/>
      <c r="ARS98" s="22"/>
      <c r="ART98" s="22"/>
      <c r="ARU98" s="22"/>
      <c r="ARV98" s="22"/>
      <c r="ARW98" s="22"/>
      <c r="ARX98" s="22"/>
      <c r="ARY98" s="22"/>
      <c r="ARZ98" s="22"/>
      <c r="ASA98" s="22"/>
      <c r="ASB98" s="22"/>
      <c r="ASC98" s="22"/>
      <c r="ASD98" s="22"/>
      <c r="ASE98" s="22"/>
      <c r="ASF98" s="22"/>
      <c r="ASG98" s="22"/>
      <c r="ASH98" s="22"/>
      <c r="ASI98" s="22"/>
      <c r="ASJ98" s="22"/>
      <c r="ASK98" s="22"/>
      <c r="ASL98" s="22"/>
      <c r="ASM98" s="22"/>
      <c r="ASN98" s="22"/>
      <c r="ASO98" s="22"/>
      <c r="ASP98" s="22"/>
      <c r="ASQ98" s="22"/>
      <c r="ASR98" s="22"/>
      <c r="ASS98" s="22"/>
      <c r="AST98" s="22"/>
      <c r="ASU98" s="22"/>
      <c r="ASV98" s="22"/>
      <c r="ASW98" s="22"/>
      <c r="ASX98" s="22"/>
      <c r="ASY98" s="22"/>
      <c r="ASZ98" s="22"/>
      <c r="ATA98" s="22"/>
      <c r="ATB98" s="22"/>
      <c r="ATC98" s="22"/>
      <c r="ATD98" s="22"/>
      <c r="ATE98" s="22"/>
      <c r="ATF98" s="22"/>
      <c r="ATG98" s="22"/>
      <c r="ATH98" s="22"/>
      <c r="ATI98" s="22"/>
      <c r="ATJ98" s="22"/>
      <c r="ATK98" s="22"/>
      <c r="ATL98" s="22"/>
      <c r="ATM98" s="22"/>
      <c r="ATN98" s="22"/>
      <c r="ATO98" s="22"/>
      <c r="ATP98" s="22"/>
      <c r="ATQ98" s="22"/>
      <c r="ATR98" s="22"/>
      <c r="ATS98" s="22"/>
      <c r="ATT98" s="22"/>
      <c r="ATU98" s="22"/>
      <c r="ATV98" s="22"/>
      <c r="ATW98" s="22"/>
      <c r="ATX98" s="22"/>
      <c r="ATY98" s="22"/>
      <c r="ATZ98" s="22"/>
      <c r="AUA98" s="22"/>
      <c r="AUB98" s="22"/>
      <c r="AUC98" s="22"/>
      <c r="AUD98" s="22"/>
      <c r="AUE98" s="22"/>
      <c r="AUF98" s="22"/>
      <c r="AUG98" s="22"/>
      <c r="AUH98" s="22"/>
      <c r="AUI98" s="22"/>
      <c r="AUJ98" s="22"/>
      <c r="AUK98" s="22"/>
      <c r="AUL98" s="22"/>
      <c r="AUM98" s="22"/>
      <c r="AUN98" s="22"/>
      <c r="AUO98" s="22"/>
      <c r="AUP98" s="22"/>
      <c r="AUQ98" s="22"/>
      <c r="AUR98" s="22"/>
      <c r="AUS98" s="22"/>
      <c r="AUT98" s="22"/>
      <c r="AUU98" s="22"/>
      <c r="AUV98" s="22"/>
      <c r="AUW98" s="22"/>
      <c r="AUX98" s="22"/>
      <c r="AUY98" s="22"/>
      <c r="AUZ98" s="22"/>
      <c r="AVA98" s="22"/>
      <c r="AVB98" s="22"/>
      <c r="AVC98" s="22"/>
      <c r="AVD98" s="22"/>
      <c r="AVE98" s="22"/>
      <c r="AVF98" s="22"/>
      <c r="AVG98" s="22"/>
      <c r="AVH98" s="22"/>
      <c r="AVI98" s="22"/>
      <c r="AVJ98" s="22"/>
      <c r="AVK98" s="22"/>
      <c r="AVL98" s="22"/>
      <c r="AVM98" s="22"/>
      <c r="AVN98" s="22"/>
      <c r="AVO98" s="22"/>
      <c r="AVP98" s="22"/>
      <c r="AVQ98" s="22"/>
      <c r="AVR98" s="22"/>
      <c r="AVS98" s="22"/>
      <c r="AVT98" s="22"/>
      <c r="AVU98" s="22"/>
      <c r="AVV98" s="22"/>
      <c r="AVW98" s="22"/>
      <c r="AVX98" s="22"/>
      <c r="AVY98" s="22"/>
      <c r="AVZ98" s="22"/>
      <c r="AWA98" s="22"/>
      <c r="AWB98" s="22"/>
      <c r="AWC98" s="22"/>
      <c r="AWD98" s="22"/>
      <c r="AWE98" s="22"/>
      <c r="AWF98" s="22"/>
      <c r="AWG98" s="22"/>
      <c r="AWH98" s="22"/>
      <c r="AWI98" s="22"/>
      <c r="AWJ98" s="22"/>
      <c r="AWK98" s="22"/>
      <c r="AWL98" s="22"/>
      <c r="AWM98" s="22"/>
      <c r="AWN98" s="22"/>
      <c r="AWO98" s="22"/>
      <c r="AWP98" s="22"/>
      <c r="AWQ98" s="22"/>
      <c r="AWR98" s="22"/>
      <c r="AWS98" s="22"/>
      <c r="AWT98" s="22"/>
      <c r="AWU98" s="22"/>
      <c r="AWV98" s="22"/>
      <c r="AWW98" s="22"/>
      <c r="AWX98" s="22"/>
      <c r="AWY98" s="22"/>
      <c r="AWZ98" s="22"/>
      <c r="AXA98" s="22"/>
      <c r="AXB98" s="22"/>
      <c r="AXC98" s="22"/>
      <c r="AXD98" s="22"/>
      <c r="AXE98" s="22"/>
      <c r="AXF98" s="22"/>
      <c r="AXG98" s="22"/>
      <c r="AXH98" s="22"/>
      <c r="AXI98" s="22"/>
      <c r="AXJ98" s="22"/>
      <c r="AXK98" s="22"/>
      <c r="AXL98" s="22"/>
      <c r="AXM98" s="22"/>
      <c r="AXN98" s="22"/>
      <c r="AXO98" s="22"/>
      <c r="AXP98" s="22"/>
      <c r="AXQ98" s="22"/>
      <c r="AXR98" s="22"/>
      <c r="AXS98" s="22"/>
      <c r="AXT98" s="22"/>
      <c r="AXU98" s="22"/>
      <c r="AXV98" s="22"/>
      <c r="AXW98" s="22"/>
      <c r="AXX98" s="22"/>
      <c r="AXY98" s="22"/>
      <c r="AXZ98" s="22"/>
      <c r="AYA98" s="22"/>
      <c r="AYB98" s="22"/>
      <c r="AYC98" s="22"/>
      <c r="AYD98" s="22"/>
      <c r="AYE98" s="22"/>
      <c r="AYF98" s="22"/>
      <c r="AYG98" s="22"/>
      <c r="AYH98" s="22"/>
      <c r="AYI98" s="22"/>
      <c r="AYJ98" s="22"/>
      <c r="AYK98" s="22"/>
      <c r="AYL98" s="22"/>
      <c r="AYM98" s="22"/>
      <c r="AYN98" s="22"/>
      <c r="AYO98" s="22"/>
      <c r="AYP98" s="22"/>
      <c r="AYQ98" s="22"/>
      <c r="AYR98" s="22"/>
      <c r="AYS98" s="22"/>
      <c r="AYT98" s="22"/>
      <c r="AYU98" s="22"/>
      <c r="AYV98" s="22"/>
      <c r="AYW98" s="22"/>
      <c r="AYX98" s="22"/>
      <c r="AYY98" s="22"/>
      <c r="AYZ98" s="22"/>
      <c r="AZA98" s="22"/>
      <c r="AZB98" s="22"/>
      <c r="AZC98" s="22"/>
      <c r="AZD98" s="22"/>
      <c r="AZE98" s="22"/>
      <c r="AZF98" s="22"/>
      <c r="AZG98" s="22"/>
      <c r="AZH98" s="22"/>
      <c r="AZI98" s="22"/>
      <c r="AZJ98" s="22"/>
      <c r="AZK98" s="22"/>
      <c r="AZL98" s="22"/>
      <c r="AZM98" s="22"/>
      <c r="AZN98" s="22"/>
      <c r="AZO98" s="22"/>
      <c r="AZP98" s="22"/>
      <c r="AZQ98" s="22"/>
      <c r="AZR98" s="22"/>
      <c r="AZS98" s="22"/>
      <c r="AZT98" s="22"/>
      <c r="AZU98" s="22"/>
      <c r="AZV98" s="22"/>
      <c r="AZW98" s="22"/>
      <c r="AZX98" s="22"/>
      <c r="AZY98" s="22"/>
      <c r="AZZ98" s="22"/>
      <c r="BAA98" s="22"/>
      <c r="BAB98" s="22"/>
      <c r="BAC98" s="22"/>
      <c r="BAD98" s="22"/>
      <c r="BAE98" s="22"/>
      <c r="BAF98" s="22"/>
      <c r="BAG98" s="22"/>
      <c r="BAH98" s="22"/>
      <c r="BAI98" s="22"/>
      <c r="BAJ98" s="22"/>
      <c r="BAK98" s="22"/>
      <c r="BAL98" s="22"/>
      <c r="BAM98" s="22"/>
      <c r="BAN98" s="22"/>
      <c r="BAO98" s="22"/>
      <c r="BAP98" s="22"/>
      <c r="BAQ98" s="22"/>
      <c r="BAR98" s="22"/>
      <c r="BAS98" s="22"/>
      <c r="BAT98" s="22"/>
      <c r="BAU98" s="22"/>
      <c r="BAV98" s="22"/>
      <c r="BAW98" s="22"/>
      <c r="BAX98" s="22"/>
      <c r="BAY98" s="22"/>
      <c r="BAZ98" s="22"/>
      <c r="BBA98" s="22"/>
      <c r="BBB98" s="22"/>
      <c r="BBC98" s="22"/>
      <c r="BBD98" s="22"/>
      <c r="BBE98" s="22"/>
      <c r="BBF98" s="22"/>
      <c r="BBG98" s="22"/>
      <c r="BBH98" s="22"/>
      <c r="BBI98" s="22"/>
      <c r="BBJ98" s="22"/>
      <c r="BBK98" s="22"/>
      <c r="BBL98" s="22"/>
      <c r="BBM98" s="22"/>
      <c r="BBN98" s="22"/>
      <c r="BBO98" s="22"/>
      <c r="BBP98" s="22"/>
      <c r="BBQ98" s="22"/>
      <c r="BBR98" s="22"/>
      <c r="BBS98" s="22"/>
      <c r="BBT98" s="22"/>
      <c r="BBU98" s="22"/>
      <c r="BBV98" s="22"/>
      <c r="BBW98" s="22"/>
      <c r="BBX98" s="22"/>
      <c r="BBY98" s="22"/>
      <c r="BBZ98" s="22"/>
      <c r="BCA98" s="22"/>
      <c r="BCB98" s="22"/>
      <c r="BCC98" s="22"/>
      <c r="BCD98" s="22"/>
      <c r="BCE98" s="22"/>
      <c r="BCF98" s="22"/>
      <c r="BCG98" s="22"/>
      <c r="BCH98" s="22"/>
      <c r="BCI98" s="22"/>
      <c r="BCJ98" s="22"/>
      <c r="BCK98" s="22"/>
      <c r="BCL98" s="22"/>
      <c r="BCM98" s="22"/>
      <c r="BCN98" s="22"/>
      <c r="BCO98" s="22"/>
      <c r="BCP98" s="22"/>
      <c r="BCQ98" s="22"/>
      <c r="BCR98" s="22"/>
      <c r="BCS98" s="22"/>
      <c r="BCT98" s="22"/>
      <c r="BCU98" s="22"/>
      <c r="BCV98" s="22"/>
      <c r="BCW98" s="22"/>
      <c r="BCX98" s="22"/>
      <c r="BCY98" s="22"/>
      <c r="BCZ98" s="22"/>
      <c r="BDA98" s="22"/>
      <c r="BDB98" s="22"/>
      <c r="BDC98" s="22"/>
      <c r="BDD98" s="22"/>
      <c r="BDE98" s="22"/>
      <c r="BDF98" s="22"/>
      <c r="BDG98" s="22"/>
      <c r="BDH98" s="22"/>
      <c r="BDI98" s="22"/>
      <c r="BDJ98" s="22"/>
      <c r="BDK98" s="22"/>
      <c r="BDL98" s="22"/>
      <c r="BDM98" s="22"/>
      <c r="BDN98" s="22"/>
      <c r="BDO98" s="22"/>
      <c r="BDP98" s="22"/>
      <c r="BDQ98" s="22"/>
      <c r="BDR98" s="22"/>
      <c r="BDS98" s="22"/>
      <c r="BDT98" s="22"/>
      <c r="BDU98" s="22"/>
      <c r="BDV98" s="22"/>
      <c r="BDW98" s="22"/>
      <c r="BDX98" s="22"/>
      <c r="BDY98" s="22"/>
      <c r="BDZ98" s="22"/>
      <c r="BEA98" s="22"/>
      <c r="BEB98" s="22"/>
      <c r="BEC98" s="22"/>
      <c r="BED98" s="22"/>
      <c r="BEE98" s="22"/>
      <c r="BEF98" s="22"/>
      <c r="BEG98" s="22"/>
      <c r="BEH98" s="22"/>
      <c r="BEI98" s="22"/>
      <c r="BEJ98" s="22"/>
      <c r="BEK98" s="22"/>
      <c r="BEL98" s="22"/>
      <c r="BEM98" s="22"/>
      <c r="BEN98" s="22"/>
      <c r="BEO98" s="22"/>
      <c r="BEP98" s="22"/>
      <c r="BEQ98" s="22"/>
      <c r="BER98" s="22"/>
      <c r="BES98" s="22"/>
      <c r="BET98" s="22"/>
      <c r="BEU98" s="22"/>
      <c r="BEV98" s="22"/>
      <c r="BEW98" s="22"/>
      <c r="BEX98" s="22"/>
      <c r="BEY98" s="22"/>
      <c r="BEZ98" s="22"/>
      <c r="BFA98" s="22"/>
      <c r="BFB98" s="22"/>
      <c r="BFC98" s="22"/>
      <c r="BFD98" s="22"/>
      <c r="BFE98" s="22"/>
      <c r="BFF98" s="22"/>
      <c r="BFG98" s="22"/>
      <c r="BFH98" s="22"/>
      <c r="BFI98" s="22"/>
      <c r="BFJ98" s="22"/>
      <c r="BFK98" s="22"/>
      <c r="BFL98" s="22"/>
      <c r="BFM98" s="22"/>
      <c r="BFN98" s="22"/>
      <c r="BFO98" s="22"/>
      <c r="BFP98" s="22"/>
      <c r="BFQ98" s="22"/>
      <c r="BFR98" s="22"/>
      <c r="BFS98" s="22"/>
      <c r="BFT98" s="22"/>
      <c r="BFU98" s="22"/>
      <c r="BFV98" s="22"/>
      <c r="BFW98" s="22"/>
    </row>
    <row r="99" spans="1:1531" s="181" customFormat="1" ht="46.15" customHeight="1" x14ac:dyDescent="0.2">
      <c r="A99" s="261" t="s">
        <v>468</v>
      </c>
      <c r="B99" s="249"/>
      <c r="C99" s="88" t="s">
        <v>498</v>
      </c>
      <c r="D99" s="249"/>
      <c r="E99" s="249" t="s">
        <v>748</v>
      </c>
      <c r="F99" s="249"/>
      <c r="G99" s="249" t="s">
        <v>476</v>
      </c>
      <c r="H99" s="141"/>
      <c r="I99" s="245" t="s">
        <v>637</v>
      </c>
      <c r="J99" s="143"/>
      <c r="K99" s="88" t="s">
        <v>110</v>
      </c>
      <c r="L99" s="143"/>
      <c r="M99" s="143"/>
      <c r="N99" s="143"/>
      <c r="O99" s="143">
        <v>2016</v>
      </c>
      <c r="P99" s="129" t="s">
        <v>680</v>
      </c>
      <c r="Q99" s="143"/>
      <c r="R99" s="143"/>
      <c r="S99" s="246"/>
      <c r="T99" s="143"/>
      <c r="U99" s="143"/>
      <c r="V99" s="143"/>
      <c r="W99" s="143"/>
      <c r="X99" s="143"/>
      <c r="Y99" s="247"/>
      <c r="Z99" s="143"/>
      <c r="AA99" s="246"/>
      <c r="AB99" s="143"/>
      <c r="AC99" s="143"/>
      <c r="AD99" s="143"/>
      <c r="AE99" s="143"/>
      <c r="AF99" s="143"/>
      <c r="AG99" s="143"/>
      <c r="AH99" s="143"/>
      <c r="AI99" s="143"/>
      <c r="AJ99" s="143"/>
      <c r="AK99" s="143"/>
      <c r="AL99" s="143">
        <v>63</v>
      </c>
      <c r="AM99" s="143"/>
      <c r="AN99" s="248" t="s">
        <v>637</v>
      </c>
      <c r="AP99" s="468"/>
      <c r="AQ99" s="482"/>
      <c r="AR99" s="255"/>
      <c r="AS99" s="255"/>
      <c r="AT99" s="487"/>
      <c r="AU99" s="480" t="s">
        <v>713</v>
      </c>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c r="IV99" s="22"/>
      <c r="IW99" s="22"/>
      <c r="IX99" s="22"/>
      <c r="IY99" s="22"/>
      <c r="IZ99" s="22"/>
      <c r="JA99" s="22"/>
      <c r="JB99" s="22"/>
      <c r="JC99" s="22"/>
      <c r="JD99" s="22"/>
      <c r="JE99" s="22"/>
      <c r="JF99" s="22"/>
      <c r="JG99" s="22"/>
      <c r="JH99" s="22"/>
      <c r="JI99" s="22"/>
      <c r="JJ99" s="22"/>
      <c r="JK99" s="22"/>
      <c r="JL99" s="22"/>
      <c r="JM99" s="22"/>
      <c r="JN99" s="22"/>
      <c r="JO99" s="22"/>
      <c r="JP99" s="22"/>
      <c r="JQ99" s="22"/>
      <c r="JR99" s="22"/>
      <c r="JS99" s="22"/>
      <c r="JT99" s="22"/>
      <c r="JU99" s="22"/>
      <c r="JV99" s="22"/>
      <c r="JW99" s="22"/>
      <c r="JX99" s="22"/>
      <c r="JY99" s="22"/>
      <c r="JZ99" s="22"/>
      <c r="KA99" s="22"/>
      <c r="KB99" s="22"/>
      <c r="KC99" s="22"/>
      <c r="KD99" s="22"/>
      <c r="KE99" s="22"/>
      <c r="KF99" s="22"/>
      <c r="KG99" s="22"/>
      <c r="KH99" s="22"/>
      <c r="KI99" s="22"/>
      <c r="KJ99" s="22"/>
      <c r="KK99" s="22"/>
      <c r="KL99" s="22"/>
      <c r="KM99" s="22"/>
      <c r="KN99" s="22"/>
      <c r="KO99" s="22"/>
      <c r="KP99" s="22"/>
      <c r="KQ99" s="22"/>
      <c r="KR99" s="22"/>
      <c r="KS99" s="22"/>
      <c r="KT99" s="22"/>
      <c r="KU99" s="22"/>
      <c r="KV99" s="22"/>
      <c r="KW99" s="22"/>
      <c r="KX99" s="22"/>
      <c r="KY99" s="22"/>
      <c r="KZ99" s="22"/>
      <c r="LA99" s="22"/>
      <c r="LB99" s="22"/>
      <c r="LC99" s="22"/>
      <c r="LD99" s="22"/>
      <c r="LE99" s="22"/>
      <c r="LF99" s="22"/>
      <c r="LG99" s="22"/>
      <c r="LH99" s="22"/>
      <c r="LI99" s="22"/>
      <c r="LJ99" s="22"/>
      <c r="LK99" s="22"/>
      <c r="LL99" s="22"/>
      <c r="LM99" s="22"/>
      <c r="LN99" s="22"/>
      <c r="LO99" s="22"/>
      <c r="LP99" s="22"/>
      <c r="LQ99" s="22"/>
      <c r="LR99" s="22"/>
      <c r="LS99" s="22"/>
      <c r="LT99" s="22"/>
      <c r="LU99" s="22"/>
      <c r="LV99" s="22"/>
      <c r="LW99" s="22"/>
      <c r="LX99" s="22"/>
      <c r="LY99" s="22"/>
      <c r="LZ99" s="22"/>
      <c r="MA99" s="22"/>
      <c r="MB99" s="22"/>
      <c r="MC99" s="22"/>
      <c r="MD99" s="22"/>
      <c r="ME99" s="22"/>
      <c r="MF99" s="22"/>
      <c r="MG99" s="22"/>
      <c r="MH99" s="22"/>
      <c r="MI99" s="22"/>
      <c r="MJ99" s="22"/>
      <c r="MK99" s="22"/>
      <c r="ML99" s="22"/>
      <c r="MM99" s="22"/>
      <c r="MN99" s="22"/>
      <c r="MO99" s="22"/>
      <c r="MP99" s="22"/>
      <c r="MQ99" s="22"/>
      <c r="MR99" s="22"/>
      <c r="MS99" s="22"/>
      <c r="MT99" s="22"/>
      <c r="MU99" s="22"/>
      <c r="MV99" s="22"/>
      <c r="MW99" s="22"/>
      <c r="MX99" s="22"/>
      <c r="MY99" s="22"/>
      <c r="MZ99" s="22"/>
      <c r="NA99" s="22"/>
      <c r="NB99" s="22"/>
      <c r="NC99" s="22"/>
      <c r="ND99" s="22"/>
      <c r="NE99" s="22"/>
      <c r="NF99" s="22"/>
      <c r="NG99" s="22"/>
      <c r="NH99" s="22"/>
      <c r="NI99" s="22"/>
      <c r="NJ99" s="22"/>
      <c r="NK99" s="22"/>
      <c r="NL99" s="22"/>
      <c r="NM99" s="22"/>
      <c r="NN99" s="22"/>
      <c r="NO99" s="22"/>
      <c r="NP99" s="22"/>
      <c r="NQ99" s="22"/>
      <c r="NR99" s="22"/>
      <c r="NS99" s="22"/>
      <c r="NT99" s="22"/>
      <c r="NU99" s="22"/>
      <c r="NV99" s="22"/>
      <c r="NW99" s="22"/>
      <c r="NX99" s="22"/>
      <c r="NY99" s="22"/>
      <c r="NZ99" s="22"/>
      <c r="OA99" s="22"/>
      <c r="OB99" s="22"/>
      <c r="OC99" s="22"/>
      <c r="OD99" s="22"/>
      <c r="OE99" s="22"/>
      <c r="OF99" s="22"/>
      <c r="OG99" s="22"/>
      <c r="OH99" s="22"/>
      <c r="OI99" s="22"/>
      <c r="OJ99" s="22"/>
      <c r="OK99" s="22"/>
      <c r="OL99" s="22"/>
      <c r="OM99" s="22"/>
      <c r="ON99" s="22"/>
      <c r="OO99" s="22"/>
      <c r="OP99" s="22"/>
      <c r="OQ99" s="22"/>
      <c r="OR99" s="22"/>
      <c r="OS99" s="22"/>
      <c r="OT99" s="22"/>
      <c r="OU99" s="22"/>
      <c r="OV99" s="22"/>
      <c r="OW99" s="22"/>
      <c r="OX99" s="22"/>
      <c r="OY99" s="22"/>
      <c r="OZ99" s="22"/>
      <c r="PA99" s="22"/>
      <c r="PB99" s="22"/>
      <c r="PC99" s="22"/>
      <c r="PD99" s="22"/>
      <c r="PE99" s="22"/>
      <c r="PF99" s="22"/>
      <c r="PG99" s="22"/>
      <c r="PH99" s="22"/>
      <c r="PI99" s="22"/>
      <c r="PJ99" s="22"/>
      <c r="PK99" s="22"/>
      <c r="PL99" s="22"/>
      <c r="PM99" s="22"/>
      <c r="PN99" s="22"/>
      <c r="PO99" s="22"/>
      <c r="PP99" s="22"/>
      <c r="PQ99" s="22"/>
      <c r="PR99" s="22"/>
      <c r="PS99" s="22"/>
      <c r="PT99" s="22"/>
      <c r="PU99" s="22"/>
      <c r="PV99" s="22"/>
      <c r="PW99" s="22"/>
      <c r="PX99" s="22"/>
      <c r="PY99" s="22"/>
      <c r="PZ99" s="22"/>
      <c r="QA99" s="22"/>
      <c r="QB99" s="22"/>
      <c r="QC99" s="22"/>
      <c r="QD99" s="22"/>
      <c r="QE99" s="22"/>
      <c r="QF99" s="22"/>
      <c r="QG99" s="22"/>
      <c r="QH99" s="22"/>
      <c r="QI99" s="22"/>
      <c r="QJ99" s="22"/>
      <c r="QK99" s="22"/>
      <c r="QL99" s="22"/>
      <c r="QM99" s="22"/>
      <c r="QN99" s="22"/>
      <c r="QO99" s="22"/>
      <c r="QP99" s="22"/>
      <c r="QQ99" s="22"/>
      <c r="QR99" s="22"/>
      <c r="QS99" s="22"/>
      <c r="QT99" s="22"/>
      <c r="QU99" s="22"/>
      <c r="QV99" s="22"/>
      <c r="QW99" s="22"/>
      <c r="QX99" s="22"/>
      <c r="QY99" s="22"/>
      <c r="QZ99" s="22"/>
      <c r="RA99" s="22"/>
      <c r="RB99" s="22"/>
      <c r="RC99" s="22"/>
      <c r="RD99" s="22"/>
      <c r="RE99" s="22"/>
      <c r="RF99" s="22"/>
      <c r="RG99" s="22"/>
      <c r="RH99" s="22"/>
      <c r="RI99" s="22"/>
      <c r="RJ99" s="22"/>
      <c r="RK99" s="22"/>
      <c r="RL99" s="22"/>
      <c r="RM99" s="22"/>
      <c r="RN99" s="22"/>
      <c r="RO99" s="22"/>
      <c r="RP99" s="22"/>
      <c r="RQ99" s="22"/>
      <c r="RR99" s="22"/>
      <c r="RS99" s="22"/>
      <c r="RT99" s="22"/>
      <c r="RU99" s="22"/>
      <c r="RV99" s="22"/>
      <c r="RW99" s="22"/>
      <c r="RX99" s="22"/>
      <c r="RY99" s="22"/>
      <c r="RZ99" s="22"/>
      <c r="SA99" s="22"/>
      <c r="SB99" s="22"/>
      <c r="SC99" s="22"/>
      <c r="SD99" s="22"/>
      <c r="SE99" s="22"/>
      <c r="SF99" s="22"/>
      <c r="SG99" s="22"/>
      <c r="SH99" s="22"/>
      <c r="SI99" s="22"/>
      <c r="SJ99" s="22"/>
      <c r="SK99" s="22"/>
      <c r="SL99" s="22"/>
      <c r="SM99" s="22"/>
      <c r="SN99" s="22"/>
      <c r="SO99" s="22"/>
      <c r="SP99" s="22"/>
      <c r="SQ99" s="22"/>
      <c r="SR99" s="22"/>
      <c r="SS99" s="22"/>
      <c r="ST99" s="22"/>
      <c r="SU99" s="22"/>
      <c r="SV99" s="22"/>
      <c r="SW99" s="22"/>
      <c r="SX99" s="22"/>
      <c r="SY99" s="22"/>
      <c r="SZ99" s="22"/>
      <c r="TA99" s="22"/>
      <c r="TB99" s="22"/>
      <c r="TC99" s="22"/>
      <c r="TD99" s="22"/>
      <c r="TE99" s="22"/>
      <c r="TF99" s="22"/>
      <c r="TG99" s="22"/>
      <c r="TH99" s="22"/>
      <c r="TI99" s="22"/>
      <c r="TJ99" s="22"/>
      <c r="TK99" s="22"/>
      <c r="TL99" s="22"/>
      <c r="TM99" s="22"/>
      <c r="TN99" s="22"/>
      <c r="TO99" s="22"/>
      <c r="TP99" s="22"/>
      <c r="TQ99" s="22"/>
      <c r="TR99" s="22"/>
      <c r="TS99" s="22"/>
      <c r="TT99" s="22"/>
      <c r="TU99" s="22"/>
      <c r="TV99" s="22"/>
      <c r="TW99" s="22"/>
      <c r="TX99" s="22"/>
      <c r="TY99" s="22"/>
      <c r="TZ99" s="22"/>
      <c r="UA99" s="22"/>
      <c r="UB99" s="22"/>
      <c r="UC99" s="22"/>
      <c r="UD99" s="22"/>
      <c r="UE99" s="22"/>
      <c r="UF99" s="22"/>
      <c r="UG99" s="22"/>
      <c r="UH99" s="22"/>
      <c r="UI99" s="22"/>
      <c r="UJ99" s="22"/>
      <c r="UK99" s="22"/>
      <c r="UL99" s="22"/>
      <c r="UM99" s="22"/>
      <c r="UN99" s="22"/>
      <c r="UO99" s="22"/>
      <c r="UP99" s="22"/>
      <c r="UQ99" s="22"/>
      <c r="UR99" s="22"/>
      <c r="US99" s="22"/>
      <c r="UT99" s="22"/>
      <c r="UU99" s="22"/>
      <c r="UV99" s="22"/>
      <c r="UW99" s="22"/>
      <c r="UX99" s="22"/>
      <c r="UY99" s="22"/>
      <c r="UZ99" s="22"/>
      <c r="VA99" s="22"/>
      <c r="VB99" s="22"/>
      <c r="VC99" s="22"/>
      <c r="VD99" s="22"/>
      <c r="VE99" s="22"/>
      <c r="VF99" s="22"/>
      <c r="VG99" s="22"/>
      <c r="VH99" s="22"/>
      <c r="VI99" s="22"/>
      <c r="VJ99" s="22"/>
      <c r="VK99" s="22"/>
      <c r="VL99" s="22"/>
      <c r="VM99" s="22"/>
      <c r="VN99" s="22"/>
      <c r="VO99" s="22"/>
      <c r="VP99" s="22"/>
      <c r="VQ99" s="22"/>
      <c r="VR99" s="22"/>
      <c r="VS99" s="22"/>
      <c r="VT99" s="22"/>
      <c r="VU99" s="22"/>
      <c r="VV99" s="22"/>
      <c r="VW99" s="22"/>
      <c r="VX99" s="22"/>
      <c r="VY99" s="22"/>
      <c r="VZ99" s="22"/>
      <c r="WA99" s="22"/>
      <c r="WB99" s="22"/>
      <c r="WC99" s="22"/>
      <c r="WD99" s="22"/>
      <c r="WE99" s="22"/>
      <c r="WF99" s="22"/>
      <c r="WG99" s="22"/>
      <c r="WH99" s="22"/>
      <c r="WI99" s="22"/>
      <c r="WJ99" s="22"/>
      <c r="WK99" s="22"/>
      <c r="WL99" s="22"/>
      <c r="WM99" s="22"/>
      <c r="WN99" s="22"/>
      <c r="WO99" s="22"/>
      <c r="WP99" s="22"/>
      <c r="WQ99" s="22"/>
      <c r="WR99" s="22"/>
      <c r="WS99" s="22"/>
      <c r="WT99" s="22"/>
      <c r="WU99" s="22"/>
      <c r="WV99" s="22"/>
      <c r="WW99" s="22"/>
      <c r="WX99" s="22"/>
      <c r="WY99" s="22"/>
      <c r="WZ99" s="22"/>
      <c r="XA99" s="22"/>
      <c r="XB99" s="22"/>
      <c r="XC99" s="22"/>
      <c r="XD99" s="22"/>
      <c r="XE99" s="22"/>
      <c r="XF99" s="22"/>
      <c r="XG99" s="22"/>
      <c r="XH99" s="22"/>
      <c r="XI99" s="22"/>
      <c r="XJ99" s="22"/>
      <c r="XK99" s="22"/>
      <c r="XL99" s="22"/>
      <c r="XM99" s="22"/>
      <c r="XN99" s="22"/>
      <c r="XO99" s="22"/>
      <c r="XP99" s="22"/>
      <c r="XQ99" s="22"/>
      <c r="XR99" s="22"/>
      <c r="XS99" s="22"/>
      <c r="XT99" s="22"/>
      <c r="XU99" s="22"/>
      <c r="XV99" s="22"/>
      <c r="XW99" s="22"/>
      <c r="XX99" s="22"/>
      <c r="XY99" s="22"/>
      <c r="XZ99" s="22"/>
      <c r="YA99" s="22"/>
      <c r="YB99" s="22"/>
      <c r="YC99" s="22"/>
      <c r="YD99" s="22"/>
      <c r="YE99" s="22"/>
      <c r="YF99" s="22"/>
      <c r="YG99" s="22"/>
      <c r="YH99" s="22"/>
      <c r="YI99" s="22"/>
      <c r="YJ99" s="22"/>
      <c r="YK99" s="22"/>
      <c r="YL99" s="22"/>
      <c r="YM99" s="22"/>
      <c r="YN99" s="22"/>
      <c r="YO99" s="22"/>
      <c r="YP99" s="22"/>
      <c r="YQ99" s="22"/>
      <c r="YR99" s="22"/>
      <c r="YS99" s="22"/>
      <c r="YT99" s="22"/>
      <c r="YU99" s="22"/>
      <c r="YV99" s="22"/>
      <c r="YW99" s="22"/>
      <c r="YX99" s="22"/>
      <c r="YY99" s="22"/>
      <c r="YZ99" s="22"/>
      <c r="ZA99" s="22"/>
      <c r="ZB99" s="22"/>
      <c r="ZC99" s="22"/>
      <c r="ZD99" s="22"/>
      <c r="ZE99" s="22"/>
      <c r="ZF99" s="22"/>
      <c r="ZG99" s="22"/>
      <c r="ZH99" s="22"/>
      <c r="ZI99" s="22"/>
      <c r="ZJ99" s="22"/>
      <c r="ZK99" s="22"/>
      <c r="ZL99" s="22"/>
      <c r="ZM99" s="22"/>
      <c r="ZN99" s="22"/>
      <c r="ZO99" s="22"/>
      <c r="ZP99" s="22"/>
      <c r="ZQ99" s="22"/>
      <c r="ZR99" s="22"/>
      <c r="ZS99" s="22"/>
      <c r="ZT99" s="22"/>
      <c r="ZU99" s="22"/>
      <c r="ZV99" s="22"/>
      <c r="ZW99" s="22"/>
      <c r="ZX99" s="22"/>
      <c r="ZY99" s="22"/>
      <c r="ZZ99" s="22"/>
      <c r="AAA99" s="22"/>
      <c r="AAB99" s="22"/>
      <c r="AAC99" s="22"/>
      <c r="AAD99" s="22"/>
      <c r="AAE99" s="22"/>
      <c r="AAF99" s="22"/>
      <c r="AAG99" s="22"/>
      <c r="AAH99" s="22"/>
      <c r="AAI99" s="22"/>
      <c r="AAJ99" s="22"/>
      <c r="AAK99" s="22"/>
      <c r="AAL99" s="22"/>
      <c r="AAM99" s="22"/>
      <c r="AAN99" s="22"/>
      <c r="AAO99" s="22"/>
      <c r="AAP99" s="22"/>
      <c r="AAQ99" s="22"/>
      <c r="AAR99" s="22"/>
      <c r="AAS99" s="22"/>
      <c r="AAT99" s="22"/>
      <c r="AAU99" s="22"/>
      <c r="AAV99" s="22"/>
      <c r="AAW99" s="22"/>
      <c r="AAX99" s="22"/>
      <c r="AAY99" s="22"/>
      <c r="AAZ99" s="22"/>
      <c r="ABA99" s="22"/>
      <c r="ABB99" s="22"/>
      <c r="ABC99" s="22"/>
      <c r="ABD99" s="22"/>
      <c r="ABE99" s="22"/>
      <c r="ABF99" s="22"/>
      <c r="ABG99" s="22"/>
      <c r="ABH99" s="22"/>
      <c r="ABI99" s="22"/>
      <c r="ABJ99" s="22"/>
      <c r="ABK99" s="22"/>
      <c r="ABL99" s="22"/>
      <c r="ABM99" s="22"/>
      <c r="ABN99" s="22"/>
      <c r="ABO99" s="22"/>
      <c r="ABP99" s="22"/>
      <c r="ABQ99" s="22"/>
      <c r="ABR99" s="22"/>
      <c r="ABS99" s="22"/>
      <c r="ABT99" s="22"/>
      <c r="ABU99" s="22"/>
      <c r="ABV99" s="22"/>
      <c r="ABW99" s="22"/>
      <c r="ABX99" s="22"/>
      <c r="ABY99" s="22"/>
      <c r="ABZ99" s="22"/>
      <c r="ACA99" s="22"/>
      <c r="ACB99" s="22"/>
      <c r="ACC99" s="22"/>
      <c r="ACD99" s="22"/>
      <c r="ACE99" s="22"/>
      <c r="ACF99" s="22"/>
      <c r="ACG99" s="22"/>
      <c r="ACH99" s="22"/>
      <c r="ACI99" s="22"/>
      <c r="ACJ99" s="22"/>
      <c r="ACK99" s="22"/>
      <c r="ACL99" s="22"/>
      <c r="ACM99" s="22"/>
      <c r="ACN99" s="22"/>
      <c r="ACO99" s="22"/>
      <c r="ACP99" s="22"/>
      <c r="ACQ99" s="22"/>
      <c r="ACR99" s="22"/>
      <c r="ACS99" s="22"/>
      <c r="ACT99" s="22"/>
      <c r="ACU99" s="22"/>
      <c r="ACV99" s="22"/>
      <c r="ACW99" s="22"/>
      <c r="ACX99" s="22"/>
      <c r="ACY99" s="22"/>
      <c r="ACZ99" s="22"/>
      <c r="ADA99" s="22"/>
      <c r="ADB99" s="22"/>
      <c r="ADC99" s="22"/>
      <c r="ADD99" s="22"/>
      <c r="ADE99" s="22"/>
      <c r="ADF99" s="22"/>
      <c r="ADG99" s="22"/>
      <c r="ADH99" s="22"/>
      <c r="ADI99" s="22"/>
      <c r="ADJ99" s="22"/>
      <c r="ADK99" s="22"/>
      <c r="ADL99" s="22"/>
      <c r="ADM99" s="22"/>
      <c r="ADN99" s="22"/>
      <c r="ADO99" s="22"/>
      <c r="ADP99" s="22"/>
      <c r="ADQ99" s="22"/>
      <c r="ADR99" s="22"/>
      <c r="ADS99" s="22"/>
      <c r="ADT99" s="22"/>
      <c r="ADU99" s="22"/>
      <c r="ADV99" s="22"/>
      <c r="ADW99" s="22"/>
      <c r="ADX99" s="22"/>
      <c r="ADY99" s="22"/>
      <c r="ADZ99" s="22"/>
      <c r="AEA99" s="22"/>
      <c r="AEB99" s="22"/>
      <c r="AEC99" s="22"/>
      <c r="AED99" s="22"/>
      <c r="AEE99" s="22"/>
      <c r="AEF99" s="22"/>
      <c r="AEG99" s="22"/>
      <c r="AEH99" s="22"/>
      <c r="AEI99" s="22"/>
      <c r="AEJ99" s="22"/>
      <c r="AEK99" s="22"/>
      <c r="AEL99" s="22"/>
      <c r="AEM99" s="22"/>
      <c r="AEN99" s="22"/>
      <c r="AEO99" s="22"/>
      <c r="AEP99" s="22"/>
      <c r="AEQ99" s="22"/>
      <c r="AER99" s="22"/>
      <c r="AES99" s="22"/>
      <c r="AET99" s="22"/>
      <c r="AEU99" s="22"/>
      <c r="AEV99" s="22"/>
      <c r="AEW99" s="22"/>
      <c r="AEX99" s="22"/>
      <c r="AEY99" s="22"/>
      <c r="AEZ99" s="22"/>
      <c r="AFA99" s="22"/>
      <c r="AFB99" s="22"/>
      <c r="AFC99" s="22"/>
      <c r="AFD99" s="22"/>
      <c r="AFE99" s="22"/>
      <c r="AFF99" s="22"/>
      <c r="AFG99" s="22"/>
      <c r="AFH99" s="22"/>
      <c r="AFI99" s="22"/>
      <c r="AFJ99" s="22"/>
      <c r="AFK99" s="22"/>
      <c r="AFL99" s="22"/>
      <c r="AFM99" s="22"/>
      <c r="AFN99" s="22"/>
      <c r="AFO99" s="22"/>
      <c r="AFP99" s="22"/>
      <c r="AFQ99" s="22"/>
      <c r="AFR99" s="22"/>
      <c r="AFS99" s="22"/>
      <c r="AFT99" s="22"/>
      <c r="AFU99" s="22"/>
      <c r="AFV99" s="22"/>
      <c r="AFW99" s="22"/>
      <c r="AFX99" s="22"/>
      <c r="AFY99" s="22"/>
      <c r="AFZ99" s="22"/>
      <c r="AGA99" s="22"/>
      <c r="AGB99" s="22"/>
      <c r="AGC99" s="22"/>
      <c r="AGD99" s="22"/>
      <c r="AGE99" s="22"/>
      <c r="AGF99" s="22"/>
      <c r="AGG99" s="22"/>
      <c r="AGH99" s="22"/>
      <c r="AGI99" s="22"/>
      <c r="AGJ99" s="22"/>
      <c r="AGK99" s="22"/>
      <c r="AGL99" s="22"/>
      <c r="AGM99" s="22"/>
      <c r="AGN99" s="22"/>
      <c r="AGO99" s="22"/>
      <c r="AGP99" s="22"/>
      <c r="AGQ99" s="22"/>
      <c r="AGR99" s="22"/>
      <c r="AGS99" s="22"/>
      <c r="AGT99" s="22"/>
      <c r="AGU99" s="22"/>
      <c r="AGV99" s="22"/>
      <c r="AGW99" s="22"/>
      <c r="AGX99" s="22"/>
      <c r="AGY99" s="22"/>
      <c r="AGZ99" s="22"/>
      <c r="AHA99" s="22"/>
      <c r="AHB99" s="22"/>
      <c r="AHC99" s="22"/>
      <c r="AHD99" s="22"/>
      <c r="AHE99" s="22"/>
      <c r="AHF99" s="22"/>
      <c r="AHG99" s="22"/>
      <c r="AHH99" s="22"/>
      <c r="AHI99" s="22"/>
      <c r="AHJ99" s="22"/>
      <c r="AHK99" s="22"/>
      <c r="AHL99" s="22"/>
      <c r="AHM99" s="22"/>
      <c r="AHN99" s="22"/>
      <c r="AHO99" s="22"/>
      <c r="AHP99" s="22"/>
      <c r="AHQ99" s="22"/>
      <c r="AHR99" s="22"/>
      <c r="AHS99" s="22"/>
      <c r="AHT99" s="22"/>
      <c r="AHU99" s="22"/>
      <c r="AHV99" s="22"/>
      <c r="AHW99" s="22"/>
      <c r="AHX99" s="22"/>
      <c r="AHY99" s="22"/>
      <c r="AHZ99" s="22"/>
      <c r="AIA99" s="22"/>
      <c r="AIB99" s="22"/>
      <c r="AIC99" s="22"/>
      <c r="AID99" s="22"/>
      <c r="AIE99" s="22"/>
      <c r="AIF99" s="22"/>
      <c r="AIG99" s="22"/>
      <c r="AIH99" s="22"/>
      <c r="AII99" s="22"/>
      <c r="AIJ99" s="22"/>
      <c r="AIK99" s="22"/>
      <c r="AIL99" s="22"/>
      <c r="AIM99" s="22"/>
      <c r="AIN99" s="22"/>
      <c r="AIO99" s="22"/>
      <c r="AIP99" s="22"/>
      <c r="AIQ99" s="22"/>
      <c r="AIR99" s="22"/>
      <c r="AIS99" s="22"/>
      <c r="AIT99" s="22"/>
      <c r="AIU99" s="22"/>
      <c r="AIV99" s="22"/>
      <c r="AIW99" s="22"/>
      <c r="AIX99" s="22"/>
      <c r="AIY99" s="22"/>
      <c r="AIZ99" s="22"/>
      <c r="AJA99" s="22"/>
      <c r="AJB99" s="22"/>
      <c r="AJC99" s="22"/>
      <c r="AJD99" s="22"/>
      <c r="AJE99" s="22"/>
      <c r="AJF99" s="22"/>
      <c r="AJG99" s="22"/>
      <c r="AJH99" s="22"/>
      <c r="AJI99" s="22"/>
      <c r="AJJ99" s="22"/>
      <c r="AJK99" s="22"/>
      <c r="AJL99" s="22"/>
      <c r="AJM99" s="22"/>
      <c r="AJN99" s="22"/>
      <c r="AJO99" s="22"/>
      <c r="AJP99" s="22"/>
      <c r="AJQ99" s="22"/>
      <c r="AJR99" s="22"/>
      <c r="AJS99" s="22"/>
      <c r="AJT99" s="22"/>
      <c r="AJU99" s="22"/>
      <c r="AJV99" s="22"/>
      <c r="AJW99" s="22"/>
      <c r="AJX99" s="22"/>
      <c r="AJY99" s="22"/>
      <c r="AJZ99" s="22"/>
      <c r="AKA99" s="22"/>
      <c r="AKB99" s="22"/>
      <c r="AKC99" s="22"/>
      <c r="AKD99" s="22"/>
      <c r="AKE99" s="22"/>
      <c r="AKF99" s="22"/>
      <c r="AKG99" s="22"/>
      <c r="AKH99" s="22"/>
      <c r="AKI99" s="22"/>
      <c r="AKJ99" s="22"/>
      <c r="AKK99" s="22"/>
      <c r="AKL99" s="22"/>
      <c r="AKM99" s="22"/>
      <c r="AKN99" s="22"/>
      <c r="AKO99" s="22"/>
      <c r="AKP99" s="22"/>
      <c r="AKQ99" s="22"/>
      <c r="AKR99" s="22"/>
      <c r="AKS99" s="22"/>
      <c r="AKT99" s="22"/>
      <c r="AKU99" s="22"/>
      <c r="AKV99" s="22"/>
      <c r="AKW99" s="22"/>
      <c r="AKX99" s="22"/>
      <c r="AKY99" s="22"/>
      <c r="AKZ99" s="22"/>
      <c r="ALA99" s="22"/>
      <c r="ALB99" s="22"/>
      <c r="ALC99" s="22"/>
      <c r="ALD99" s="22"/>
      <c r="ALE99" s="22"/>
      <c r="ALF99" s="22"/>
      <c r="ALG99" s="22"/>
      <c r="ALH99" s="22"/>
      <c r="ALI99" s="22"/>
      <c r="ALJ99" s="22"/>
      <c r="ALK99" s="22"/>
      <c r="ALL99" s="22"/>
      <c r="ALM99" s="22"/>
      <c r="ALN99" s="22"/>
      <c r="ALO99" s="22"/>
      <c r="ALP99" s="22"/>
      <c r="ALQ99" s="22"/>
      <c r="ALR99" s="22"/>
      <c r="ALS99" s="22"/>
      <c r="ALT99" s="22"/>
      <c r="ALU99" s="22"/>
      <c r="ALV99" s="22"/>
      <c r="ALW99" s="22"/>
      <c r="ALX99" s="22"/>
      <c r="ALY99" s="22"/>
      <c r="ALZ99" s="22"/>
      <c r="AMA99" s="22"/>
      <c r="AMB99" s="22"/>
      <c r="AMC99" s="22"/>
      <c r="AMD99" s="22"/>
      <c r="AME99" s="22"/>
      <c r="AMF99" s="22"/>
      <c r="AMG99" s="22"/>
      <c r="AMH99" s="22"/>
      <c r="AMI99" s="22"/>
      <c r="AMJ99" s="22"/>
      <c r="AMK99" s="22"/>
      <c r="AML99" s="22"/>
      <c r="AMM99" s="22"/>
      <c r="AMN99" s="22"/>
      <c r="AMO99" s="22"/>
      <c r="AMP99" s="22"/>
      <c r="AMQ99" s="22"/>
      <c r="AMR99" s="22"/>
      <c r="AMS99" s="22"/>
      <c r="AMT99" s="22"/>
      <c r="AMU99" s="22"/>
      <c r="AMV99" s="22"/>
      <c r="AMW99" s="22"/>
      <c r="AMX99" s="22"/>
      <c r="AMY99" s="22"/>
      <c r="AMZ99" s="22"/>
      <c r="ANA99" s="22"/>
      <c r="ANB99" s="22"/>
      <c r="ANC99" s="22"/>
      <c r="AND99" s="22"/>
      <c r="ANE99" s="22"/>
      <c r="ANF99" s="22"/>
      <c r="ANG99" s="22"/>
      <c r="ANH99" s="22"/>
      <c r="ANI99" s="22"/>
      <c r="ANJ99" s="22"/>
      <c r="ANK99" s="22"/>
      <c r="ANL99" s="22"/>
      <c r="ANM99" s="22"/>
      <c r="ANN99" s="22"/>
      <c r="ANO99" s="22"/>
      <c r="ANP99" s="22"/>
      <c r="ANQ99" s="22"/>
      <c r="ANR99" s="22"/>
      <c r="ANS99" s="22"/>
      <c r="ANT99" s="22"/>
      <c r="ANU99" s="22"/>
      <c r="ANV99" s="22"/>
      <c r="ANW99" s="22"/>
      <c r="ANX99" s="22"/>
      <c r="ANY99" s="22"/>
      <c r="ANZ99" s="22"/>
      <c r="AOA99" s="22"/>
      <c r="AOB99" s="22"/>
      <c r="AOC99" s="22"/>
      <c r="AOD99" s="22"/>
      <c r="AOE99" s="22"/>
      <c r="AOF99" s="22"/>
      <c r="AOG99" s="22"/>
      <c r="AOH99" s="22"/>
      <c r="AOI99" s="22"/>
      <c r="AOJ99" s="22"/>
      <c r="AOK99" s="22"/>
      <c r="AOL99" s="22"/>
      <c r="AOM99" s="22"/>
      <c r="AON99" s="22"/>
      <c r="AOO99" s="22"/>
      <c r="AOP99" s="22"/>
      <c r="AOQ99" s="22"/>
      <c r="AOR99" s="22"/>
      <c r="AOS99" s="22"/>
      <c r="AOT99" s="22"/>
      <c r="AOU99" s="22"/>
      <c r="AOV99" s="22"/>
      <c r="AOW99" s="22"/>
      <c r="AOX99" s="22"/>
      <c r="AOY99" s="22"/>
      <c r="AOZ99" s="22"/>
      <c r="APA99" s="22"/>
      <c r="APB99" s="22"/>
      <c r="APC99" s="22"/>
      <c r="APD99" s="22"/>
      <c r="APE99" s="22"/>
      <c r="APF99" s="22"/>
      <c r="APG99" s="22"/>
      <c r="APH99" s="22"/>
      <c r="API99" s="22"/>
      <c r="APJ99" s="22"/>
      <c r="APK99" s="22"/>
      <c r="APL99" s="22"/>
      <c r="APM99" s="22"/>
      <c r="APN99" s="22"/>
      <c r="APO99" s="22"/>
      <c r="APP99" s="22"/>
      <c r="APQ99" s="22"/>
      <c r="APR99" s="22"/>
      <c r="APS99" s="22"/>
      <c r="APT99" s="22"/>
      <c r="APU99" s="22"/>
      <c r="APV99" s="22"/>
      <c r="APW99" s="22"/>
      <c r="APX99" s="22"/>
      <c r="APY99" s="22"/>
      <c r="APZ99" s="22"/>
      <c r="AQA99" s="22"/>
      <c r="AQB99" s="22"/>
      <c r="AQC99" s="22"/>
      <c r="AQD99" s="22"/>
      <c r="AQE99" s="22"/>
      <c r="AQF99" s="22"/>
      <c r="AQG99" s="22"/>
      <c r="AQH99" s="22"/>
      <c r="AQI99" s="22"/>
      <c r="AQJ99" s="22"/>
      <c r="AQK99" s="22"/>
      <c r="AQL99" s="22"/>
      <c r="AQM99" s="22"/>
      <c r="AQN99" s="22"/>
      <c r="AQO99" s="22"/>
      <c r="AQP99" s="22"/>
      <c r="AQQ99" s="22"/>
      <c r="AQR99" s="22"/>
      <c r="AQS99" s="22"/>
      <c r="AQT99" s="22"/>
      <c r="AQU99" s="22"/>
      <c r="AQV99" s="22"/>
      <c r="AQW99" s="22"/>
      <c r="AQX99" s="22"/>
      <c r="AQY99" s="22"/>
      <c r="AQZ99" s="22"/>
      <c r="ARA99" s="22"/>
      <c r="ARB99" s="22"/>
      <c r="ARC99" s="22"/>
      <c r="ARD99" s="22"/>
      <c r="ARE99" s="22"/>
      <c r="ARF99" s="22"/>
      <c r="ARG99" s="22"/>
      <c r="ARH99" s="22"/>
      <c r="ARI99" s="22"/>
      <c r="ARJ99" s="22"/>
      <c r="ARK99" s="22"/>
      <c r="ARL99" s="22"/>
      <c r="ARM99" s="22"/>
      <c r="ARN99" s="22"/>
      <c r="ARO99" s="22"/>
      <c r="ARP99" s="22"/>
      <c r="ARQ99" s="22"/>
      <c r="ARR99" s="22"/>
      <c r="ARS99" s="22"/>
      <c r="ART99" s="22"/>
      <c r="ARU99" s="22"/>
      <c r="ARV99" s="22"/>
      <c r="ARW99" s="22"/>
      <c r="ARX99" s="22"/>
      <c r="ARY99" s="22"/>
      <c r="ARZ99" s="22"/>
      <c r="ASA99" s="22"/>
      <c r="ASB99" s="22"/>
      <c r="ASC99" s="22"/>
      <c r="ASD99" s="22"/>
      <c r="ASE99" s="22"/>
      <c r="ASF99" s="22"/>
      <c r="ASG99" s="22"/>
      <c r="ASH99" s="22"/>
      <c r="ASI99" s="22"/>
      <c r="ASJ99" s="22"/>
      <c r="ASK99" s="22"/>
      <c r="ASL99" s="22"/>
      <c r="ASM99" s="22"/>
      <c r="ASN99" s="22"/>
      <c r="ASO99" s="22"/>
      <c r="ASP99" s="22"/>
      <c r="ASQ99" s="22"/>
      <c r="ASR99" s="22"/>
      <c r="ASS99" s="22"/>
      <c r="AST99" s="22"/>
      <c r="ASU99" s="22"/>
      <c r="ASV99" s="22"/>
      <c r="ASW99" s="22"/>
      <c r="ASX99" s="22"/>
      <c r="ASY99" s="22"/>
      <c r="ASZ99" s="22"/>
      <c r="ATA99" s="22"/>
      <c r="ATB99" s="22"/>
      <c r="ATC99" s="22"/>
      <c r="ATD99" s="22"/>
      <c r="ATE99" s="22"/>
      <c r="ATF99" s="22"/>
      <c r="ATG99" s="22"/>
      <c r="ATH99" s="22"/>
      <c r="ATI99" s="22"/>
      <c r="ATJ99" s="22"/>
      <c r="ATK99" s="22"/>
      <c r="ATL99" s="22"/>
      <c r="ATM99" s="22"/>
      <c r="ATN99" s="22"/>
      <c r="ATO99" s="22"/>
      <c r="ATP99" s="22"/>
      <c r="ATQ99" s="22"/>
      <c r="ATR99" s="22"/>
      <c r="ATS99" s="22"/>
      <c r="ATT99" s="22"/>
      <c r="ATU99" s="22"/>
      <c r="ATV99" s="22"/>
      <c r="ATW99" s="22"/>
      <c r="ATX99" s="22"/>
      <c r="ATY99" s="22"/>
      <c r="ATZ99" s="22"/>
      <c r="AUA99" s="22"/>
      <c r="AUB99" s="22"/>
      <c r="AUC99" s="22"/>
      <c r="AUD99" s="22"/>
      <c r="AUE99" s="22"/>
      <c r="AUF99" s="22"/>
      <c r="AUG99" s="22"/>
      <c r="AUH99" s="22"/>
      <c r="AUI99" s="22"/>
      <c r="AUJ99" s="22"/>
      <c r="AUK99" s="22"/>
      <c r="AUL99" s="22"/>
      <c r="AUM99" s="22"/>
      <c r="AUN99" s="22"/>
      <c r="AUO99" s="22"/>
      <c r="AUP99" s="22"/>
      <c r="AUQ99" s="22"/>
      <c r="AUR99" s="22"/>
      <c r="AUS99" s="22"/>
      <c r="AUT99" s="22"/>
      <c r="AUU99" s="22"/>
      <c r="AUV99" s="22"/>
      <c r="AUW99" s="22"/>
      <c r="AUX99" s="22"/>
      <c r="AUY99" s="22"/>
      <c r="AUZ99" s="22"/>
      <c r="AVA99" s="22"/>
      <c r="AVB99" s="22"/>
      <c r="AVC99" s="22"/>
      <c r="AVD99" s="22"/>
      <c r="AVE99" s="22"/>
      <c r="AVF99" s="22"/>
      <c r="AVG99" s="22"/>
      <c r="AVH99" s="22"/>
      <c r="AVI99" s="22"/>
      <c r="AVJ99" s="22"/>
      <c r="AVK99" s="22"/>
      <c r="AVL99" s="22"/>
      <c r="AVM99" s="22"/>
      <c r="AVN99" s="22"/>
      <c r="AVO99" s="22"/>
      <c r="AVP99" s="22"/>
      <c r="AVQ99" s="22"/>
      <c r="AVR99" s="22"/>
      <c r="AVS99" s="22"/>
      <c r="AVT99" s="22"/>
      <c r="AVU99" s="22"/>
      <c r="AVV99" s="22"/>
      <c r="AVW99" s="22"/>
      <c r="AVX99" s="22"/>
      <c r="AVY99" s="22"/>
      <c r="AVZ99" s="22"/>
      <c r="AWA99" s="22"/>
      <c r="AWB99" s="22"/>
      <c r="AWC99" s="22"/>
      <c r="AWD99" s="22"/>
      <c r="AWE99" s="22"/>
      <c r="AWF99" s="22"/>
      <c r="AWG99" s="22"/>
      <c r="AWH99" s="22"/>
      <c r="AWI99" s="22"/>
      <c r="AWJ99" s="22"/>
      <c r="AWK99" s="22"/>
      <c r="AWL99" s="22"/>
      <c r="AWM99" s="22"/>
      <c r="AWN99" s="22"/>
      <c r="AWO99" s="22"/>
      <c r="AWP99" s="22"/>
      <c r="AWQ99" s="22"/>
      <c r="AWR99" s="22"/>
      <c r="AWS99" s="22"/>
      <c r="AWT99" s="22"/>
      <c r="AWU99" s="22"/>
      <c r="AWV99" s="22"/>
      <c r="AWW99" s="22"/>
      <c r="AWX99" s="22"/>
      <c r="AWY99" s="22"/>
      <c r="AWZ99" s="22"/>
      <c r="AXA99" s="22"/>
      <c r="AXB99" s="22"/>
      <c r="AXC99" s="22"/>
      <c r="AXD99" s="22"/>
      <c r="AXE99" s="22"/>
      <c r="AXF99" s="22"/>
      <c r="AXG99" s="22"/>
      <c r="AXH99" s="22"/>
      <c r="AXI99" s="22"/>
      <c r="AXJ99" s="22"/>
      <c r="AXK99" s="22"/>
      <c r="AXL99" s="22"/>
      <c r="AXM99" s="22"/>
      <c r="AXN99" s="22"/>
      <c r="AXO99" s="22"/>
      <c r="AXP99" s="22"/>
      <c r="AXQ99" s="22"/>
      <c r="AXR99" s="22"/>
      <c r="AXS99" s="22"/>
      <c r="AXT99" s="22"/>
      <c r="AXU99" s="22"/>
      <c r="AXV99" s="22"/>
      <c r="AXW99" s="22"/>
      <c r="AXX99" s="22"/>
      <c r="AXY99" s="22"/>
      <c r="AXZ99" s="22"/>
      <c r="AYA99" s="22"/>
      <c r="AYB99" s="22"/>
      <c r="AYC99" s="22"/>
      <c r="AYD99" s="22"/>
      <c r="AYE99" s="22"/>
      <c r="AYF99" s="22"/>
      <c r="AYG99" s="22"/>
      <c r="AYH99" s="22"/>
      <c r="AYI99" s="22"/>
      <c r="AYJ99" s="22"/>
      <c r="AYK99" s="22"/>
      <c r="AYL99" s="22"/>
      <c r="AYM99" s="22"/>
      <c r="AYN99" s="22"/>
      <c r="AYO99" s="22"/>
      <c r="AYP99" s="22"/>
      <c r="AYQ99" s="22"/>
      <c r="AYR99" s="22"/>
      <c r="AYS99" s="22"/>
      <c r="AYT99" s="22"/>
      <c r="AYU99" s="22"/>
      <c r="AYV99" s="22"/>
      <c r="AYW99" s="22"/>
      <c r="AYX99" s="22"/>
      <c r="AYY99" s="22"/>
      <c r="AYZ99" s="22"/>
      <c r="AZA99" s="22"/>
      <c r="AZB99" s="22"/>
      <c r="AZC99" s="22"/>
      <c r="AZD99" s="22"/>
      <c r="AZE99" s="22"/>
      <c r="AZF99" s="22"/>
      <c r="AZG99" s="22"/>
      <c r="AZH99" s="22"/>
      <c r="AZI99" s="22"/>
      <c r="AZJ99" s="22"/>
      <c r="AZK99" s="22"/>
      <c r="AZL99" s="22"/>
      <c r="AZM99" s="22"/>
      <c r="AZN99" s="22"/>
      <c r="AZO99" s="22"/>
      <c r="AZP99" s="22"/>
      <c r="AZQ99" s="22"/>
      <c r="AZR99" s="22"/>
      <c r="AZS99" s="22"/>
      <c r="AZT99" s="22"/>
      <c r="AZU99" s="22"/>
      <c r="AZV99" s="22"/>
      <c r="AZW99" s="22"/>
      <c r="AZX99" s="22"/>
      <c r="AZY99" s="22"/>
      <c r="AZZ99" s="22"/>
      <c r="BAA99" s="22"/>
      <c r="BAB99" s="22"/>
      <c r="BAC99" s="22"/>
      <c r="BAD99" s="22"/>
      <c r="BAE99" s="22"/>
      <c r="BAF99" s="22"/>
      <c r="BAG99" s="22"/>
      <c r="BAH99" s="22"/>
      <c r="BAI99" s="22"/>
      <c r="BAJ99" s="22"/>
      <c r="BAK99" s="22"/>
      <c r="BAL99" s="22"/>
      <c r="BAM99" s="22"/>
      <c r="BAN99" s="22"/>
      <c r="BAO99" s="22"/>
      <c r="BAP99" s="22"/>
      <c r="BAQ99" s="22"/>
      <c r="BAR99" s="22"/>
      <c r="BAS99" s="22"/>
      <c r="BAT99" s="22"/>
      <c r="BAU99" s="22"/>
      <c r="BAV99" s="22"/>
      <c r="BAW99" s="22"/>
      <c r="BAX99" s="22"/>
      <c r="BAY99" s="22"/>
      <c r="BAZ99" s="22"/>
      <c r="BBA99" s="22"/>
      <c r="BBB99" s="22"/>
      <c r="BBC99" s="22"/>
      <c r="BBD99" s="22"/>
      <c r="BBE99" s="22"/>
      <c r="BBF99" s="22"/>
      <c r="BBG99" s="22"/>
      <c r="BBH99" s="22"/>
      <c r="BBI99" s="22"/>
      <c r="BBJ99" s="22"/>
      <c r="BBK99" s="22"/>
      <c r="BBL99" s="22"/>
      <c r="BBM99" s="22"/>
      <c r="BBN99" s="22"/>
      <c r="BBO99" s="22"/>
      <c r="BBP99" s="22"/>
      <c r="BBQ99" s="22"/>
      <c r="BBR99" s="22"/>
      <c r="BBS99" s="22"/>
      <c r="BBT99" s="22"/>
      <c r="BBU99" s="22"/>
      <c r="BBV99" s="22"/>
      <c r="BBW99" s="22"/>
      <c r="BBX99" s="22"/>
      <c r="BBY99" s="22"/>
      <c r="BBZ99" s="22"/>
      <c r="BCA99" s="22"/>
      <c r="BCB99" s="22"/>
      <c r="BCC99" s="22"/>
      <c r="BCD99" s="22"/>
      <c r="BCE99" s="22"/>
      <c r="BCF99" s="22"/>
      <c r="BCG99" s="22"/>
      <c r="BCH99" s="22"/>
      <c r="BCI99" s="22"/>
      <c r="BCJ99" s="22"/>
      <c r="BCK99" s="22"/>
      <c r="BCL99" s="22"/>
      <c r="BCM99" s="22"/>
      <c r="BCN99" s="22"/>
      <c r="BCO99" s="22"/>
      <c r="BCP99" s="22"/>
      <c r="BCQ99" s="22"/>
      <c r="BCR99" s="22"/>
      <c r="BCS99" s="22"/>
      <c r="BCT99" s="22"/>
      <c r="BCU99" s="22"/>
      <c r="BCV99" s="22"/>
      <c r="BCW99" s="22"/>
      <c r="BCX99" s="22"/>
      <c r="BCY99" s="22"/>
      <c r="BCZ99" s="22"/>
      <c r="BDA99" s="22"/>
      <c r="BDB99" s="22"/>
      <c r="BDC99" s="22"/>
      <c r="BDD99" s="22"/>
      <c r="BDE99" s="22"/>
      <c r="BDF99" s="22"/>
      <c r="BDG99" s="22"/>
      <c r="BDH99" s="22"/>
      <c r="BDI99" s="22"/>
      <c r="BDJ99" s="22"/>
      <c r="BDK99" s="22"/>
      <c r="BDL99" s="22"/>
      <c r="BDM99" s="22"/>
      <c r="BDN99" s="22"/>
      <c r="BDO99" s="22"/>
      <c r="BDP99" s="22"/>
      <c r="BDQ99" s="22"/>
      <c r="BDR99" s="22"/>
      <c r="BDS99" s="22"/>
      <c r="BDT99" s="22"/>
      <c r="BDU99" s="22"/>
      <c r="BDV99" s="22"/>
      <c r="BDW99" s="22"/>
      <c r="BDX99" s="22"/>
      <c r="BDY99" s="22"/>
      <c r="BDZ99" s="22"/>
      <c r="BEA99" s="22"/>
      <c r="BEB99" s="22"/>
      <c r="BEC99" s="22"/>
      <c r="BED99" s="22"/>
      <c r="BEE99" s="22"/>
      <c r="BEF99" s="22"/>
      <c r="BEG99" s="22"/>
      <c r="BEH99" s="22"/>
      <c r="BEI99" s="22"/>
      <c r="BEJ99" s="22"/>
      <c r="BEK99" s="22"/>
      <c r="BEL99" s="22"/>
      <c r="BEM99" s="22"/>
      <c r="BEN99" s="22"/>
      <c r="BEO99" s="22"/>
      <c r="BEP99" s="22"/>
      <c r="BEQ99" s="22"/>
      <c r="BER99" s="22"/>
      <c r="BES99" s="22"/>
      <c r="BET99" s="22"/>
      <c r="BEU99" s="22"/>
      <c r="BEV99" s="22"/>
      <c r="BEW99" s="22"/>
      <c r="BEX99" s="22"/>
      <c r="BEY99" s="22"/>
      <c r="BEZ99" s="22"/>
      <c r="BFA99" s="22"/>
      <c r="BFB99" s="22"/>
      <c r="BFC99" s="22"/>
      <c r="BFD99" s="22"/>
      <c r="BFE99" s="22"/>
      <c r="BFF99" s="22"/>
      <c r="BFG99" s="22"/>
      <c r="BFH99" s="22"/>
      <c r="BFI99" s="22"/>
      <c r="BFJ99" s="22"/>
      <c r="BFK99" s="22"/>
      <c r="BFL99" s="22"/>
      <c r="BFM99" s="22"/>
      <c r="BFN99" s="22"/>
      <c r="BFO99" s="22"/>
      <c r="BFP99" s="22"/>
      <c r="BFQ99" s="22"/>
      <c r="BFR99" s="22"/>
      <c r="BFS99" s="22"/>
      <c r="BFT99" s="22"/>
      <c r="BFU99" s="22"/>
      <c r="BFV99" s="22"/>
      <c r="BFW99" s="22"/>
    </row>
    <row r="100" spans="1:1531" s="22" customFormat="1" ht="30.6" customHeight="1" thickBot="1" x14ac:dyDescent="0.25">
      <c r="A100" s="500" t="s">
        <v>499</v>
      </c>
      <c r="B100" s="500"/>
      <c r="C100" s="500"/>
      <c r="D100" s="501"/>
      <c r="E100" s="502"/>
      <c r="F100" s="503"/>
      <c r="G100" s="502"/>
      <c r="H100" s="503"/>
      <c r="I100" s="503"/>
      <c r="J100" s="501"/>
      <c r="K100" s="503"/>
      <c r="L100" s="501"/>
      <c r="M100" s="501"/>
      <c r="N100" s="501"/>
      <c r="O100" s="501"/>
      <c r="P100" s="504"/>
      <c r="Q100" s="501"/>
      <c r="R100" s="501"/>
      <c r="S100" s="505"/>
      <c r="T100" s="501"/>
      <c r="U100" s="501"/>
      <c r="V100" s="501"/>
      <c r="W100" s="501"/>
      <c r="X100" s="501"/>
      <c r="Y100" s="506">
        <f>SUM(Y13:Y98)</f>
        <v>2175</v>
      </c>
      <c r="Z100" s="501"/>
      <c r="AA100" s="507">
        <f>SUM(AA13:AA98)</f>
        <v>332020</v>
      </c>
      <c r="AB100" s="501"/>
      <c r="AC100" s="506">
        <f>SUM(AC13:AC98)</f>
        <v>2191</v>
      </c>
      <c r="AD100" s="501"/>
      <c r="AE100" s="507">
        <f>SUM(AE13:AE98)</f>
        <v>320870</v>
      </c>
      <c r="AF100" s="506">
        <f>SUM(AF13:AF98)</f>
        <v>2428</v>
      </c>
      <c r="AG100" s="501"/>
      <c r="AH100" s="507">
        <f>SUM(AH13:AH98)</f>
        <v>340580</v>
      </c>
      <c r="AI100" s="506">
        <f>SUM(AI13:AI98)</f>
        <v>1739</v>
      </c>
      <c r="AJ100" s="501"/>
      <c r="AK100" s="507">
        <f>SUM(AK1:AK98)</f>
        <v>2002680</v>
      </c>
      <c r="AL100" s="506">
        <f>SUM(AL1:AL98)</f>
        <v>2112</v>
      </c>
      <c r="AM100" s="501"/>
      <c r="AN100" s="507">
        <f>SUM(AN1:AO98)</f>
        <v>1729939</v>
      </c>
      <c r="AO100" s="500"/>
      <c r="AP100" s="508">
        <f>SUM(AP1:AP98)</f>
        <v>71</v>
      </c>
      <c r="AQ100" s="507">
        <f>SUM(AQ1:AR98)</f>
        <v>1944611</v>
      </c>
      <c r="AR100" s="500"/>
      <c r="AS100" s="500"/>
      <c r="AT100" s="507">
        <f>SUM(AT1:AU98)</f>
        <v>2019636</v>
      </c>
      <c r="AU100" s="509" t="s">
        <v>713</v>
      </c>
    </row>
    <row r="101" spans="1:1531" s="22" customFormat="1" ht="30.6" customHeight="1" thickTop="1" x14ac:dyDescent="0.2">
      <c r="A101" s="326"/>
      <c r="B101" s="326"/>
      <c r="C101" s="326"/>
      <c r="D101" s="318"/>
      <c r="E101" s="319"/>
      <c r="F101" s="317"/>
      <c r="G101" s="319"/>
      <c r="H101" s="317"/>
      <c r="I101" s="317"/>
      <c r="J101" s="318"/>
      <c r="K101" s="317"/>
      <c r="L101" s="318"/>
      <c r="M101" s="318"/>
      <c r="N101" s="318"/>
      <c r="O101" s="318"/>
      <c r="P101" s="322"/>
      <c r="Q101" s="318"/>
      <c r="R101" s="318"/>
      <c r="S101" s="498"/>
      <c r="T101" s="318"/>
      <c r="U101" s="318"/>
      <c r="V101" s="318"/>
      <c r="W101" s="318"/>
      <c r="X101" s="318"/>
      <c r="Y101" s="499"/>
      <c r="Z101" s="318"/>
      <c r="AA101" s="493"/>
      <c r="AB101" s="318"/>
      <c r="AC101" s="499"/>
      <c r="AD101" s="318"/>
      <c r="AE101" s="493"/>
      <c r="AF101" s="499"/>
      <c r="AG101" s="318"/>
      <c r="AH101" s="493"/>
      <c r="AI101" s="499"/>
      <c r="AJ101" s="318"/>
      <c r="AK101" s="493"/>
      <c r="AL101" s="499"/>
      <c r="AM101" s="318"/>
      <c r="AN101" s="493"/>
      <c r="AO101" s="326"/>
      <c r="AP101" s="492"/>
      <c r="AQ101" s="493"/>
      <c r="AR101" s="326"/>
      <c r="AS101" s="326"/>
      <c r="AT101" s="493"/>
      <c r="AU101" s="479"/>
    </row>
    <row r="102" spans="1:1531" s="23" customFormat="1" ht="18.75" customHeight="1" x14ac:dyDescent="0.2">
      <c r="A102" s="520" t="s">
        <v>948</v>
      </c>
      <c r="B102" s="520"/>
      <c r="C102" s="520"/>
      <c r="D102" s="520"/>
      <c r="E102" s="520"/>
      <c r="F102" s="520"/>
      <c r="G102" s="520"/>
      <c r="H102" s="92"/>
      <c r="I102" s="92"/>
      <c r="J102" s="93"/>
      <c r="K102" s="92"/>
      <c r="L102" s="93"/>
      <c r="M102" s="93"/>
      <c r="N102" s="93"/>
      <c r="O102" s="93"/>
      <c r="P102" s="75"/>
      <c r="Q102" s="93"/>
      <c r="R102" s="93"/>
      <c r="S102" s="102"/>
      <c r="T102" s="93"/>
      <c r="U102" s="93"/>
      <c r="V102" s="93"/>
      <c r="W102" s="93"/>
      <c r="X102" s="93"/>
      <c r="Y102" s="120"/>
      <c r="Z102" s="93"/>
      <c r="AA102" s="102"/>
      <c r="AB102" s="93"/>
      <c r="AC102" s="93"/>
      <c r="AD102" s="93"/>
      <c r="AE102" s="93"/>
      <c r="AF102" s="93"/>
      <c r="AG102" s="93"/>
      <c r="AH102" s="93"/>
      <c r="AI102" s="93"/>
      <c r="AJ102" s="93"/>
      <c r="AK102" s="93"/>
      <c r="AL102" s="93"/>
      <c r="AM102" s="93"/>
      <c r="AN102" s="93"/>
      <c r="AU102" s="121"/>
    </row>
    <row r="103" spans="1:1531" s="23" customFormat="1" ht="46.15" customHeight="1" x14ac:dyDescent="0.2">
      <c r="A103" s="91"/>
      <c r="B103" s="90"/>
      <c r="C103" s="92"/>
      <c r="D103" s="93"/>
      <c r="E103" s="94"/>
      <c r="F103" s="92"/>
      <c r="G103" s="94"/>
      <c r="H103" s="92"/>
      <c r="I103" s="92"/>
      <c r="J103" s="93"/>
      <c r="K103" s="92"/>
      <c r="L103" s="93"/>
      <c r="M103" s="93"/>
      <c r="N103" s="93"/>
      <c r="O103" s="93"/>
      <c r="P103" s="138"/>
      <c r="Q103" s="93"/>
      <c r="R103" s="93"/>
      <c r="S103" s="102"/>
      <c r="T103" s="93"/>
      <c r="U103" s="93"/>
      <c r="V103" s="93"/>
      <c r="W103" s="93"/>
      <c r="X103" s="93"/>
      <c r="Y103" s="120"/>
      <c r="Z103" s="93"/>
      <c r="AA103" s="102"/>
      <c r="AB103" s="93"/>
      <c r="AC103" s="93"/>
      <c r="AD103" s="93"/>
      <c r="AE103" s="93"/>
      <c r="AF103" s="93"/>
      <c r="AG103" s="93"/>
      <c r="AH103" s="93"/>
      <c r="AI103" s="93"/>
      <c r="AJ103" s="93"/>
      <c r="AK103" s="93"/>
      <c r="AL103" s="93"/>
      <c r="AM103" s="93"/>
      <c r="AN103" s="93"/>
      <c r="AQ103" s="472"/>
      <c r="AT103" s="472"/>
      <c r="AU103" s="121"/>
    </row>
    <row r="104" spans="1:1531" s="22" customFormat="1" ht="46.15" customHeight="1" x14ac:dyDescent="0.2">
      <c r="A104" s="91"/>
      <c r="B104" s="90"/>
      <c r="C104" s="92"/>
      <c r="D104" s="93"/>
      <c r="E104" s="94"/>
      <c r="F104" s="92"/>
      <c r="G104" s="94"/>
      <c r="H104" s="92"/>
      <c r="I104" s="92"/>
      <c r="J104" s="93"/>
      <c r="K104" s="92"/>
      <c r="L104" s="93"/>
      <c r="M104" s="93"/>
      <c r="N104" s="93"/>
      <c r="O104" s="93"/>
      <c r="P104" s="138"/>
      <c r="Q104" s="93"/>
      <c r="R104" s="93"/>
      <c r="S104" s="102"/>
      <c r="T104" s="93"/>
      <c r="U104" s="93"/>
      <c r="V104" s="93"/>
      <c r="W104" s="93"/>
      <c r="X104" s="93"/>
      <c r="Y104" s="120"/>
      <c r="Z104" s="93"/>
      <c r="AA104" s="102"/>
      <c r="AB104" s="93"/>
      <c r="AC104" s="93"/>
      <c r="AD104" s="93"/>
      <c r="AE104" s="93"/>
      <c r="AF104" s="93"/>
      <c r="AG104" s="93"/>
      <c r="AH104" s="93"/>
      <c r="AI104" s="93"/>
      <c r="AJ104" s="93"/>
      <c r="AK104" s="93"/>
      <c r="AL104" s="93"/>
      <c r="AM104" s="93"/>
      <c r="AN104" s="93"/>
      <c r="AQ104" s="472"/>
      <c r="AT104" s="472"/>
      <c r="AU104" s="121"/>
    </row>
    <row r="105" spans="1:1531" s="22" customFormat="1" ht="46.15" customHeight="1" x14ac:dyDescent="0.2">
      <c r="A105" s="91"/>
      <c r="B105" s="90"/>
      <c r="C105" s="92"/>
      <c r="D105" s="93"/>
      <c r="E105" s="94"/>
      <c r="F105" s="92"/>
      <c r="G105" s="94"/>
      <c r="H105" s="92"/>
      <c r="I105" s="92"/>
      <c r="J105" s="93"/>
      <c r="K105" s="92"/>
      <c r="L105" s="93"/>
      <c r="M105" s="93"/>
      <c r="N105" s="93"/>
      <c r="O105" s="93"/>
      <c r="P105" s="138"/>
      <c r="Q105" s="93"/>
      <c r="R105" s="93"/>
      <c r="S105" s="102"/>
      <c r="T105" s="93"/>
      <c r="U105" s="93"/>
      <c r="V105" s="93"/>
      <c r="W105" s="93"/>
      <c r="X105" s="93"/>
      <c r="Y105" s="120"/>
      <c r="Z105" s="93"/>
      <c r="AA105" s="102"/>
      <c r="AB105" s="93"/>
      <c r="AC105" s="93"/>
      <c r="AD105" s="93"/>
      <c r="AE105" s="93"/>
      <c r="AF105" s="93"/>
      <c r="AG105" s="93"/>
      <c r="AH105" s="93"/>
      <c r="AI105" s="93"/>
      <c r="AJ105" s="93"/>
      <c r="AK105" s="93"/>
      <c r="AL105" s="93"/>
      <c r="AM105" s="93"/>
      <c r="AN105" s="93"/>
      <c r="AQ105" s="472"/>
      <c r="AT105" s="472"/>
      <c r="AU105" s="121"/>
    </row>
    <row r="106" spans="1:1531" s="22" customFormat="1" ht="46.15" customHeight="1" x14ac:dyDescent="0.2">
      <c r="A106" s="91"/>
      <c r="B106" s="90"/>
      <c r="C106" s="92"/>
      <c r="D106" s="93"/>
      <c r="E106" s="94"/>
      <c r="F106" s="92"/>
      <c r="G106" s="94"/>
      <c r="H106" s="92"/>
      <c r="I106" s="92"/>
      <c r="J106" s="93"/>
      <c r="K106" s="92"/>
      <c r="L106" s="93"/>
      <c r="M106" s="93"/>
      <c r="N106" s="93"/>
      <c r="O106" s="93"/>
      <c r="P106" s="138"/>
      <c r="Q106" s="93"/>
      <c r="R106" s="93"/>
      <c r="S106" s="102"/>
      <c r="T106" s="93"/>
      <c r="U106" s="93"/>
      <c r="V106" s="93"/>
      <c r="W106" s="93"/>
      <c r="X106" s="93"/>
      <c r="Y106" s="120"/>
      <c r="Z106" s="93"/>
      <c r="AA106" s="102"/>
      <c r="AB106" s="93"/>
      <c r="AC106" s="93"/>
      <c r="AD106" s="93"/>
      <c r="AE106" s="93"/>
      <c r="AF106" s="93"/>
      <c r="AG106" s="93"/>
      <c r="AH106" s="93"/>
      <c r="AI106" s="93"/>
      <c r="AJ106" s="93"/>
      <c r="AK106" s="93"/>
      <c r="AL106" s="93"/>
      <c r="AM106" s="93"/>
      <c r="AN106" s="93"/>
      <c r="AQ106" s="472"/>
      <c r="AT106" s="472"/>
      <c r="AU106" s="121"/>
    </row>
    <row r="107" spans="1:1531" s="22" customFormat="1" ht="46.15" customHeight="1" x14ac:dyDescent="0.2">
      <c r="A107" s="91"/>
      <c r="B107" s="95"/>
      <c r="C107" s="92"/>
      <c r="D107" s="93"/>
      <c r="E107" s="94"/>
      <c r="F107" s="92"/>
      <c r="G107" s="94"/>
      <c r="H107" s="92"/>
      <c r="I107" s="92"/>
      <c r="J107" s="93"/>
      <c r="K107" s="92"/>
      <c r="L107" s="93"/>
      <c r="M107" s="93"/>
      <c r="N107" s="93"/>
      <c r="O107" s="93"/>
      <c r="P107" s="138"/>
      <c r="Q107" s="93"/>
      <c r="R107" s="93"/>
      <c r="S107" s="102"/>
      <c r="T107" s="93"/>
      <c r="U107" s="93"/>
      <c r="V107" s="93"/>
      <c r="W107" s="93"/>
      <c r="X107" s="93"/>
      <c r="Y107" s="120"/>
      <c r="Z107" s="93"/>
      <c r="AA107" s="102"/>
      <c r="AB107" s="93"/>
      <c r="AC107" s="93"/>
      <c r="AD107" s="93"/>
      <c r="AE107" s="93"/>
      <c r="AF107" s="93"/>
      <c r="AG107" s="93"/>
      <c r="AH107" s="93"/>
      <c r="AI107" s="93"/>
      <c r="AJ107" s="93"/>
      <c r="AK107" s="93"/>
      <c r="AL107" s="93"/>
      <c r="AM107" s="93"/>
      <c r="AN107" s="93"/>
      <c r="AQ107" s="23"/>
      <c r="AT107" s="472"/>
      <c r="AU107" s="121"/>
    </row>
    <row r="108" spans="1:1531" s="22" customFormat="1" ht="46.15" customHeight="1" x14ac:dyDescent="0.2">
      <c r="A108" s="91"/>
      <c r="B108" s="95"/>
      <c r="C108" s="92"/>
      <c r="D108" s="93"/>
      <c r="E108" s="94"/>
      <c r="F108" s="92"/>
      <c r="G108" s="94"/>
      <c r="H108" s="92"/>
      <c r="I108" s="92"/>
      <c r="J108" s="93"/>
      <c r="K108" s="92"/>
      <c r="L108" s="93"/>
      <c r="M108" s="93"/>
      <c r="N108" s="93"/>
      <c r="O108" s="93"/>
      <c r="P108" s="138"/>
      <c r="Q108" s="93"/>
      <c r="R108" s="93"/>
      <c r="S108" s="102"/>
      <c r="T108" s="93"/>
      <c r="U108" s="93"/>
      <c r="V108" s="93"/>
      <c r="W108" s="93"/>
      <c r="X108" s="93"/>
      <c r="Y108" s="120"/>
      <c r="Z108" s="93"/>
      <c r="AA108" s="102"/>
      <c r="AB108" s="93"/>
      <c r="AC108" s="93"/>
      <c r="AD108" s="93"/>
      <c r="AE108" s="93"/>
      <c r="AF108" s="93"/>
      <c r="AG108" s="93"/>
      <c r="AH108" s="93"/>
      <c r="AI108" s="93"/>
      <c r="AJ108" s="93"/>
      <c r="AK108" s="93"/>
      <c r="AL108" s="93"/>
      <c r="AM108" s="93"/>
      <c r="AN108" s="93"/>
      <c r="AQ108" s="23"/>
      <c r="AT108" s="472"/>
      <c r="AU108" s="121"/>
    </row>
    <row r="109" spans="1:1531" s="22" customFormat="1" ht="46.15" customHeight="1" x14ac:dyDescent="0.2">
      <c r="A109" s="91"/>
      <c r="B109" s="90"/>
      <c r="C109" s="92"/>
      <c r="D109" s="93"/>
      <c r="E109" s="94"/>
      <c r="F109" s="92"/>
      <c r="G109" s="94"/>
      <c r="H109" s="92"/>
      <c r="I109" s="92"/>
      <c r="J109" s="93"/>
      <c r="K109" s="92"/>
      <c r="L109" s="93"/>
      <c r="M109" s="92"/>
      <c r="N109" s="93"/>
      <c r="O109" s="93"/>
      <c r="P109" s="138"/>
      <c r="Q109" s="93"/>
      <c r="R109" s="93"/>
      <c r="S109" s="102"/>
      <c r="T109" s="93"/>
      <c r="U109" s="93"/>
      <c r="V109" s="93"/>
      <c r="W109" s="93"/>
      <c r="X109" s="93"/>
      <c r="Y109" s="120"/>
      <c r="Z109" s="93"/>
      <c r="AA109" s="102"/>
      <c r="AB109" s="93"/>
      <c r="AC109" s="93"/>
      <c r="AD109" s="93"/>
      <c r="AE109" s="93"/>
      <c r="AF109" s="93"/>
      <c r="AG109" s="93"/>
      <c r="AH109" s="93"/>
      <c r="AI109" s="93"/>
      <c r="AJ109" s="93"/>
      <c r="AK109" s="93"/>
      <c r="AL109" s="93"/>
      <c r="AM109" s="93"/>
      <c r="AN109" s="93"/>
      <c r="AQ109" s="23"/>
      <c r="AT109" s="23"/>
      <c r="AU109" s="121"/>
    </row>
    <row r="110" spans="1:1531" s="23" customFormat="1" ht="46.15" customHeight="1" x14ac:dyDescent="0.2">
      <c r="A110" s="91"/>
      <c r="B110" s="90"/>
      <c r="C110" s="92"/>
      <c r="D110" s="93"/>
      <c r="E110" s="94"/>
      <c r="F110" s="92"/>
      <c r="G110" s="94"/>
      <c r="H110" s="92"/>
      <c r="I110" s="92"/>
      <c r="J110" s="93"/>
      <c r="K110" s="92"/>
      <c r="L110" s="93"/>
      <c r="M110" s="93"/>
      <c r="N110" s="93"/>
      <c r="O110" s="93"/>
      <c r="P110" s="138"/>
      <c r="Q110" s="93"/>
      <c r="R110" s="93"/>
      <c r="S110" s="102"/>
      <c r="T110" s="93"/>
      <c r="U110" s="93"/>
      <c r="V110" s="93"/>
      <c r="W110" s="93"/>
      <c r="X110" s="93"/>
      <c r="Y110" s="120"/>
      <c r="Z110" s="93"/>
      <c r="AA110" s="102"/>
      <c r="AB110" s="93"/>
      <c r="AC110" s="93"/>
      <c r="AD110" s="93"/>
      <c r="AE110" s="93"/>
      <c r="AF110" s="93"/>
      <c r="AG110" s="93"/>
      <c r="AH110" s="93"/>
      <c r="AI110" s="93"/>
      <c r="AJ110" s="93"/>
      <c r="AK110" s="93"/>
      <c r="AL110" s="93"/>
      <c r="AM110" s="93"/>
      <c r="AN110" s="93"/>
      <c r="AU110" s="121"/>
    </row>
    <row r="111" spans="1:1531" s="22" customFormat="1" ht="46.15" customHeight="1" x14ac:dyDescent="0.2">
      <c r="A111" s="91"/>
      <c r="B111" s="90"/>
      <c r="C111" s="92"/>
      <c r="D111" s="93"/>
      <c r="E111" s="94"/>
      <c r="F111" s="92"/>
      <c r="G111" s="94"/>
      <c r="H111" s="92"/>
      <c r="I111" s="92"/>
      <c r="J111" s="93"/>
      <c r="K111" s="92"/>
      <c r="L111" s="93"/>
      <c r="M111" s="93"/>
      <c r="N111" s="93"/>
      <c r="O111" s="93"/>
      <c r="P111" s="138"/>
      <c r="Q111" s="93"/>
      <c r="R111" s="93"/>
      <c r="S111" s="102"/>
      <c r="T111" s="93"/>
      <c r="U111" s="93"/>
      <c r="V111" s="93"/>
      <c r="W111" s="93"/>
      <c r="X111" s="93"/>
      <c r="Y111" s="120"/>
      <c r="Z111" s="93"/>
      <c r="AA111" s="102"/>
      <c r="AB111" s="93"/>
      <c r="AC111" s="93"/>
      <c r="AD111" s="93"/>
      <c r="AE111" s="93"/>
      <c r="AF111" s="93"/>
      <c r="AG111" s="93"/>
      <c r="AH111" s="93"/>
      <c r="AI111" s="93"/>
      <c r="AJ111" s="93"/>
      <c r="AK111" s="93"/>
      <c r="AL111" s="93"/>
      <c r="AM111" s="93"/>
      <c r="AN111" s="93"/>
      <c r="AQ111" s="23"/>
      <c r="AT111" s="23"/>
      <c r="AU111" s="121"/>
    </row>
    <row r="112" spans="1:1531" s="23" customFormat="1" ht="46.15" customHeight="1" x14ac:dyDescent="0.2">
      <c r="A112" s="91"/>
      <c r="B112" s="90"/>
      <c r="C112" s="92"/>
      <c r="D112" s="93"/>
      <c r="E112" s="94"/>
      <c r="F112" s="92"/>
      <c r="G112" s="94"/>
      <c r="H112" s="92"/>
      <c r="I112" s="92"/>
      <c r="J112" s="93"/>
      <c r="K112" s="92"/>
      <c r="L112" s="93"/>
      <c r="M112" s="93"/>
      <c r="N112" s="93"/>
      <c r="O112" s="93"/>
      <c r="P112" s="138"/>
      <c r="Q112" s="93"/>
      <c r="R112" s="93"/>
      <c r="S112" s="102"/>
      <c r="T112" s="93"/>
      <c r="U112" s="93"/>
      <c r="V112" s="93"/>
      <c r="W112" s="93"/>
      <c r="X112" s="93"/>
      <c r="Y112" s="120"/>
      <c r="Z112" s="93"/>
      <c r="AA112" s="102"/>
      <c r="AB112" s="93"/>
      <c r="AC112" s="93"/>
      <c r="AD112" s="93"/>
      <c r="AE112" s="93"/>
      <c r="AF112" s="93"/>
      <c r="AG112" s="93"/>
      <c r="AH112" s="93"/>
      <c r="AI112" s="93"/>
      <c r="AJ112" s="93"/>
      <c r="AK112" s="93"/>
      <c r="AL112" s="93"/>
      <c r="AM112" s="93"/>
      <c r="AN112" s="93"/>
      <c r="AU112" s="121"/>
    </row>
    <row r="113" spans="1:47" s="23" customFormat="1" ht="46.15" customHeight="1" x14ac:dyDescent="0.2">
      <c r="A113" s="91"/>
      <c r="B113" s="90"/>
      <c r="C113" s="92"/>
      <c r="D113" s="93"/>
      <c r="E113" s="94"/>
      <c r="F113" s="92"/>
      <c r="G113" s="94"/>
      <c r="H113" s="92"/>
      <c r="I113" s="92"/>
      <c r="J113" s="93"/>
      <c r="K113" s="92"/>
      <c r="L113" s="93"/>
      <c r="M113" s="93"/>
      <c r="N113" s="93"/>
      <c r="O113" s="93"/>
      <c r="P113" s="138"/>
      <c r="Q113" s="93"/>
      <c r="R113" s="93"/>
      <c r="S113" s="102"/>
      <c r="T113" s="93"/>
      <c r="U113" s="93"/>
      <c r="V113" s="93"/>
      <c r="W113" s="93"/>
      <c r="X113" s="93"/>
      <c r="Y113" s="120"/>
      <c r="Z113" s="93"/>
      <c r="AA113" s="102"/>
      <c r="AB113" s="93"/>
      <c r="AC113" s="93"/>
      <c r="AD113" s="93"/>
      <c r="AE113" s="93"/>
      <c r="AF113" s="93"/>
      <c r="AG113" s="93"/>
      <c r="AH113" s="93"/>
      <c r="AI113" s="93"/>
      <c r="AJ113" s="93"/>
      <c r="AK113" s="93"/>
      <c r="AL113" s="93"/>
      <c r="AM113" s="93"/>
      <c r="AN113" s="93"/>
      <c r="AU113" s="121"/>
    </row>
    <row r="114" spans="1:47" s="22" customFormat="1" ht="46.15" customHeight="1" x14ac:dyDescent="0.2">
      <c r="A114" s="91"/>
      <c r="B114" s="90"/>
      <c r="C114" s="92"/>
      <c r="D114" s="93"/>
      <c r="E114" s="94"/>
      <c r="F114" s="92"/>
      <c r="G114" s="94"/>
      <c r="H114" s="92"/>
      <c r="I114" s="92"/>
      <c r="J114" s="93"/>
      <c r="K114" s="92"/>
      <c r="L114" s="93"/>
      <c r="M114" s="93"/>
      <c r="N114" s="93"/>
      <c r="O114" s="93"/>
      <c r="P114" s="138"/>
      <c r="Q114" s="93"/>
      <c r="R114" s="93"/>
      <c r="S114" s="102"/>
      <c r="T114" s="93"/>
      <c r="U114" s="93"/>
      <c r="V114" s="93"/>
      <c r="W114" s="93"/>
      <c r="X114" s="93"/>
      <c r="Y114" s="120"/>
      <c r="Z114" s="93"/>
      <c r="AA114" s="102"/>
      <c r="AB114" s="93"/>
      <c r="AC114" s="93"/>
      <c r="AD114" s="93"/>
      <c r="AE114" s="93"/>
      <c r="AF114" s="93"/>
      <c r="AG114" s="93"/>
      <c r="AH114" s="93"/>
      <c r="AI114" s="93"/>
      <c r="AJ114" s="93"/>
      <c r="AK114" s="93"/>
      <c r="AL114" s="93"/>
      <c r="AM114" s="93"/>
      <c r="AN114" s="93"/>
      <c r="AQ114" s="23"/>
      <c r="AT114" s="23"/>
      <c r="AU114" s="121"/>
    </row>
    <row r="115" spans="1:47" s="23" customFormat="1" ht="46.15" customHeight="1" x14ac:dyDescent="0.2">
      <c r="A115" s="91"/>
      <c r="B115" s="95"/>
      <c r="C115" s="92"/>
      <c r="D115" s="93"/>
      <c r="E115" s="94"/>
      <c r="F115" s="92"/>
      <c r="G115" s="94"/>
      <c r="H115" s="92"/>
      <c r="I115" s="92"/>
      <c r="J115" s="93"/>
      <c r="K115" s="92"/>
      <c r="L115" s="93"/>
      <c r="M115" s="93"/>
      <c r="N115" s="93"/>
      <c r="O115" s="93"/>
      <c r="P115" s="138"/>
      <c r="Q115" s="93"/>
      <c r="R115" s="93"/>
      <c r="S115" s="102"/>
      <c r="T115" s="93"/>
      <c r="U115" s="93"/>
      <c r="V115" s="93"/>
      <c r="W115" s="93"/>
      <c r="X115" s="93"/>
      <c r="Y115" s="120"/>
      <c r="Z115" s="93"/>
      <c r="AA115" s="102"/>
      <c r="AB115" s="93"/>
      <c r="AC115" s="93"/>
      <c r="AD115" s="93"/>
      <c r="AE115" s="93"/>
      <c r="AF115" s="93"/>
      <c r="AG115" s="93"/>
      <c r="AH115" s="93"/>
      <c r="AI115" s="93"/>
      <c r="AJ115" s="93"/>
      <c r="AK115" s="93"/>
      <c r="AL115" s="93"/>
      <c r="AM115" s="93"/>
      <c r="AN115" s="93"/>
      <c r="AU115" s="121"/>
    </row>
    <row r="116" spans="1:47" s="22" customFormat="1" ht="46.15" customHeight="1" x14ac:dyDescent="0.2">
      <c r="A116" s="91"/>
      <c r="B116" s="90"/>
      <c r="C116" s="92"/>
      <c r="D116" s="93"/>
      <c r="E116" s="94"/>
      <c r="F116" s="92"/>
      <c r="G116" s="94"/>
      <c r="H116" s="92"/>
      <c r="I116" s="92"/>
      <c r="J116" s="93"/>
      <c r="K116" s="92"/>
      <c r="L116" s="93"/>
      <c r="M116" s="93"/>
      <c r="N116" s="93"/>
      <c r="O116" s="93"/>
      <c r="P116" s="138"/>
      <c r="Q116" s="93"/>
      <c r="R116" s="93"/>
      <c r="S116" s="102"/>
      <c r="T116" s="93"/>
      <c r="U116" s="93"/>
      <c r="V116" s="93"/>
      <c r="W116" s="93"/>
      <c r="X116" s="93"/>
      <c r="Y116" s="120"/>
      <c r="Z116" s="93"/>
      <c r="AA116" s="102"/>
      <c r="AB116" s="93"/>
      <c r="AC116" s="93"/>
      <c r="AD116" s="93"/>
      <c r="AE116" s="93"/>
      <c r="AF116" s="93"/>
      <c r="AG116" s="93"/>
      <c r="AH116" s="93"/>
      <c r="AI116" s="93"/>
      <c r="AJ116" s="93"/>
      <c r="AK116" s="93"/>
      <c r="AL116" s="93"/>
      <c r="AM116" s="93"/>
      <c r="AN116" s="93"/>
      <c r="AQ116" s="23"/>
      <c r="AT116" s="23"/>
      <c r="AU116" s="121"/>
    </row>
    <row r="117" spans="1:47" s="22" customFormat="1" ht="46.15" customHeight="1" x14ac:dyDescent="0.2">
      <c r="A117" s="91"/>
      <c r="B117" s="95"/>
      <c r="C117" s="92"/>
      <c r="D117" s="93"/>
      <c r="E117" s="94"/>
      <c r="F117" s="92"/>
      <c r="G117" s="94"/>
      <c r="H117" s="92"/>
      <c r="I117" s="92"/>
      <c r="J117" s="93"/>
      <c r="K117" s="92"/>
      <c r="L117" s="93"/>
      <c r="M117" s="93"/>
      <c r="N117" s="93"/>
      <c r="O117" s="93"/>
      <c r="P117" s="138"/>
      <c r="Q117" s="93"/>
      <c r="R117" s="93"/>
      <c r="S117" s="102"/>
      <c r="T117" s="93"/>
      <c r="U117" s="93"/>
      <c r="V117" s="93"/>
      <c r="W117" s="93"/>
      <c r="X117" s="93"/>
      <c r="Y117" s="120"/>
      <c r="Z117" s="93"/>
      <c r="AA117" s="102"/>
      <c r="AB117" s="93"/>
      <c r="AC117" s="93"/>
      <c r="AD117" s="93"/>
      <c r="AE117" s="93"/>
      <c r="AF117" s="93"/>
      <c r="AG117" s="93"/>
      <c r="AH117" s="93"/>
      <c r="AI117" s="93"/>
      <c r="AJ117" s="93"/>
      <c r="AK117" s="93"/>
      <c r="AL117" s="93"/>
      <c r="AM117" s="93"/>
      <c r="AN117" s="93"/>
      <c r="AQ117" s="23"/>
      <c r="AT117" s="23"/>
      <c r="AU117" s="121"/>
    </row>
    <row r="118" spans="1:47" s="22" customFormat="1" ht="46.15" customHeight="1" x14ac:dyDescent="0.2">
      <c r="A118" s="91"/>
      <c r="B118" s="95"/>
      <c r="C118" s="92"/>
      <c r="D118" s="93"/>
      <c r="E118" s="94"/>
      <c r="F118" s="92"/>
      <c r="G118" s="94"/>
      <c r="H118" s="92"/>
      <c r="I118" s="92"/>
      <c r="J118" s="93"/>
      <c r="K118" s="92"/>
      <c r="L118" s="93"/>
      <c r="M118" s="93"/>
      <c r="N118" s="93"/>
      <c r="O118" s="93"/>
      <c r="P118" s="138"/>
      <c r="Q118" s="93"/>
      <c r="R118" s="93"/>
      <c r="S118" s="102"/>
      <c r="T118" s="93"/>
      <c r="U118" s="93"/>
      <c r="V118" s="93"/>
      <c r="W118" s="93"/>
      <c r="X118" s="93"/>
      <c r="Y118" s="120"/>
      <c r="Z118" s="93"/>
      <c r="AA118" s="102"/>
      <c r="AB118" s="93"/>
      <c r="AC118" s="93"/>
      <c r="AD118" s="93"/>
      <c r="AE118" s="93"/>
      <c r="AF118" s="93"/>
      <c r="AG118" s="93"/>
      <c r="AH118" s="93"/>
      <c r="AI118" s="93"/>
      <c r="AJ118" s="93"/>
      <c r="AK118" s="93"/>
      <c r="AL118" s="93"/>
      <c r="AM118" s="93"/>
      <c r="AN118" s="93"/>
      <c r="AQ118" s="23"/>
      <c r="AT118" s="23"/>
      <c r="AU118" s="121"/>
    </row>
    <row r="119" spans="1:47" s="22" customFormat="1" ht="46.15" customHeight="1" x14ac:dyDescent="0.2">
      <c r="A119" s="91"/>
      <c r="B119" s="90"/>
      <c r="C119" s="92"/>
      <c r="D119" s="93"/>
      <c r="E119" s="94"/>
      <c r="F119" s="92"/>
      <c r="G119" s="94"/>
      <c r="H119" s="92"/>
      <c r="I119" s="92"/>
      <c r="J119" s="93"/>
      <c r="K119" s="92"/>
      <c r="L119" s="93"/>
      <c r="M119" s="93"/>
      <c r="N119" s="93"/>
      <c r="O119" s="93"/>
      <c r="P119" s="138"/>
      <c r="Q119" s="93"/>
      <c r="R119" s="93"/>
      <c r="S119" s="102"/>
      <c r="T119" s="93"/>
      <c r="U119" s="93"/>
      <c r="V119" s="93"/>
      <c r="W119" s="93"/>
      <c r="X119" s="93"/>
      <c r="Y119" s="120"/>
      <c r="Z119" s="93"/>
      <c r="AA119" s="102"/>
      <c r="AB119" s="93"/>
      <c r="AC119" s="93"/>
      <c r="AD119" s="93"/>
      <c r="AE119" s="93"/>
      <c r="AF119" s="93"/>
      <c r="AG119" s="93"/>
      <c r="AH119" s="93"/>
      <c r="AI119" s="93"/>
      <c r="AJ119" s="93"/>
      <c r="AK119" s="93"/>
      <c r="AL119" s="93"/>
      <c r="AM119" s="93"/>
      <c r="AN119" s="93"/>
      <c r="AQ119" s="23"/>
      <c r="AT119" s="23"/>
      <c r="AU119" s="121"/>
    </row>
    <row r="120" spans="1:47" s="22" customFormat="1" ht="46.15" customHeight="1" x14ac:dyDescent="0.2">
      <c r="A120" s="91"/>
      <c r="B120" s="95"/>
      <c r="C120" s="92"/>
      <c r="D120" s="93"/>
      <c r="E120" s="94"/>
      <c r="F120" s="92"/>
      <c r="G120" s="94"/>
      <c r="H120" s="92"/>
      <c r="I120" s="92"/>
      <c r="J120" s="93"/>
      <c r="K120" s="92"/>
      <c r="L120" s="93"/>
      <c r="M120" s="93"/>
      <c r="N120" s="93"/>
      <c r="O120" s="93"/>
      <c r="P120" s="138"/>
      <c r="Q120" s="93"/>
      <c r="R120" s="93"/>
      <c r="S120" s="102"/>
      <c r="T120" s="93"/>
      <c r="U120" s="93"/>
      <c r="V120" s="93"/>
      <c r="W120" s="93"/>
      <c r="X120" s="93"/>
      <c r="Y120" s="120"/>
      <c r="Z120" s="93"/>
      <c r="AA120" s="102"/>
      <c r="AB120" s="93"/>
      <c r="AC120" s="93"/>
      <c r="AD120" s="93"/>
      <c r="AE120" s="93"/>
      <c r="AF120" s="93"/>
      <c r="AG120" s="93"/>
      <c r="AH120" s="93"/>
      <c r="AI120" s="93"/>
      <c r="AJ120" s="93"/>
      <c r="AK120" s="93"/>
      <c r="AL120" s="93"/>
      <c r="AM120" s="93"/>
      <c r="AN120" s="93"/>
      <c r="AQ120" s="23"/>
      <c r="AT120" s="23"/>
      <c r="AU120" s="121"/>
    </row>
    <row r="121" spans="1:47" s="22" customFormat="1" ht="46.15" customHeight="1" x14ac:dyDescent="0.2">
      <c r="A121" s="91"/>
      <c r="B121" s="90"/>
      <c r="C121" s="92"/>
      <c r="D121" s="93"/>
      <c r="E121" s="94"/>
      <c r="F121" s="92"/>
      <c r="G121" s="94"/>
      <c r="H121" s="92"/>
      <c r="I121" s="92"/>
      <c r="J121" s="93"/>
      <c r="K121" s="92"/>
      <c r="L121" s="93"/>
      <c r="M121" s="93"/>
      <c r="N121" s="93"/>
      <c r="O121" s="93"/>
      <c r="P121" s="138"/>
      <c r="Q121" s="93"/>
      <c r="R121" s="93"/>
      <c r="S121" s="102"/>
      <c r="T121" s="93"/>
      <c r="U121" s="93"/>
      <c r="V121" s="93"/>
      <c r="W121" s="93"/>
      <c r="X121" s="93"/>
      <c r="Y121" s="120"/>
      <c r="Z121" s="93"/>
      <c r="AA121" s="102"/>
      <c r="AB121" s="93"/>
      <c r="AC121" s="93"/>
      <c r="AD121" s="93"/>
      <c r="AE121" s="93"/>
      <c r="AF121" s="93"/>
      <c r="AG121" s="93"/>
      <c r="AH121" s="93"/>
      <c r="AI121" s="93"/>
      <c r="AJ121" s="93"/>
      <c r="AK121" s="93"/>
      <c r="AL121" s="93"/>
      <c r="AM121" s="93"/>
      <c r="AN121" s="93"/>
      <c r="AQ121" s="23"/>
      <c r="AT121" s="23"/>
      <c r="AU121" s="121"/>
    </row>
    <row r="122" spans="1:47" s="22" customFormat="1" ht="46.15" customHeight="1" x14ac:dyDescent="0.2">
      <c r="A122" s="90"/>
      <c r="B122" s="90"/>
      <c r="C122" s="96"/>
      <c r="D122" s="90"/>
      <c r="E122" s="97"/>
      <c r="F122" s="91"/>
      <c r="G122" s="97"/>
      <c r="H122" s="91"/>
      <c r="I122" s="96"/>
      <c r="J122" s="99"/>
      <c r="K122" s="98"/>
      <c r="L122" s="99"/>
      <c r="M122" s="99"/>
      <c r="N122" s="99"/>
      <c r="O122" s="250"/>
      <c r="P122" s="138"/>
      <c r="Q122" s="99"/>
      <c r="R122" s="99"/>
      <c r="S122" s="103"/>
      <c r="T122" s="99"/>
      <c r="U122" s="116"/>
      <c r="V122" s="99"/>
      <c r="W122" s="116"/>
      <c r="X122" s="99"/>
      <c r="Y122" s="189"/>
      <c r="Z122" s="116"/>
      <c r="AA122" s="61"/>
      <c r="AB122" s="116"/>
      <c r="AC122" s="116"/>
      <c r="AD122" s="116"/>
      <c r="AE122" s="116"/>
      <c r="AF122" s="116"/>
      <c r="AG122" s="116"/>
      <c r="AH122" s="116"/>
      <c r="AI122" s="116"/>
      <c r="AJ122" s="116"/>
      <c r="AK122" s="116"/>
      <c r="AL122" s="116"/>
      <c r="AM122" s="116"/>
      <c r="AN122" s="116"/>
      <c r="AQ122" s="23"/>
      <c r="AT122" s="23"/>
      <c r="AU122" s="121"/>
    </row>
    <row r="123" spans="1:47" s="22" customFormat="1" ht="46.15" customHeight="1" x14ac:dyDescent="0.2">
      <c r="A123" s="90"/>
      <c r="B123" s="90"/>
      <c r="C123" s="96"/>
      <c r="D123" s="90"/>
      <c r="E123" s="97"/>
      <c r="F123" s="91"/>
      <c r="G123" s="97"/>
      <c r="H123" s="91"/>
      <c r="I123" s="96"/>
      <c r="J123" s="99"/>
      <c r="K123" s="98"/>
      <c r="L123" s="99"/>
      <c r="M123" s="99"/>
      <c r="N123" s="99"/>
      <c r="O123" s="250"/>
      <c r="P123" s="138"/>
      <c r="Q123" s="99"/>
      <c r="R123" s="99"/>
      <c r="S123" s="103"/>
      <c r="T123" s="99"/>
      <c r="U123" s="116"/>
      <c r="V123" s="99"/>
      <c r="W123" s="116"/>
      <c r="X123" s="99"/>
      <c r="Y123" s="189"/>
      <c r="Z123" s="116"/>
      <c r="AA123" s="61"/>
      <c r="AB123" s="116"/>
      <c r="AC123" s="116"/>
      <c r="AD123" s="116"/>
      <c r="AE123" s="116"/>
      <c r="AF123" s="116"/>
      <c r="AG123" s="116"/>
      <c r="AH123" s="116"/>
      <c r="AI123" s="116"/>
      <c r="AJ123" s="116"/>
      <c r="AK123" s="116"/>
      <c r="AL123" s="116"/>
      <c r="AM123" s="116"/>
      <c r="AN123" s="116"/>
      <c r="AQ123" s="23"/>
      <c r="AT123" s="23"/>
      <c r="AU123" s="121"/>
    </row>
    <row r="124" spans="1:47" s="22" customFormat="1" ht="46.15" customHeight="1" x14ac:dyDescent="0.2">
      <c r="A124" s="90"/>
      <c r="B124" s="90"/>
      <c r="C124" s="96"/>
      <c r="D124" s="90"/>
      <c r="E124" s="97"/>
      <c r="F124" s="91"/>
      <c r="G124" s="97"/>
      <c r="H124" s="91"/>
      <c r="I124" s="96"/>
      <c r="J124" s="99"/>
      <c r="K124" s="98"/>
      <c r="L124" s="99"/>
      <c r="M124" s="99"/>
      <c r="N124" s="99"/>
      <c r="O124" s="250"/>
      <c r="P124" s="138"/>
      <c r="Q124" s="99"/>
      <c r="R124" s="99"/>
      <c r="S124" s="103"/>
      <c r="T124" s="99"/>
      <c r="U124" s="116"/>
      <c r="V124" s="99"/>
      <c r="W124" s="116"/>
      <c r="X124" s="99"/>
      <c r="Y124" s="189"/>
      <c r="Z124" s="116"/>
      <c r="AA124" s="61"/>
      <c r="AB124" s="116"/>
      <c r="AC124" s="116"/>
      <c r="AD124" s="116"/>
      <c r="AE124" s="116"/>
      <c r="AF124" s="116"/>
      <c r="AG124" s="116"/>
      <c r="AH124" s="116"/>
      <c r="AI124" s="116"/>
      <c r="AJ124" s="116"/>
      <c r="AK124" s="116"/>
      <c r="AL124" s="116"/>
      <c r="AM124" s="116"/>
      <c r="AN124" s="116"/>
      <c r="AQ124" s="23"/>
      <c r="AT124" s="23"/>
      <c r="AU124" s="121"/>
    </row>
    <row r="125" spans="1:47" s="22" customFormat="1" ht="46.15" customHeight="1" x14ac:dyDescent="0.2">
      <c r="A125" s="90"/>
      <c r="B125" s="90"/>
      <c r="C125" s="96"/>
      <c r="D125" s="90"/>
      <c r="E125" s="97"/>
      <c r="F125" s="91"/>
      <c r="G125" s="97"/>
      <c r="H125" s="91"/>
      <c r="I125" s="96"/>
      <c r="J125" s="99"/>
      <c r="K125" s="98"/>
      <c r="L125" s="99"/>
      <c r="M125" s="99"/>
      <c r="N125" s="99"/>
      <c r="O125" s="250"/>
      <c r="P125" s="138"/>
      <c r="Q125" s="99"/>
      <c r="R125" s="99"/>
      <c r="S125" s="103"/>
      <c r="T125" s="99"/>
      <c r="U125" s="116"/>
      <c r="V125" s="99"/>
      <c r="W125" s="116"/>
      <c r="X125" s="99"/>
      <c r="Y125" s="189"/>
      <c r="Z125" s="116"/>
      <c r="AA125" s="61"/>
      <c r="AB125" s="116"/>
      <c r="AC125" s="116"/>
      <c r="AD125" s="116"/>
      <c r="AE125" s="116"/>
      <c r="AF125" s="116"/>
      <c r="AG125" s="116"/>
      <c r="AH125" s="116"/>
      <c r="AI125" s="116"/>
      <c r="AJ125" s="116"/>
      <c r="AK125" s="116"/>
      <c r="AL125" s="116"/>
      <c r="AM125" s="116"/>
      <c r="AN125" s="116"/>
      <c r="AQ125" s="23"/>
      <c r="AT125" s="23"/>
      <c r="AU125" s="121"/>
    </row>
    <row r="126" spans="1:47" s="22" customFormat="1" ht="46.15" customHeight="1" x14ac:dyDescent="0.2">
      <c r="A126" s="90"/>
      <c r="B126" s="90"/>
      <c r="C126" s="96"/>
      <c r="D126" s="90"/>
      <c r="E126" s="97"/>
      <c r="F126" s="91"/>
      <c r="G126" s="97"/>
      <c r="H126" s="91"/>
      <c r="I126" s="96"/>
      <c r="J126" s="99"/>
      <c r="K126" s="98"/>
      <c r="L126" s="99"/>
      <c r="M126" s="99"/>
      <c r="N126" s="99"/>
      <c r="O126" s="250"/>
      <c r="P126" s="138"/>
      <c r="Q126" s="99"/>
      <c r="R126" s="99"/>
      <c r="S126" s="103"/>
      <c r="T126" s="99"/>
      <c r="U126" s="116"/>
      <c r="V126" s="99"/>
      <c r="W126" s="116"/>
      <c r="X126" s="99"/>
      <c r="Y126" s="189"/>
      <c r="Z126" s="116"/>
      <c r="AA126" s="61"/>
      <c r="AB126" s="116"/>
      <c r="AC126" s="116"/>
      <c r="AD126" s="116"/>
      <c r="AE126" s="116"/>
      <c r="AF126" s="116"/>
      <c r="AG126" s="116"/>
      <c r="AH126" s="116"/>
      <c r="AI126" s="116"/>
      <c r="AJ126" s="116"/>
      <c r="AK126" s="116"/>
      <c r="AL126" s="116"/>
      <c r="AM126" s="116"/>
      <c r="AN126" s="116"/>
      <c r="AQ126" s="23"/>
      <c r="AT126" s="23"/>
      <c r="AU126" s="121"/>
    </row>
    <row r="127" spans="1:47" s="22" customFormat="1" ht="46.15" customHeight="1" x14ac:dyDescent="0.2">
      <c r="A127" s="90"/>
      <c r="B127" s="90"/>
      <c r="C127" s="96"/>
      <c r="D127" s="90"/>
      <c r="E127" s="97"/>
      <c r="F127" s="91"/>
      <c r="G127" s="97"/>
      <c r="H127" s="91"/>
      <c r="I127" s="96"/>
      <c r="J127" s="99"/>
      <c r="K127" s="98"/>
      <c r="L127" s="99"/>
      <c r="M127" s="99"/>
      <c r="N127" s="99"/>
      <c r="O127" s="250"/>
      <c r="P127" s="138"/>
      <c r="Q127" s="99"/>
      <c r="R127" s="99"/>
      <c r="S127" s="103"/>
      <c r="T127" s="99"/>
      <c r="U127" s="116"/>
      <c r="V127" s="99"/>
      <c r="W127" s="116"/>
      <c r="X127" s="99"/>
      <c r="Y127" s="189"/>
      <c r="Z127" s="116"/>
      <c r="AA127" s="61"/>
      <c r="AB127" s="116"/>
      <c r="AC127" s="116"/>
      <c r="AD127" s="116"/>
      <c r="AE127" s="116"/>
      <c r="AF127" s="116"/>
      <c r="AG127" s="116"/>
      <c r="AH127" s="116"/>
      <c r="AI127" s="116"/>
      <c r="AJ127" s="116"/>
      <c r="AK127" s="116"/>
      <c r="AL127" s="116"/>
      <c r="AM127" s="116"/>
      <c r="AN127" s="116"/>
      <c r="AQ127" s="23"/>
      <c r="AT127" s="23"/>
      <c r="AU127" s="121"/>
    </row>
    <row r="128" spans="1:47" s="22" customFormat="1" ht="46.15" customHeight="1" x14ac:dyDescent="0.2">
      <c r="A128" s="90"/>
      <c r="B128" s="90"/>
      <c r="C128" s="96"/>
      <c r="D128" s="90"/>
      <c r="E128" s="97"/>
      <c r="F128" s="91"/>
      <c r="G128" s="97"/>
      <c r="H128" s="91"/>
      <c r="I128" s="96"/>
      <c r="J128" s="99"/>
      <c r="K128" s="98"/>
      <c r="L128" s="99"/>
      <c r="M128" s="99"/>
      <c r="N128" s="99"/>
      <c r="O128" s="250"/>
      <c r="P128" s="138"/>
      <c r="Q128" s="99"/>
      <c r="R128" s="99"/>
      <c r="S128" s="103"/>
      <c r="T128" s="99"/>
      <c r="U128" s="116"/>
      <c r="V128" s="99"/>
      <c r="W128" s="116"/>
      <c r="X128" s="99"/>
      <c r="Y128" s="189"/>
      <c r="Z128" s="116"/>
      <c r="AA128" s="61"/>
      <c r="AB128" s="116"/>
      <c r="AC128" s="116"/>
      <c r="AD128" s="116"/>
      <c r="AE128" s="116"/>
      <c r="AF128" s="116"/>
      <c r="AG128" s="116"/>
      <c r="AH128" s="116"/>
      <c r="AI128" s="116"/>
      <c r="AJ128" s="116"/>
      <c r="AK128" s="116"/>
      <c r="AL128" s="116"/>
      <c r="AM128" s="116"/>
      <c r="AN128" s="116"/>
      <c r="AQ128" s="23"/>
      <c r="AT128" s="23"/>
      <c r="AU128" s="121"/>
    </row>
    <row r="129" spans="1:47" s="22" customFormat="1" ht="46.15" customHeight="1" x14ac:dyDescent="0.2">
      <c r="A129" s="90"/>
      <c r="B129" s="90"/>
      <c r="C129" s="96"/>
      <c r="D129" s="90"/>
      <c r="E129" s="97"/>
      <c r="F129" s="91"/>
      <c r="G129" s="97"/>
      <c r="H129" s="91"/>
      <c r="I129" s="96"/>
      <c r="J129" s="99"/>
      <c r="K129" s="98"/>
      <c r="L129" s="99"/>
      <c r="M129" s="99"/>
      <c r="N129" s="99"/>
      <c r="O129" s="250"/>
      <c r="P129" s="138"/>
      <c r="Q129" s="99"/>
      <c r="R129" s="99"/>
      <c r="S129" s="103"/>
      <c r="T129" s="99"/>
      <c r="U129" s="116"/>
      <c r="V129" s="99"/>
      <c r="W129" s="116"/>
      <c r="X129" s="99"/>
      <c r="Y129" s="189"/>
      <c r="Z129" s="116"/>
      <c r="AA129" s="61"/>
      <c r="AB129" s="116"/>
      <c r="AC129" s="116"/>
      <c r="AD129" s="116"/>
      <c r="AE129" s="116"/>
      <c r="AF129" s="116"/>
      <c r="AG129" s="116"/>
      <c r="AH129" s="116"/>
      <c r="AI129" s="116"/>
      <c r="AJ129" s="116"/>
      <c r="AK129" s="116"/>
      <c r="AL129" s="116"/>
      <c r="AM129" s="116"/>
      <c r="AN129" s="116"/>
      <c r="AQ129" s="23"/>
      <c r="AT129" s="23"/>
      <c r="AU129" s="121"/>
    </row>
    <row r="130" spans="1:47" s="22" customFormat="1" ht="46.15" customHeight="1" x14ac:dyDescent="0.2">
      <c r="A130" s="90"/>
      <c r="B130" s="90"/>
      <c r="C130" s="96"/>
      <c r="D130" s="90"/>
      <c r="E130" s="97"/>
      <c r="F130" s="91"/>
      <c r="G130" s="97"/>
      <c r="H130" s="91"/>
      <c r="I130" s="96"/>
      <c r="J130" s="99"/>
      <c r="K130" s="98"/>
      <c r="L130" s="99"/>
      <c r="M130" s="99"/>
      <c r="N130" s="99"/>
      <c r="O130" s="250"/>
      <c r="P130" s="138"/>
      <c r="Q130" s="99"/>
      <c r="R130" s="99"/>
      <c r="S130" s="103"/>
      <c r="T130" s="99"/>
      <c r="U130" s="116"/>
      <c r="V130" s="99"/>
      <c r="W130" s="116"/>
      <c r="X130" s="99"/>
      <c r="Y130" s="189"/>
      <c r="Z130" s="116"/>
      <c r="AA130" s="61"/>
      <c r="AB130" s="116"/>
      <c r="AC130" s="116"/>
      <c r="AD130" s="116"/>
      <c r="AE130" s="116"/>
      <c r="AF130" s="116"/>
      <c r="AG130" s="116"/>
      <c r="AH130" s="116"/>
      <c r="AI130" s="116"/>
      <c r="AJ130" s="116"/>
      <c r="AK130" s="116"/>
      <c r="AL130" s="116"/>
      <c r="AM130" s="116"/>
      <c r="AN130" s="116"/>
      <c r="AQ130" s="23"/>
      <c r="AT130" s="23"/>
      <c r="AU130" s="121"/>
    </row>
    <row r="131" spans="1:47" ht="46.15" customHeight="1" x14ac:dyDescent="0.2">
      <c r="A131" s="90"/>
      <c r="B131" s="90"/>
      <c r="C131" s="96"/>
      <c r="D131" s="90"/>
      <c r="E131" s="97"/>
      <c r="F131" s="91"/>
      <c r="G131" s="97"/>
      <c r="H131" s="91"/>
      <c r="I131" s="96"/>
      <c r="J131" s="99"/>
      <c r="K131" s="98"/>
      <c r="L131" s="99"/>
      <c r="M131" s="99"/>
      <c r="N131" s="99"/>
      <c r="O131" s="250"/>
      <c r="Q131" s="99"/>
      <c r="R131" s="99"/>
      <c r="S131" s="103"/>
      <c r="T131" s="99"/>
      <c r="U131" s="116"/>
      <c r="V131" s="99"/>
      <c r="W131" s="116"/>
      <c r="X131" s="99"/>
      <c r="Y131" s="189"/>
      <c r="Z131" s="116"/>
      <c r="AA131" s="61"/>
      <c r="AB131" s="116"/>
      <c r="AC131" s="116"/>
      <c r="AD131" s="116"/>
      <c r="AE131" s="116"/>
      <c r="AF131" s="116"/>
      <c r="AG131" s="116"/>
      <c r="AH131" s="116"/>
      <c r="AI131" s="116"/>
      <c r="AJ131" s="116"/>
      <c r="AK131" s="116"/>
      <c r="AL131" s="116"/>
      <c r="AM131" s="116"/>
      <c r="AN131" s="116"/>
    </row>
    <row r="132" spans="1:47" ht="46.15" customHeight="1" x14ac:dyDescent="0.2">
      <c r="A132" s="90"/>
      <c r="B132" s="90"/>
      <c r="C132" s="96"/>
      <c r="D132" s="90"/>
      <c r="E132" s="97"/>
      <c r="F132" s="91"/>
      <c r="G132" s="97"/>
      <c r="H132" s="91"/>
      <c r="I132" s="96"/>
      <c r="J132" s="99"/>
      <c r="K132" s="98"/>
      <c r="L132" s="99"/>
      <c r="M132" s="99"/>
      <c r="N132" s="99"/>
      <c r="O132" s="250"/>
      <c r="Q132" s="99"/>
      <c r="R132" s="99"/>
      <c r="S132" s="103"/>
      <c r="T132" s="99"/>
      <c r="U132" s="116"/>
      <c r="V132" s="99"/>
      <c r="W132" s="116"/>
      <c r="X132" s="99"/>
      <c r="Y132" s="189"/>
      <c r="Z132" s="116"/>
      <c r="AA132" s="61"/>
      <c r="AB132" s="116"/>
      <c r="AC132" s="116"/>
      <c r="AD132" s="116"/>
      <c r="AE132" s="116"/>
      <c r="AF132" s="116"/>
      <c r="AG132" s="116"/>
      <c r="AH132" s="116"/>
      <c r="AI132" s="116"/>
      <c r="AJ132" s="116"/>
      <c r="AK132" s="116"/>
      <c r="AL132" s="116"/>
      <c r="AM132" s="116"/>
      <c r="AN132" s="116"/>
    </row>
    <row r="133" spans="1:47" ht="46.15" customHeight="1" x14ac:dyDescent="0.2">
      <c r="A133" s="90"/>
      <c r="B133" s="90"/>
      <c r="C133" s="96"/>
      <c r="D133" s="90"/>
      <c r="E133" s="97"/>
      <c r="F133" s="91"/>
      <c r="G133" s="97"/>
      <c r="H133" s="91"/>
      <c r="I133" s="96"/>
      <c r="J133" s="99"/>
      <c r="K133" s="98"/>
      <c r="L133" s="99"/>
      <c r="M133" s="99"/>
      <c r="N133" s="99"/>
      <c r="O133" s="250"/>
      <c r="Q133" s="99"/>
      <c r="R133" s="99"/>
      <c r="S133" s="103"/>
      <c r="T133" s="99"/>
      <c r="U133" s="116"/>
      <c r="V133" s="99"/>
      <c r="W133" s="116"/>
      <c r="X133" s="99"/>
      <c r="Y133" s="189"/>
      <c r="Z133" s="116"/>
      <c r="AA133" s="61"/>
      <c r="AB133" s="116"/>
      <c r="AC133" s="116"/>
      <c r="AD133" s="116"/>
      <c r="AE133" s="116"/>
      <c r="AF133" s="116"/>
      <c r="AG133" s="116"/>
      <c r="AH133" s="116"/>
      <c r="AI133" s="116"/>
      <c r="AJ133" s="116"/>
      <c r="AK133" s="116"/>
      <c r="AL133" s="116"/>
      <c r="AM133" s="116"/>
      <c r="AN133" s="116"/>
    </row>
    <row r="134" spans="1:47" ht="46.15" customHeight="1" x14ac:dyDescent="0.2">
      <c r="A134" s="90"/>
      <c r="B134" s="90"/>
      <c r="C134" s="96"/>
      <c r="D134" s="90"/>
      <c r="E134" s="97"/>
      <c r="F134" s="91"/>
      <c r="G134" s="97"/>
      <c r="H134" s="91"/>
      <c r="I134" s="96"/>
      <c r="J134" s="99"/>
      <c r="K134" s="98"/>
      <c r="L134" s="99"/>
      <c r="M134" s="99"/>
      <c r="N134" s="99"/>
      <c r="O134" s="250"/>
      <c r="Q134" s="99"/>
      <c r="R134" s="99"/>
      <c r="S134" s="103"/>
      <c r="T134" s="99"/>
      <c r="U134" s="116"/>
      <c r="V134" s="99"/>
      <c r="W134" s="116"/>
      <c r="X134" s="99"/>
      <c r="Y134" s="189"/>
      <c r="Z134" s="116"/>
      <c r="AA134" s="61"/>
      <c r="AB134" s="116"/>
      <c r="AC134" s="116"/>
      <c r="AD134" s="116"/>
      <c r="AE134" s="116"/>
      <c r="AF134" s="116"/>
      <c r="AG134" s="116"/>
      <c r="AH134" s="116"/>
      <c r="AI134" s="116"/>
      <c r="AJ134" s="116"/>
      <c r="AK134" s="116"/>
      <c r="AL134" s="116"/>
      <c r="AM134" s="116"/>
      <c r="AN134" s="116"/>
    </row>
    <row r="135" spans="1:47" ht="46.15" customHeight="1" x14ac:dyDescent="0.2">
      <c r="A135" s="90"/>
      <c r="B135" s="90"/>
      <c r="C135" s="96"/>
      <c r="D135" s="90"/>
      <c r="E135" s="97"/>
      <c r="F135" s="91"/>
      <c r="G135" s="97"/>
      <c r="H135" s="91"/>
      <c r="I135" s="96"/>
      <c r="J135" s="99"/>
      <c r="K135" s="98"/>
      <c r="L135" s="99"/>
      <c r="M135" s="99"/>
      <c r="N135" s="99"/>
      <c r="O135" s="250"/>
      <c r="Q135" s="99"/>
      <c r="R135" s="99"/>
      <c r="S135" s="103"/>
      <c r="T135" s="99"/>
      <c r="U135" s="116"/>
      <c r="V135" s="99"/>
      <c r="W135" s="116"/>
      <c r="X135" s="99"/>
      <c r="Y135" s="189"/>
      <c r="Z135" s="116"/>
      <c r="AA135" s="61"/>
      <c r="AB135" s="116"/>
      <c r="AC135" s="116"/>
      <c r="AD135" s="116"/>
      <c r="AE135" s="116"/>
      <c r="AF135" s="116"/>
      <c r="AG135" s="116"/>
      <c r="AH135" s="116"/>
      <c r="AI135" s="116"/>
      <c r="AJ135" s="116"/>
      <c r="AK135" s="116"/>
      <c r="AL135" s="116"/>
      <c r="AM135" s="116"/>
      <c r="AN135" s="116"/>
    </row>
    <row r="136" spans="1:47" ht="46.15" customHeight="1" x14ac:dyDescent="0.2">
      <c r="A136" s="121"/>
      <c r="B136" s="121"/>
      <c r="C136" s="121"/>
      <c r="D136" s="121"/>
      <c r="E136" s="121"/>
      <c r="F136" s="121"/>
      <c r="G136" s="121"/>
      <c r="H136" s="121"/>
      <c r="I136" s="78"/>
      <c r="J136" s="101"/>
      <c r="K136" s="100"/>
      <c r="L136" s="101"/>
      <c r="M136" s="101"/>
      <c r="N136" s="101"/>
      <c r="O136" s="251"/>
      <c r="P136" s="150"/>
      <c r="Q136" s="101"/>
      <c r="R136" s="101"/>
      <c r="S136" s="104"/>
      <c r="T136" s="101"/>
      <c r="U136" s="117"/>
      <c r="V136" s="101"/>
      <c r="W136" s="117"/>
      <c r="X136" s="101"/>
      <c r="Y136" s="190"/>
      <c r="Z136" s="117"/>
      <c r="AA136" s="62"/>
      <c r="AB136" s="117"/>
      <c r="AC136" s="117"/>
      <c r="AD136" s="117"/>
      <c r="AE136" s="117"/>
      <c r="AF136" s="117"/>
      <c r="AG136" s="117"/>
      <c r="AH136" s="117"/>
      <c r="AI136" s="117"/>
      <c r="AJ136" s="117"/>
      <c r="AK136" s="117"/>
      <c r="AL136" s="117"/>
      <c r="AM136" s="117"/>
      <c r="AN136" s="117"/>
    </row>
    <row r="137" spans="1:47" ht="46.15" customHeight="1" x14ac:dyDescent="0.2">
      <c r="A137" s="121"/>
      <c r="B137" s="121"/>
      <c r="C137" s="121"/>
      <c r="D137" s="121"/>
      <c r="E137" s="121"/>
      <c r="F137" s="121"/>
      <c r="G137" s="121"/>
      <c r="H137" s="121"/>
      <c r="I137" s="78"/>
      <c r="J137" s="101"/>
      <c r="K137" s="100"/>
      <c r="L137" s="101"/>
      <c r="M137" s="101"/>
      <c r="N137" s="101"/>
      <c r="O137" s="251"/>
      <c r="P137" s="150"/>
      <c r="Q137" s="101"/>
      <c r="R137" s="101"/>
      <c r="S137" s="104"/>
      <c r="T137" s="101"/>
      <c r="U137" s="117"/>
      <c r="V137" s="101"/>
      <c r="W137" s="117"/>
      <c r="X137" s="101"/>
      <c r="Y137" s="190"/>
      <c r="Z137" s="117"/>
      <c r="AA137" s="62"/>
      <c r="AB137" s="117"/>
      <c r="AC137" s="117"/>
      <c r="AD137" s="117"/>
      <c r="AE137" s="117"/>
      <c r="AF137" s="117"/>
      <c r="AG137" s="117"/>
      <c r="AH137" s="117"/>
      <c r="AI137" s="117"/>
      <c r="AJ137" s="117"/>
      <c r="AK137" s="117"/>
      <c r="AL137" s="117"/>
      <c r="AM137" s="117"/>
      <c r="AN137" s="117"/>
    </row>
    <row r="138" spans="1:47" ht="46.15" customHeight="1" x14ac:dyDescent="0.2">
      <c r="A138" s="121"/>
      <c r="B138" s="121"/>
      <c r="C138" s="121"/>
      <c r="D138" s="121"/>
      <c r="E138" s="121"/>
      <c r="F138" s="121"/>
      <c r="G138" s="121"/>
      <c r="H138" s="121"/>
      <c r="I138" s="78"/>
      <c r="J138" s="101"/>
      <c r="K138" s="100"/>
      <c r="L138" s="101"/>
      <c r="M138" s="101"/>
      <c r="N138" s="101"/>
      <c r="O138" s="251"/>
      <c r="P138" s="150"/>
      <c r="Q138" s="101"/>
      <c r="R138" s="101"/>
      <c r="S138" s="104"/>
      <c r="T138" s="101"/>
      <c r="U138" s="117"/>
      <c r="V138" s="101"/>
      <c r="W138" s="117"/>
      <c r="X138" s="101"/>
      <c r="Y138" s="190"/>
      <c r="Z138" s="117"/>
      <c r="AA138" s="62"/>
      <c r="AB138" s="117"/>
      <c r="AC138" s="117"/>
      <c r="AD138" s="117"/>
      <c r="AE138" s="117"/>
      <c r="AF138" s="117"/>
      <c r="AG138" s="117"/>
      <c r="AH138" s="117"/>
      <c r="AI138" s="117"/>
      <c r="AJ138" s="117"/>
      <c r="AK138" s="117"/>
      <c r="AL138" s="117"/>
      <c r="AM138" s="117"/>
      <c r="AN138" s="117"/>
    </row>
    <row r="139" spans="1:47" ht="46.15" customHeight="1" x14ac:dyDescent="0.2">
      <c r="A139" s="121"/>
      <c r="B139" s="121"/>
      <c r="C139" s="121"/>
      <c r="D139" s="121"/>
      <c r="E139" s="121"/>
      <c r="F139" s="121"/>
      <c r="G139" s="121"/>
      <c r="H139" s="121"/>
      <c r="I139" s="78"/>
      <c r="J139" s="101"/>
      <c r="K139" s="100"/>
      <c r="L139" s="101"/>
      <c r="M139" s="101"/>
      <c r="N139" s="101"/>
      <c r="O139" s="251"/>
      <c r="P139" s="150"/>
      <c r="Q139" s="101"/>
      <c r="R139" s="101"/>
      <c r="S139" s="104"/>
      <c r="T139" s="101"/>
      <c r="U139" s="117"/>
      <c r="V139" s="101"/>
      <c r="W139" s="117"/>
      <c r="X139" s="101"/>
      <c r="Y139" s="190"/>
      <c r="Z139" s="117"/>
      <c r="AA139" s="62"/>
      <c r="AB139" s="117"/>
      <c r="AC139" s="117"/>
      <c r="AD139" s="117"/>
      <c r="AE139" s="117"/>
      <c r="AF139" s="117"/>
      <c r="AG139" s="117"/>
      <c r="AH139" s="117"/>
      <c r="AI139" s="117"/>
      <c r="AJ139" s="117"/>
      <c r="AK139" s="117"/>
      <c r="AL139" s="117"/>
      <c r="AM139" s="117"/>
      <c r="AN139" s="117"/>
    </row>
    <row r="140" spans="1:47" ht="46.15" customHeight="1" x14ac:dyDescent="0.2">
      <c r="A140" s="121"/>
      <c r="B140" s="121"/>
      <c r="C140" s="121"/>
      <c r="D140" s="121"/>
      <c r="E140" s="121"/>
      <c r="F140" s="121"/>
      <c r="G140" s="121"/>
      <c r="H140" s="121"/>
      <c r="I140" s="78"/>
      <c r="J140" s="101"/>
      <c r="K140" s="100"/>
      <c r="L140" s="101"/>
      <c r="M140" s="101"/>
      <c r="N140" s="101"/>
      <c r="O140" s="251"/>
      <c r="P140" s="150"/>
      <c r="Q140" s="101"/>
      <c r="R140" s="101"/>
      <c r="S140" s="104"/>
      <c r="T140" s="101"/>
      <c r="U140" s="117"/>
      <c r="V140" s="101"/>
      <c r="W140" s="117"/>
      <c r="X140" s="101"/>
      <c r="Y140" s="190"/>
      <c r="Z140" s="117"/>
      <c r="AA140" s="62"/>
      <c r="AB140" s="117"/>
      <c r="AC140" s="117"/>
      <c r="AD140" s="117"/>
      <c r="AE140" s="117"/>
      <c r="AF140" s="117"/>
      <c r="AG140" s="117"/>
      <c r="AH140" s="117"/>
      <c r="AI140" s="117"/>
      <c r="AJ140" s="117"/>
      <c r="AK140" s="117"/>
      <c r="AL140" s="117"/>
      <c r="AM140" s="117"/>
      <c r="AN140" s="117"/>
    </row>
    <row r="141" spans="1:47" ht="46.15" customHeight="1" x14ac:dyDescent="0.2">
      <c r="A141" s="121"/>
      <c r="B141" s="121"/>
      <c r="C141" s="121"/>
      <c r="D141" s="121"/>
      <c r="E141" s="121"/>
      <c r="F141" s="121"/>
      <c r="G141" s="121"/>
      <c r="H141" s="121"/>
      <c r="I141" s="78"/>
      <c r="J141" s="101"/>
      <c r="K141" s="100"/>
      <c r="L141" s="101"/>
      <c r="M141" s="101"/>
      <c r="N141" s="101"/>
      <c r="O141" s="251"/>
      <c r="P141" s="150"/>
      <c r="Q141" s="101"/>
      <c r="R141" s="101"/>
      <c r="S141" s="104"/>
      <c r="T141" s="101"/>
      <c r="U141" s="117"/>
      <c r="V141" s="101"/>
      <c r="W141" s="117"/>
      <c r="X141" s="101"/>
      <c r="Y141" s="190"/>
      <c r="Z141" s="117"/>
      <c r="AA141" s="62"/>
      <c r="AB141" s="117"/>
      <c r="AC141" s="117"/>
      <c r="AD141" s="117"/>
      <c r="AE141" s="117"/>
      <c r="AF141" s="117"/>
      <c r="AG141" s="117"/>
      <c r="AH141" s="117"/>
      <c r="AI141" s="117"/>
      <c r="AJ141" s="117"/>
      <c r="AK141" s="117"/>
      <c r="AL141" s="117"/>
      <c r="AM141" s="117"/>
      <c r="AN141" s="117"/>
    </row>
    <row r="142" spans="1:47" ht="46.15" customHeight="1" x14ac:dyDescent="0.2">
      <c r="A142" s="121"/>
      <c r="B142" s="121"/>
      <c r="C142" s="121"/>
      <c r="D142" s="121"/>
      <c r="E142" s="121"/>
      <c r="F142" s="121"/>
      <c r="G142" s="121"/>
      <c r="H142" s="121"/>
      <c r="I142" s="78"/>
      <c r="J142" s="101"/>
      <c r="K142" s="100"/>
      <c r="L142" s="101"/>
      <c r="M142" s="101"/>
      <c r="N142" s="101"/>
      <c r="O142" s="251"/>
      <c r="P142" s="150"/>
      <c r="Q142" s="101"/>
      <c r="R142" s="101"/>
      <c r="S142" s="104"/>
      <c r="T142" s="101"/>
      <c r="U142" s="117"/>
      <c r="V142" s="101"/>
      <c r="W142" s="117"/>
      <c r="X142" s="101"/>
      <c r="Y142" s="190"/>
      <c r="Z142" s="117"/>
      <c r="AA142" s="62"/>
      <c r="AB142" s="117"/>
      <c r="AC142" s="117"/>
      <c r="AD142" s="117"/>
      <c r="AE142" s="117"/>
      <c r="AF142" s="117"/>
      <c r="AG142" s="117"/>
      <c r="AH142" s="117"/>
      <c r="AI142" s="117"/>
      <c r="AJ142" s="117"/>
      <c r="AK142" s="117"/>
      <c r="AL142" s="117"/>
      <c r="AM142" s="117"/>
      <c r="AN142" s="117"/>
    </row>
    <row r="143" spans="1:47" ht="46.15" customHeight="1" x14ac:dyDescent="0.2">
      <c r="A143" s="121"/>
      <c r="B143" s="121"/>
      <c r="C143" s="121"/>
      <c r="D143" s="121"/>
      <c r="E143" s="121"/>
      <c r="F143" s="121"/>
      <c r="G143" s="121"/>
      <c r="H143" s="121"/>
      <c r="I143" s="78"/>
      <c r="J143" s="101"/>
      <c r="K143" s="100"/>
      <c r="L143" s="101"/>
      <c r="M143" s="101"/>
      <c r="N143" s="101"/>
      <c r="O143" s="251"/>
      <c r="P143" s="150"/>
      <c r="Q143" s="101"/>
      <c r="R143" s="101"/>
      <c r="S143" s="104"/>
      <c r="T143" s="101"/>
      <c r="U143" s="117"/>
      <c r="V143" s="101"/>
      <c r="W143" s="117"/>
      <c r="X143" s="101"/>
      <c r="Y143" s="190"/>
      <c r="Z143" s="117"/>
      <c r="AA143" s="62"/>
      <c r="AB143" s="117"/>
      <c r="AC143" s="117"/>
      <c r="AD143" s="117"/>
      <c r="AE143" s="117"/>
      <c r="AF143" s="117"/>
      <c r="AG143" s="117"/>
      <c r="AH143" s="117"/>
      <c r="AI143" s="117"/>
      <c r="AJ143" s="117"/>
      <c r="AK143" s="117"/>
      <c r="AL143" s="117"/>
      <c r="AM143" s="117"/>
      <c r="AN143" s="117"/>
    </row>
    <row r="144" spans="1:47" ht="46.15" customHeight="1" x14ac:dyDescent="0.2">
      <c r="A144" s="121"/>
      <c r="B144" s="121"/>
      <c r="C144" s="121"/>
      <c r="D144" s="121"/>
      <c r="E144" s="121"/>
      <c r="F144" s="121"/>
      <c r="G144" s="121"/>
      <c r="H144" s="121"/>
      <c r="I144" s="78"/>
      <c r="J144" s="101"/>
      <c r="K144" s="100"/>
      <c r="L144" s="101"/>
      <c r="M144" s="101"/>
      <c r="N144" s="101"/>
      <c r="O144" s="251"/>
      <c r="P144" s="150"/>
      <c r="Q144" s="101"/>
      <c r="R144" s="101"/>
      <c r="S144" s="104"/>
      <c r="T144" s="101"/>
      <c r="U144" s="117"/>
      <c r="V144" s="101"/>
      <c r="W144" s="117"/>
      <c r="X144" s="101"/>
      <c r="Y144" s="190"/>
      <c r="Z144" s="117"/>
      <c r="AA144" s="62"/>
      <c r="AB144" s="117"/>
      <c r="AC144" s="117"/>
      <c r="AD144" s="117"/>
      <c r="AE144" s="117"/>
      <c r="AF144" s="117"/>
      <c r="AG144" s="117"/>
      <c r="AH144" s="117"/>
      <c r="AI144" s="117"/>
      <c r="AJ144" s="117"/>
      <c r="AK144" s="117"/>
      <c r="AL144" s="117"/>
      <c r="AM144" s="117"/>
      <c r="AN144" s="117"/>
    </row>
    <row r="145" spans="1:40" ht="46.15" customHeight="1" x14ac:dyDescent="0.2">
      <c r="A145" s="121"/>
      <c r="B145" s="121"/>
      <c r="C145" s="121"/>
      <c r="D145" s="121"/>
      <c r="E145" s="121"/>
      <c r="F145" s="121"/>
      <c r="G145" s="121"/>
      <c r="H145" s="121"/>
      <c r="I145" s="78"/>
      <c r="J145" s="101"/>
      <c r="K145" s="100"/>
      <c r="L145" s="101"/>
      <c r="M145" s="101"/>
      <c r="N145" s="101"/>
      <c r="O145" s="251"/>
      <c r="P145" s="150"/>
      <c r="Q145" s="101"/>
      <c r="R145" s="101"/>
      <c r="S145" s="104"/>
      <c r="T145" s="101"/>
      <c r="U145" s="117"/>
      <c r="V145" s="101"/>
      <c r="W145" s="117"/>
      <c r="X145" s="101"/>
      <c r="Y145" s="190"/>
      <c r="Z145" s="117"/>
      <c r="AA145" s="62"/>
      <c r="AB145" s="117"/>
      <c r="AC145" s="117"/>
      <c r="AD145" s="117"/>
      <c r="AE145" s="117"/>
      <c r="AF145" s="117"/>
      <c r="AG145" s="117"/>
      <c r="AH145" s="117"/>
      <c r="AI145" s="117"/>
      <c r="AJ145" s="117"/>
      <c r="AK145" s="117"/>
      <c r="AL145" s="117"/>
      <c r="AM145" s="117"/>
      <c r="AN145" s="117"/>
    </row>
    <row r="146" spans="1:40" ht="46.15" customHeight="1" x14ac:dyDescent="0.2">
      <c r="A146" s="21"/>
      <c r="B146" s="21"/>
      <c r="C146" s="21"/>
      <c r="D146" s="21"/>
      <c r="E146" s="21"/>
      <c r="F146" s="21"/>
      <c r="G146" s="21"/>
      <c r="H146" s="21"/>
      <c r="I146" s="78"/>
      <c r="J146" s="101"/>
      <c r="K146" s="100"/>
      <c r="L146" s="101"/>
      <c r="M146" s="101"/>
      <c r="N146" s="101"/>
      <c r="O146" s="251"/>
      <c r="P146" s="150"/>
      <c r="Q146" s="101"/>
      <c r="R146" s="101"/>
      <c r="S146" s="104"/>
      <c r="T146" s="101"/>
      <c r="U146" s="117"/>
      <c r="V146" s="101"/>
      <c r="W146" s="117"/>
      <c r="X146" s="101"/>
      <c r="Y146" s="190"/>
      <c r="Z146" s="117"/>
      <c r="AA146" s="62"/>
      <c r="AB146" s="117"/>
      <c r="AC146" s="117"/>
      <c r="AD146" s="117"/>
      <c r="AE146" s="117"/>
      <c r="AF146" s="117"/>
      <c r="AG146" s="117"/>
      <c r="AH146" s="117"/>
      <c r="AI146" s="117"/>
      <c r="AJ146" s="117"/>
      <c r="AK146" s="117"/>
      <c r="AL146" s="117"/>
      <c r="AM146" s="117"/>
      <c r="AN146" s="117"/>
    </row>
    <row r="147" spans="1:40" ht="46.15" customHeight="1" x14ac:dyDescent="0.2">
      <c r="A147" s="21"/>
      <c r="B147" s="21"/>
      <c r="C147" s="21"/>
      <c r="D147" s="21"/>
      <c r="E147" s="21"/>
      <c r="F147" s="21"/>
      <c r="G147" s="21"/>
      <c r="H147" s="21"/>
      <c r="I147" s="78"/>
      <c r="J147" s="101"/>
      <c r="K147" s="100"/>
      <c r="L147" s="101"/>
      <c r="M147" s="101"/>
      <c r="N147" s="101"/>
      <c r="O147" s="251"/>
      <c r="P147" s="150"/>
      <c r="Q147" s="101"/>
      <c r="R147" s="101"/>
      <c r="S147" s="104"/>
      <c r="T147" s="101"/>
      <c r="U147" s="117"/>
      <c r="V147" s="101"/>
      <c r="W147" s="117"/>
      <c r="X147" s="101"/>
      <c r="Y147" s="190"/>
      <c r="Z147" s="117"/>
      <c r="AA147" s="62"/>
      <c r="AB147" s="117"/>
      <c r="AC147" s="117"/>
      <c r="AD147" s="117"/>
      <c r="AE147" s="117"/>
      <c r="AF147" s="117"/>
      <c r="AG147" s="117"/>
      <c r="AH147" s="117"/>
      <c r="AI147" s="117"/>
      <c r="AJ147" s="117"/>
      <c r="AK147" s="117"/>
      <c r="AL147" s="117"/>
      <c r="AM147" s="117"/>
      <c r="AN147" s="117"/>
    </row>
    <row r="148" spans="1:40" ht="46.15" customHeight="1" x14ac:dyDescent="0.2">
      <c r="A148" s="21"/>
      <c r="B148" s="21"/>
      <c r="C148" s="21"/>
      <c r="D148" s="21"/>
      <c r="E148" s="21"/>
      <c r="F148" s="21"/>
      <c r="G148" s="21"/>
      <c r="H148" s="21"/>
      <c r="I148" s="78"/>
      <c r="J148" s="101"/>
      <c r="K148" s="100"/>
      <c r="L148" s="101"/>
      <c r="M148" s="101"/>
      <c r="N148" s="101"/>
      <c r="O148" s="251"/>
      <c r="P148" s="150"/>
      <c r="Q148" s="101"/>
      <c r="R148" s="101"/>
      <c r="S148" s="104"/>
      <c r="T148" s="101"/>
      <c r="U148" s="117"/>
      <c r="V148" s="101"/>
      <c r="W148" s="117"/>
      <c r="X148" s="101"/>
      <c r="Y148" s="190"/>
      <c r="Z148" s="117"/>
      <c r="AA148" s="62"/>
      <c r="AB148" s="117"/>
      <c r="AC148" s="117"/>
      <c r="AD148" s="117"/>
      <c r="AE148" s="117"/>
      <c r="AF148" s="117"/>
      <c r="AG148" s="117"/>
      <c r="AH148" s="117"/>
      <c r="AI148" s="117"/>
      <c r="AJ148" s="117"/>
      <c r="AK148" s="117"/>
      <c r="AL148" s="117"/>
      <c r="AM148" s="117"/>
      <c r="AN148" s="117"/>
    </row>
    <row r="149" spans="1:40" ht="46.15" customHeight="1" x14ac:dyDescent="0.2">
      <c r="A149" s="21"/>
      <c r="B149" s="21"/>
      <c r="C149" s="21"/>
      <c r="D149" s="21"/>
      <c r="E149" s="21"/>
      <c r="F149" s="21"/>
      <c r="G149" s="21"/>
      <c r="H149" s="21"/>
      <c r="I149" s="78"/>
      <c r="J149" s="101"/>
      <c r="K149" s="100"/>
      <c r="L149" s="101"/>
      <c r="M149" s="101"/>
      <c r="N149" s="101"/>
      <c r="O149" s="251"/>
      <c r="P149" s="150"/>
      <c r="Q149" s="101"/>
      <c r="R149" s="101"/>
      <c r="S149" s="104"/>
      <c r="T149" s="101"/>
      <c r="U149" s="117"/>
      <c r="V149" s="101"/>
      <c r="W149" s="117"/>
      <c r="X149" s="101"/>
      <c r="Y149" s="190"/>
      <c r="Z149" s="117"/>
      <c r="AA149" s="62"/>
      <c r="AB149" s="117"/>
      <c r="AC149" s="117"/>
      <c r="AD149" s="117"/>
      <c r="AE149" s="117"/>
      <c r="AF149" s="117"/>
      <c r="AG149" s="117"/>
      <c r="AH149" s="117"/>
      <c r="AI149" s="117"/>
      <c r="AJ149" s="117"/>
      <c r="AK149" s="117"/>
      <c r="AL149" s="117"/>
      <c r="AM149" s="117"/>
      <c r="AN149" s="117"/>
    </row>
    <row r="150" spans="1:40" ht="46.15" customHeight="1" x14ac:dyDescent="0.2">
      <c r="A150" s="21"/>
      <c r="B150" s="21"/>
      <c r="C150" s="21"/>
      <c r="D150" s="21"/>
      <c r="E150" s="21"/>
      <c r="F150" s="21"/>
      <c r="G150" s="21"/>
      <c r="H150" s="21"/>
      <c r="I150" s="78"/>
      <c r="J150" s="101"/>
      <c r="K150" s="100"/>
      <c r="L150" s="101"/>
      <c r="M150" s="101"/>
      <c r="N150" s="101"/>
      <c r="O150" s="251"/>
      <c r="P150" s="150"/>
      <c r="Q150" s="101"/>
      <c r="R150" s="101"/>
      <c r="S150" s="104"/>
      <c r="T150" s="101"/>
      <c r="U150" s="117"/>
      <c r="V150" s="101"/>
      <c r="W150" s="117"/>
      <c r="X150" s="101"/>
      <c r="Y150" s="190"/>
      <c r="Z150" s="117"/>
      <c r="AA150" s="62"/>
      <c r="AB150" s="117"/>
      <c r="AC150" s="117"/>
      <c r="AD150" s="117"/>
      <c r="AE150" s="117"/>
      <c r="AF150" s="117"/>
      <c r="AG150" s="117"/>
      <c r="AH150" s="117"/>
      <c r="AI150" s="117"/>
      <c r="AJ150" s="117"/>
      <c r="AK150" s="117"/>
      <c r="AL150" s="117"/>
      <c r="AM150" s="117"/>
      <c r="AN150" s="117"/>
    </row>
    <row r="151" spans="1:40" ht="46.15" customHeight="1" x14ac:dyDescent="0.2">
      <c r="A151" s="21"/>
      <c r="B151" s="21"/>
      <c r="C151" s="21"/>
      <c r="D151" s="21"/>
      <c r="E151" s="21"/>
      <c r="F151" s="21"/>
      <c r="G151" s="21"/>
      <c r="H151" s="21"/>
      <c r="I151" s="78"/>
      <c r="J151" s="101"/>
      <c r="K151" s="100"/>
      <c r="L151" s="101"/>
      <c r="M151" s="101"/>
      <c r="N151" s="101"/>
      <c r="O151" s="251"/>
      <c r="P151" s="150"/>
      <c r="Q151" s="101"/>
      <c r="R151" s="101"/>
      <c r="S151" s="104"/>
      <c r="T151" s="101"/>
      <c r="U151" s="117"/>
      <c r="V151" s="101"/>
      <c r="W151" s="117"/>
      <c r="X151" s="101"/>
      <c r="Y151" s="190"/>
      <c r="Z151" s="117"/>
      <c r="AA151" s="62"/>
      <c r="AB151" s="117"/>
      <c r="AC151" s="117"/>
      <c r="AD151" s="117"/>
      <c r="AE151" s="117"/>
      <c r="AF151" s="117"/>
      <c r="AG151" s="117"/>
      <c r="AH151" s="117"/>
      <c r="AI151" s="117"/>
      <c r="AJ151" s="117"/>
      <c r="AK151" s="117"/>
      <c r="AL151" s="117"/>
      <c r="AM151" s="117"/>
      <c r="AN151" s="117"/>
    </row>
    <row r="152" spans="1:40" ht="46.15" customHeight="1" x14ac:dyDescent="0.2">
      <c r="A152" s="21"/>
      <c r="B152" s="21"/>
      <c r="C152" s="21"/>
      <c r="D152" s="21"/>
      <c r="E152" s="21"/>
      <c r="F152" s="21"/>
      <c r="G152" s="21"/>
      <c r="H152" s="21"/>
      <c r="I152" s="78"/>
      <c r="J152" s="101"/>
      <c r="K152" s="100"/>
      <c r="L152" s="101"/>
      <c r="M152" s="101"/>
      <c r="N152" s="101"/>
      <c r="O152" s="251"/>
      <c r="P152" s="150"/>
      <c r="Q152" s="101"/>
      <c r="R152" s="101"/>
      <c r="S152" s="104"/>
      <c r="T152" s="101"/>
      <c r="U152" s="117"/>
      <c r="V152" s="101"/>
      <c r="W152" s="117"/>
      <c r="X152" s="101"/>
      <c r="Y152" s="190"/>
      <c r="Z152" s="117"/>
      <c r="AA152" s="62"/>
      <c r="AB152" s="117"/>
      <c r="AC152" s="117"/>
      <c r="AD152" s="117"/>
      <c r="AE152" s="117"/>
      <c r="AF152" s="117"/>
      <c r="AG152" s="117"/>
      <c r="AH152" s="117"/>
      <c r="AI152" s="117"/>
      <c r="AJ152" s="117"/>
      <c r="AK152" s="117"/>
      <c r="AL152" s="117"/>
      <c r="AM152" s="117"/>
      <c r="AN152" s="117"/>
    </row>
    <row r="153" spans="1:40" ht="46.15" customHeight="1" x14ac:dyDescent="0.2">
      <c r="A153" s="21"/>
      <c r="B153" s="21"/>
      <c r="C153" s="21"/>
      <c r="D153" s="21"/>
      <c r="E153" s="21"/>
      <c r="F153" s="21"/>
      <c r="G153" s="21"/>
      <c r="H153" s="21"/>
      <c r="I153" s="78"/>
      <c r="J153" s="101"/>
      <c r="K153" s="100"/>
      <c r="L153" s="101"/>
      <c r="M153" s="101"/>
      <c r="N153" s="101"/>
      <c r="O153" s="251"/>
      <c r="P153" s="150"/>
      <c r="Q153" s="101"/>
      <c r="R153" s="101"/>
      <c r="S153" s="104"/>
      <c r="T153" s="101"/>
      <c r="U153" s="117"/>
      <c r="V153" s="101"/>
      <c r="W153" s="117"/>
      <c r="X153" s="101"/>
      <c r="Y153" s="190"/>
      <c r="Z153" s="117"/>
      <c r="AA153" s="62"/>
      <c r="AB153" s="117"/>
      <c r="AC153" s="117"/>
      <c r="AD153" s="117"/>
      <c r="AE153" s="117"/>
      <c r="AF153" s="117"/>
      <c r="AG153" s="117"/>
      <c r="AH153" s="117"/>
      <c r="AI153" s="117"/>
      <c r="AJ153" s="117"/>
      <c r="AK153" s="117"/>
      <c r="AL153" s="117"/>
      <c r="AM153" s="117"/>
      <c r="AN153" s="117"/>
    </row>
    <row r="154" spans="1:40" ht="46.15" customHeight="1" x14ac:dyDescent="0.2">
      <c r="A154" s="21"/>
      <c r="B154" s="21"/>
      <c r="C154" s="21"/>
      <c r="D154" s="21"/>
      <c r="E154" s="21"/>
      <c r="F154" s="21"/>
      <c r="G154" s="21"/>
      <c r="H154" s="21"/>
      <c r="I154" s="78"/>
      <c r="J154" s="101"/>
      <c r="K154" s="100"/>
      <c r="L154" s="101"/>
      <c r="M154" s="101"/>
      <c r="N154" s="101"/>
      <c r="O154" s="251"/>
      <c r="P154" s="150"/>
      <c r="Q154" s="101"/>
      <c r="R154" s="101"/>
      <c r="S154" s="104"/>
      <c r="T154" s="101"/>
      <c r="U154" s="117"/>
      <c r="V154" s="101"/>
      <c r="W154" s="117"/>
      <c r="X154" s="101"/>
      <c r="Y154" s="190"/>
      <c r="Z154" s="117"/>
      <c r="AA154" s="62"/>
      <c r="AB154" s="117"/>
      <c r="AC154" s="117"/>
      <c r="AD154" s="117"/>
      <c r="AE154" s="117"/>
      <c r="AF154" s="117"/>
      <c r="AG154" s="117"/>
      <c r="AH154" s="117"/>
      <c r="AI154" s="117"/>
      <c r="AJ154" s="117"/>
      <c r="AK154" s="117"/>
      <c r="AL154" s="117"/>
      <c r="AM154" s="117"/>
      <c r="AN154" s="117"/>
    </row>
    <row r="155" spans="1:40" ht="46.15" customHeight="1" x14ac:dyDescent="0.2">
      <c r="A155" s="21"/>
      <c r="B155" s="21"/>
      <c r="C155" s="21"/>
      <c r="D155" s="21"/>
      <c r="E155" s="21"/>
      <c r="F155" s="21"/>
      <c r="G155" s="21"/>
      <c r="H155" s="21"/>
      <c r="I155" s="78"/>
      <c r="J155" s="101"/>
      <c r="K155" s="100"/>
      <c r="L155" s="101"/>
      <c r="M155" s="101"/>
      <c r="N155" s="101"/>
      <c r="O155" s="251"/>
      <c r="P155" s="150"/>
      <c r="Q155" s="101"/>
      <c r="R155" s="101"/>
      <c r="S155" s="104"/>
      <c r="T155" s="101"/>
      <c r="U155" s="117"/>
      <c r="V155" s="101"/>
      <c r="W155" s="117"/>
      <c r="X155" s="101"/>
      <c r="Y155" s="190"/>
      <c r="Z155" s="117"/>
      <c r="AA155" s="62"/>
      <c r="AB155" s="117"/>
      <c r="AC155" s="117"/>
      <c r="AD155" s="117"/>
      <c r="AE155" s="117"/>
      <c r="AF155" s="117"/>
      <c r="AG155" s="117"/>
      <c r="AH155" s="117"/>
      <c r="AI155" s="117"/>
      <c r="AJ155" s="117"/>
      <c r="AK155" s="117"/>
      <c r="AL155" s="117"/>
      <c r="AM155" s="117"/>
      <c r="AN155" s="117"/>
    </row>
    <row r="156" spans="1:40" ht="46.15" customHeight="1" x14ac:dyDescent="0.2">
      <c r="A156" s="21"/>
      <c r="B156" s="21"/>
      <c r="C156" s="21"/>
      <c r="D156" s="21"/>
      <c r="E156" s="21"/>
      <c r="F156" s="21"/>
      <c r="G156" s="21"/>
      <c r="H156" s="21"/>
      <c r="I156" s="78"/>
      <c r="J156" s="101"/>
      <c r="K156" s="100"/>
      <c r="L156" s="101"/>
      <c r="M156" s="101"/>
      <c r="N156" s="101"/>
      <c r="O156" s="251"/>
      <c r="P156" s="150"/>
      <c r="Q156" s="101"/>
      <c r="R156" s="101"/>
      <c r="S156" s="104"/>
      <c r="T156" s="101"/>
      <c r="U156" s="117"/>
      <c r="V156" s="101"/>
      <c r="W156" s="117"/>
      <c r="X156" s="101"/>
      <c r="Y156" s="190"/>
      <c r="Z156" s="117"/>
      <c r="AA156" s="62"/>
      <c r="AB156" s="117"/>
      <c r="AC156" s="117"/>
      <c r="AD156" s="117"/>
      <c r="AE156" s="117"/>
      <c r="AF156" s="117"/>
      <c r="AG156" s="117"/>
      <c r="AH156" s="117"/>
      <c r="AI156" s="117"/>
      <c r="AJ156" s="117"/>
      <c r="AK156" s="117"/>
      <c r="AL156" s="117"/>
      <c r="AM156" s="117"/>
      <c r="AN156" s="117"/>
    </row>
    <row r="157" spans="1:40" ht="46.15" customHeight="1" x14ac:dyDescent="0.2">
      <c r="A157" s="21"/>
      <c r="B157" s="21"/>
      <c r="C157" s="21"/>
      <c r="D157" s="21"/>
      <c r="E157" s="21"/>
      <c r="F157" s="21"/>
      <c r="G157" s="21"/>
      <c r="H157" s="21"/>
      <c r="I157" s="78"/>
      <c r="J157" s="101"/>
      <c r="K157" s="100"/>
      <c r="L157" s="101"/>
      <c r="M157" s="101"/>
      <c r="N157" s="101"/>
      <c r="O157" s="251"/>
      <c r="P157" s="150"/>
      <c r="Q157" s="101"/>
      <c r="R157" s="101"/>
      <c r="S157" s="104"/>
      <c r="T157" s="101"/>
      <c r="U157" s="117"/>
      <c r="V157" s="101"/>
      <c r="W157" s="117"/>
      <c r="X157" s="101"/>
      <c r="Y157" s="190"/>
      <c r="Z157" s="117"/>
      <c r="AA157" s="62"/>
      <c r="AB157" s="117"/>
      <c r="AC157" s="117"/>
      <c r="AD157" s="117"/>
      <c r="AE157" s="117"/>
      <c r="AF157" s="117"/>
      <c r="AG157" s="117"/>
      <c r="AH157" s="117"/>
      <c r="AI157" s="117"/>
      <c r="AJ157" s="117"/>
      <c r="AK157" s="117"/>
      <c r="AL157" s="117"/>
      <c r="AM157" s="117"/>
      <c r="AN157" s="117"/>
    </row>
    <row r="158" spans="1:40" ht="46.15" customHeight="1" x14ac:dyDescent="0.2">
      <c r="A158" s="21"/>
      <c r="B158" s="21"/>
      <c r="C158" s="21"/>
      <c r="D158" s="21"/>
      <c r="E158" s="21"/>
      <c r="F158" s="21"/>
      <c r="G158" s="21"/>
      <c r="H158" s="21"/>
      <c r="I158" s="78"/>
      <c r="J158" s="101"/>
      <c r="K158" s="100"/>
      <c r="L158" s="101"/>
      <c r="M158" s="101"/>
      <c r="N158" s="101"/>
      <c r="O158" s="251"/>
      <c r="P158" s="150"/>
      <c r="Q158" s="101"/>
      <c r="R158" s="101"/>
      <c r="S158" s="104"/>
      <c r="T158" s="101"/>
      <c r="U158" s="117"/>
      <c r="V158" s="101"/>
      <c r="W158" s="117"/>
      <c r="X158" s="101"/>
      <c r="Y158" s="190"/>
      <c r="Z158" s="117"/>
      <c r="AA158" s="62"/>
      <c r="AB158" s="117"/>
      <c r="AC158" s="117"/>
      <c r="AD158" s="117"/>
      <c r="AE158" s="117"/>
      <c r="AF158" s="117"/>
      <c r="AG158" s="117"/>
      <c r="AH158" s="117"/>
      <c r="AI158" s="117"/>
      <c r="AJ158" s="117"/>
      <c r="AK158" s="117"/>
      <c r="AL158" s="117"/>
      <c r="AM158" s="117"/>
      <c r="AN158" s="117"/>
    </row>
    <row r="159" spans="1:40" ht="46.15" customHeight="1" x14ac:dyDescent="0.2">
      <c r="A159" s="21"/>
      <c r="B159" s="21"/>
      <c r="C159" s="21"/>
      <c r="D159" s="21"/>
      <c r="E159" s="21"/>
      <c r="F159" s="21"/>
      <c r="G159" s="21"/>
      <c r="H159" s="21"/>
      <c r="I159" s="78"/>
      <c r="J159" s="101"/>
      <c r="K159" s="100"/>
      <c r="L159" s="101"/>
      <c r="M159" s="101"/>
      <c r="N159" s="101"/>
      <c r="O159" s="251"/>
      <c r="P159" s="150"/>
      <c r="Q159" s="101"/>
      <c r="R159" s="101"/>
      <c r="S159" s="104"/>
      <c r="T159" s="101"/>
      <c r="U159" s="117"/>
      <c r="V159" s="101"/>
      <c r="W159" s="117"/>
      <c r="X159" s="101"/>
      <c r="Y159" s="190"/>
      <c r="Z159" s="117"/>
      <c r="AA159" s="62"/>
      <c r="AB159" s="117"/>
      <c r="AC159" s="117"/>
      <c r="AD159" s="117"/>
      <c r="AE159" s="117"/>
      <c r="AF159" s="117"/>
      <c r="AG159" s="117"/>
      <c r="AH159" s="117"/>
      <c r="AI159" s="117"/>
      <c r="AJ159" s="117"/>
      <c r="AK159" s="117"/>
      <c r="AL159" s="117"/>
      <c r="AM159" s="117"/>
      <c r="AN159" s="117"/>
    </row>
    <row r="160" spans="1:40" ht="46.15" customHeight="1" x14ac:dyDescent="0.2">
      <c r="A160" s="21"/>
      <c r="B160" s="21"/>
      <c r="C160" s="21"/>
      <c r="D160" s="21"/>
      <c r="E160" s="21"/>
      <c r="F160" s="21"/>
      <c r="G160" s="21"/>
      <c r="H160" s="21"/>
      <c r="I160" s="78"/>
      <c r="J160" s="101"/>
      <c r="K160" s="100"/>
      <c r="L160" s="101"/>
      <c r="M160" s="101"/>
      <c r="N160" s="101"/>
      <c r="O160" s="251"/>
      <c r="P160" s="150"/>
      <c r="Q160" s="101"/>
      <c r="R160" s="101"/>
      <c r="S160" s="104"/>
      <c r="T160" s="101"/>
      <c r="U160" s="117"/>
      <c r="V160" s="101"/>
      <c r="W160" s="117"/>
      <c r="X160" s="101"/>
      <c r="Y160" s="190"/>
      <c r="Z160" s="117"/>
      <c r="AA160" s="62"/>
      <c r="AB160" s="117"/>
      <c r="AC160" s="117"/>
      <c r="AD160" s="117"/>
      <c r="AE160" s="117"/>
      <c r="AF160" s="117"/>
      <c r="AG160" s="117"/>
      <c r="AH160" s="117"/>
      <c r="AI160" s="117"/>
      <c r="AJ160" s="117"/>
      <c r="AK160" s="117"/>
      <c r="AL160" s="117"/>
      <c r="AM160" s="117"/>
      <c r="AN160" s="117"/>
    </row>
    <row r="161" spans="1:40" ht="46.15" customHeight="1" x14ac:dyDescent="0.2">
      <c r="A161" s="21"/>
      <c r="B161" s="21"/>
      <c r="C161" s="21"/>
      <c r="D161" s="21"/>
      <c r="E161" s="21"/>
      <c r="F161" s="21"/>
      <c r="G161" s="21"/>
      <c r="H161" s="21"/>
      <c r="I161" s="78"/>
      <c r="J161" s="101"/>
      <c r="K161" s="100"/>
      <c r="L161" s="101"/>
      <c r="M161" s="101"/>
      <c r="N161" s="101"/>
      <c r="O161" s="251"/>
      <c r="P161" s="150"/>
      <c r="Q161" s="101"/>
      <c r="R161" s="101"/>
      <c r="S161" s="104"/>
      <c r="T161" s="101"/>
      <c r="U161" s="117"/>
      <c r="V161" s="101"/>
      <c r="W161" s="117"/>
      <c r="X161" s="101"/>
      <c r="Y161" s="190"/>
      <c r="Z161" s="117"/>
      <c r="AA161" s="62"/>
      <c r="AB161" s="117"/>
      <c r="AC161" s="117"/>
      <c r="AD161" s="117"/>
      <c r="AE161" s="117"/>
      <c r="AF161" s="117"/>
      <c r="AG161" s="117"/>
      <c r="AH161" s="117"/>
      <c r="AI161" s="117"/>
      <c r="AJ161" s="117"/>
      <c r="AK161" s="117"/>
      <c r="AL161" s="117"/>
      <c r="AM161" s="117"/>
      <c r="AN161" s="117"/>
    </row>
    <row r="162" spans="1:40" ht="46.15" customHeight="1" x14ac:dyDescent="0.2">
      <c r="A162" s="21"/>
      <c r="B162" s="21"/>
      <c r="C162" s="21"/>
      <c r="D162" s="21"/>
      <c r="E162" s="21"/>
      <c r="F162" s="21"/>
      <c r="G162" s="21"/>
      <c r="H162" s="21"/>
      <c r="I162" s="78"/>
      <c r="J162" s="101"/>
      <c r="K162" s="100"/>
      <c r="L162" s="101"/>
      <c r="M162" s="101"/>
      <c r="N162" s="101"/>
      <c r="O162" s="251"/>
      <c r="P162" s="150"/>
      <c r="Q162" s="101"/>
      <c r="R162" s="101"/>
      <c r="S162" s="104"/>
      <c r="T162" s="101"/>
      <c r="U162" s="117"/>
      <c r="V162" s="101"/>
      <c r="W162" s="117"/>
      <c r="X162" s="101"/>
      <c r="Y162" s="190"/>
      <c r="Z162" s="117"/>
      <c r="AA162" s="62"/>
      <c r="AB162" s="117"/>
      <c r="AC162" s="117"/>
      <c r="AD162" s="117"/>
      <c r="AE162" s="117"/>
      <c r="AF162" s="117"/>
      <c r="AG162" s="117"/>
      <c r="AH162" s="117"/>
      <c r="AI162" s="117"/>
      <c r="AJ162" s="117"/>
      <c r="AK162" s="117"/>
      <c r="AL162" s="117"/>
      <c r="AM162" s="117"/>
      <c r="AN162" s="117"/>
    </row>
    <row r="163" spans="1:40" ht="46.15" customHeight="1" x14ac:dyDescent="0.2">
      <c r="A163" s="21"/>
      <c r="B163" s="21"/>
      <c r="C163" s="21"/>
      <c r="D163" s="21"/>
      <c r="E163" s="21"/>
      <c r="F163" s="21"/>
      <c r="G163" s="21"/>
      <c r="H163" s="21"/>
      <c r="I163" s="78"/>
      <c r="J163" s="101"/>
      <c r="K163" s="100"/>
      <c r="L163" s="101"/>
      <c r="M163" s="101"/>
      <c r="N163" s="101"/>
      <c r="O163" s="251"/>
      <c r="P163" s="150"/>
      <c r="Q163" s="101"/>
      <c r="R163" s="101"/>
      <c r="S163" s="104"/>
      <c r="T163" s="101"/>
      <c r="U163" s="117"/>
      <c r="V163" s="101"/>
      <c r="W163" s="117"/>
      <c r="X163" s="101"/>
      <c r="Y163" s="190"/>
      <c r="Z163" s="117"/>
      <c r="AA163" s="62"/>
      <c r="AB163" s="117"/>
      <c r="AC163" s="117"/>
      <c r="AD163" s="117"/>
      <c r="AE163" s="117"/>
      <c r="AF163" s="117"/>
      <c r="AG163" s="117"/>
      <c r="AH163" s="117"/>
      <c r="AI163" s="117"/>
      <c r="AJ163" s="117"/>
      <c r="AK163" s="117"/>
      <c r="AL163" s="117"/>
      <c r="AM163" s="117"/>
      <c r="AN163" s="117"/>
    </row>
    <row r="164" spans="1:40" ht="46.15" customHeight="1" x14ac:dyDescent="0.2">
      <c r="A164" s="21"/>
      <c r="B164" s="21"/>
      <c r="C164" s="21"/>
      <c r="D164" s="21"/>
      <c r="E164" s="21"/>
      <c r="F164" s="21"/>
      <c r="G164" s="21"/>
      <c r="H164" s="21"/>
      <c r="I164" s="78"/>
      <c r="J164" s="101"/>
      <c r="K164" s="100"/>
      <c r="L164" s="101"/>
      <c r="M164" s="101"/>
      <c r="N164" s="101"/>
      <c r="O164" s="251"/>
      <c r="P164" s="150"/>
      <c r="Q164" s="101"/>
      <c r="R164" s="101"/>
      <c r="S164" s="104"/>
      <c r="T164" s="101"/>
      <c r="U164" s="117"/>
      <c r="V164" s="101"/>
      <c r="W164" s="117"/>
      <c r="X164" s="101"/>
      <c r="Y164" s="190"/>
      <c r="Z164" s="117"/>
      <c r="AA164" s="62"/>
      <c r="AB164" s="117"/>
      <c r="AC164" s="117"/>
      <c r="AD164" s="117"/>
      <c r="AE164" s="117"/>
      <c r="AF164" s="117"/>
      <c r="AG164" s="117"/>
      <c r="AH164" s="117"/>
      <c r="AI164" s="117"/>
      <c r="AJ164" s="117"/>
      <c r="AK164" s="117"/>
      <c r="AL164" s="117"/>
      <c r="AM164" s="117"/>
      <c r="AN164" s="117"/>
    </row>
    <row r="165" spans="1:40" ht="46.15" customHeight="1" x14ac:dyDescent="0.2">
      <c r="A165" s="21"/>
      <c r="B165" s="21"/>
      <c r="C165" s="21"/>
      <c r="D165" s="21"/>
      <c r="E165" s="21"/>
      <c r="F165" s="21"/>
      <c r="G165" s="21"/>
      <c r="H165" s="21"/>
      <c r="I165" s="78"/>
      <c r="J165" s="101"/>
      <c r="K165" s="100"/>
      <c r="L165" s="101"/>
      <c r="M165" s="101"/>
      <c r="N165" s="101"/>
      <c r="O165" s="251"/>
      <c r="P165" s="150"/>
      <c r="Q165" s="101"/>
      <c r="R165" s="101"/>
      <c r="S165" s="104"/>
      <c r="T165" s="101"/>
      <c r="U165" s="117"/>
      <c r="V165" s="101"/>
      <c r="W165" s="117"/>
      <c r="X165" s="101"/>
      <c r="Y165" s="190"/>
      <c r="Z165" s="117"/>
      <c r="AA165" s="62"/>
      <c r="AB165" s="117"/>
      <c r="AC165" s="117"/>
      <c r="AD165" s="117"/>
      <c r="AE165" s="117"/>
      <c r="AF165" s="117"/>
      <c r="AG165" s="117"/>
      <c r="AH165" s="117"/>
      <c r="AI165" s="117"/>
      <c r="AJ165" s="117"/>
      <c r="AK165" s="117"/>
      <c r="AL165" s="117"/>
      <c r="AM165" s="117"/>
      <c r="AN165" s="117"/>
    </row>
    <row r="166" spans="1:40" ht="46.15" customHeight="1" x14ac:dyDescent="0.2">
      <c r="A166" s="21"/>
      <c r="B166" s="21"/>
      <c r="C166" s="21"/>
      <c r="D166" s="21"/>
      <c r="E166" s="21"/>
      <c r="F166" s="21"/>
      <c r="G166" s="21"/>
      <c r="H166" s="21"/>
      <c r="I166" s="78"/>
      <c r="J166" s="101"/>
      <c r="K166" s="100"/>
      <c r="L166" s="101"/>
      <c r="M166" s="101"/>
      <c r="N166" s="101"/>
      <c r="O166" s="251"/>
      <c r="P166" s="150"/>
      <c r="Q166" s="101"/>
      <c r="R166" s="101"/>
      <c r="S166" s="104"/>
      <c r="T166" s="101"/>
      <c r="U166" s="117"/>
      <c r="V166" s="101"/>
      <c r="W166" s="117"/>
      <c r="X166" s="101"/>
      <c r="Y166" s="190"/>
      <c r="Z166" s="117"/>
      <c r="AA166" s="62"/>
      <c r="AB166" s="117"/>
      <c r="AC166" s="117"/>
      <c r="AD166" s="117"/>
      <c r="AE166" s="117"/>
      <c r="AF166" s="117"/>
      <c r="AG166" s="117"/>
      <c r="AH166" s="117"/>
      <c r="AI166" s="117"/>
      <c r="AJ166" s="117"/>
      <c r="AK166" s="117"/>
      <c r="AL166" s="117"/>
      <c r="AM166" s="117"/>
      <c r="AN166" s="117"/>
    </row>
    <row r="167" spans="1:40" ht="46.15" customHeight="1" x14ac:dyDescent="0.2">
      <c r="A167" s="21"/>
      <c r="B167" s="21"/>
      <c r="C167" s="21"/>
      <c r="D167" s="21"/>
      <c r="E167" s="21"/>
      <c r="F167" s="21"/>
      <c r="G167" s="21"/>
      <c r="H167" s="21"/>
      <c r="I167" s="78"/>
      <c r="J167" s="101"/>
      <c r="K167" s="100"/>
      <c r="L167" s="101"/>
      <c r="M167" s="101"/>
      <c r="N167" s="101"/>
      <c r="O167" s="251"/>
      <c r="P167" s="150"/>
      <c r="Q167" s="101"/>
      <c r="R167" s="101"/>
      <c r="S167" s="104"/>
      <c r="T167" s="101"/>
      <c r="U167" s="117"/>
      <c r="V167" s="101"/>
      <c r="W167" s="117"/>
      <c r="X167" s="101"/>
      <c r="Y167" s="190"/>
      <c r="Z167" s="117"/>
      <c r="AA167" s="62"/>
      <c r="AB167" s="117"/>
      <c r="AC167" s="117"/>
      <c r="AD167" s="117"/>
      <c r="AE167" s="117"/>
      <c r="AF167" s="117"/>
      <c r="AG167" s="117"/>
      <c r="AH167" s="117"/>
      <c r="AI167" s="117"/>
      <c r="AJ167" s="117"/>
      <c r="AK167" s="117"/>
      <c r="AL167" s="117"/>
      <c r="AM167" s="117"/>
      <c r="AN167" s="117"/>
    </row>
    <row r="168" spans="1:40" ht="46.15" customHeight="1" x14ac:dyDescent="0.2">
      <c r="A168" s="21"/>
      <c r="B168" s="21"/>
      <c r="C168" s="21"/>
      <c r="D168" s="21"/>
      <c r="E168" s="21"/>
      <c r="F168" s="21"/>
      <c r="G168" s="21"/>
      <c r="H168" s="21"/>
      <c r="I168" s="78"/>
      <c r="J168" s="101"/>
      <c r="K168" s="100"/>
      <c r="L168" s="101"/>
      <c r="M168" s="101"/>
      <c r="N168" s="101"/>
      <c r="O168" s="251"/>
      <c r="P168" s="150"/>
      <c r="Q168" s="101"/>
      <c r="R168" s="101"/>
      <c r="S168" s="104"/>
      <c r="T168" s="101"/>
      <c r="U168" s="117"/>
      <c r="V168" s="101"/>
      <c r="W168" s="117"/>
      <c r="X168" s="101"/>
      <c r="Y168" s="190"/>
      <c r="Z168" s="117"/>
      <c r="AA168" s="62"/>
      <c r="AB168" s="117"/>
      <c r="AC168" s="117"/>
      <c r="AD168" s="117"/>
      <c r="AE168" s="117"/>
      <c r="AF168" s="117"/>
      <c r="AG168" s="117"/>
      <c r="AH168" s="117"/>
      <c r="AI168" s="117"/>
      <c r="AJ168" s="117"/>
      <c r="AK168" s="117"/>
      <c r="AL168" s="117"/>
      <c r="AM168" s="117"/>
      <c r="AN168" s="117"/>
    </row>
    <row r="169" spans="1:40" ht="46.15" customHeight="1" x14ac:dyDescent="0.2">
      <c r="A169" s="21"/>
      <c r="B169" s="21"/>
      <c r="C169" s="21"/>
      <c r="D169" s="21"/>
      <c r="E169" s="21"/>
      <c r="F169" s="21"/>
      <c r="G169" s="21"/>
      <c r="H169" s="21"/>
      <c r="I169" s="78"/>
      <c r="J169" s="101"/>
      <c r="K169" s="100"/>
      <c r="L169" s="101"/>
      <c r="M169" s="101"/>
      <c r="N169" s="101"/>
      <c r="O169" s="251"/>
      <c r="P169" s="150"/>
      <c r="Q169" s="101"/>
      <c r="R169" s="101"/>
      <c r="S169" s="104"/>
      <c r="T169" s="101"/>
      <c r="U169" s="117"/>
      <c r="V169" s="101"/>
      <c r="W169" s="117"/>
      <c r="X169" s="101"/>
      <c r="Y169" s="190"/>
      <c r="Z169" s="117"/>
      <c r="AA169" s="62"/>
      <c r="AB169" s="117"/>
      <c r="AC169" s="117"/>
      <c r="AD169" s="117"/>
      <c r="AE169" s="117"/>
      <c r="AF169" s="117"/>
      <c r="AG169" s="117"/>
      <c r="AH169" s="117"/>
      <c r="AI169" s="117"/>
      <c r="AJ169" s="117"/>
      <c r="AK169" s="117"/>
      <c r="AL169" s="117"/>
      <c r="AM169" s="117"/>
      <c r="AN169" s="117"/>
    </row>
    <row r="170" spans="1:40" ht="46.15" customHeight="1" x14ac:dyDescent="0.2">
      <c r="A170" s="21"/>
      <c r="B170" s="21"/>
      <c r="C170" s="21"/>
      <c r="D170" s="21"/>
      <c r="E170" s="21"/>
      <c r="F170" s="21"/>
      <c r="G170" s="21"/>
      <c r="H170" s="21"/>
      <c r="I170" s="78"/>
      <c r="J170" s="101"/>
      <c r="K170" s="100"/>
      <c r="L170" s="101"/>
      <c r="M170" s="101"/>
      <c r="N170" s="101"/>
      <c r="O170" s="251"/>
      <c r="P170" s="150"/>
      <c r="Q170" s="101"/>
      <c r="R170" s="101"/>
      <c r="S170" s="104"/>
      <c r="T170" s="101"/>
      <c r="U170" s="117"/>
      <c r="V170" s="101"/>
      <c r="W170" s="117"/>
      <c r="X170" s="101"/>
      <c r="Y170" s="190"/>
      <c r="Z170" s="117"/>
      <c r="AA170" s="62"/>
      <c r="AB170" s="117"/>
      <c r="AC170" s="117"/>
      <c r="AD170" s="117"/>
      <c r="AE170" s="117"/>
      <c r="AF170" s="117"/>
      <c r="AG170" s="117"/>
      <c r="AH170" s="117"/>
      <c r="AI170" s="117"/>
      <c r="AJ170" s="117"/>
      <c r="AK170" s="117"/>
      <c r="AL170" s="117"/>
      <c r="AM170" s="117"/>
      <c r="AN170" s="117"/>
    </row>
    <row r="171" spans="1:40" ht="46.15" customHeight="1" x14ac:dyDescent="0.2">
      <c r="A171" s="21"/>
      <c r="B171" s="21"/>
      <c r="C171" s="21"/>
      <c r="D171" s="21"/>
      <c r="E171" s="21"/>
      <c r="F171" s="21"/>
      <c r="G171" s="21"/>
      <c r="H171" s="21"/>
      <c r="I171" s="78"/>
      <c r="J171" s="101"/>
      <c r="K171" s="100"/>
      <c r="L171" s="101"/>
      <c r="M171" s="101"/>
      <c r="N171" s="101"/>
      <c r="O171" s="251"/>
      <c r="P171" s="150"/>
      <c r="Q171" s="101"/>
      <c r="R171" s="101"/>
      <c r="S171" s="104"/>
      <c r="T171" s="101"/>
      <c r="U171" s="117"/>
      <c r="V171" s="101"/>
      <c r="W171" s="117"/>
      <c r="X171" s="101"/>
      <c r="Y171" s="190"/>
      <c r="Z171" s="117"/>
      <c r="AA171" s="62"/>
      <c r="AB171" s="117"/>
      <c r="AC171" s="117"/>
      <c r="AD171" s="117"/>
      <c r="AE171" s="117"/>
      <c r="AF171" s="117"/>
      <c r="AG171" s="117"/>
      <c r="AH171" s="117"/>
      <c r="AI171" s="117"/>
      <c r="AJ171" s="117"/>
      <c r="AK171" s="117"/>
      <c r="AL171" s="117"/>
      <c r="AM171" s="117"/>
      <c r="AN171" s="117"/>
    </row>
    <row r="172" spans="1:40" ht="46.15" customHeight="1" x14ac:dyDescent="0.2">
      <c r="A172" s="21"/>
      <c r="B172" s="21"/>
      <c r="C172" s="21"/>
      <c r="D172" s="21"/>
      <c r="E172" s="21"/>
      <c r="F172" s="21"/>
      <c r="G172" s="21"/>
      <c r="H172" s="21"/>
      <c r="I172" s="78"/>
      <c r="J172" s="101"/>
      <c r="K172" s="100"/>
      <c r="L172" s="101"/>
      <c r="M172" s="101"/>
      <c r="N172" s="101"/>
      <c r="O172" s="251"/>
      <c r="P172" s="150"/>
      <c r="Q172" s="101"/>
      <c r="R172" s="101"/>
      <c r="S172" s="104"/>
      <c r="T172" s="101"/>
      <c r="U172" s="117"/>
      <c r="V172" s="101"/>
      <c r="W172" s="117"/>
      <c r="X172" s="101"/>
      <c r="Y172" s="190"/>
      <c r="Z172" s="117"/>
      <c r="AA172" s="62"/>
      <c r="AB172" s="117"/>
      <c r="AC172" s="117"/>
      <c r="AD172" s="117"/>
      <c r="AE172" s="117"/>
      <c r="AF172" s="117"/>
      <c r="AG172" s="117"/>
      <c r="AH172" s="117"/>
      <c r="AI172" s="117"/>
      <c r="AJ172" s="117"/>
      <c r="AK172" s="117"/>
      <c r="AL172" s="117"/>
      <c r="AM172" s="117"/>
      <c r="AN172" s="117"/>
    </row>
    <row r="173" spans="1:40" ht="46.15" customHeight="1" x14ac:dyDescent="0.2">
      <c r="A173" s="21"/>
      <c r="B173" s="21"/>
      <c r="C173" s="21"/>
      <c r="D173" s="21"/>
      <c r="E173" s="21"/>
      <c r="F173" s="21"/>
      <c r="G173" s="21"/>
      <c r="H173" s="21"/>
      <c r="I173" s="78"/>
      <c r="J173" s="101"/>
      <c r="K173" s="100"/>
      <c r="L173" s="101"/>
      <c r="M173" s="101"/>
      <c r="N173" s="101"/>
      <c r="O173" s="251"/>
      <c r="P173" s="150"/>
      <c r="Q173" s="101"/>
      <c r="R173" s="101"/>
      <c r="S173" s="104"/>
      <c r="T173" s="101"/>
      <c r="U173" s="117"/>
      <c r="V173" s="101"/>
      <c r="W173" s="117"/>
      <c r="X173" s="101"/>
      <c r="Y173" s="190"/>
      <c r="Z173" s="117"/>
      <c r="AA173" s="62"/>
      <c r="AB173" s="117"/>
      <c r="AC173" s="117"/>
      <c r="AD173" s="117"/>
      <c r="AE173" s="117"/>
      <c r="AF173" s="117"/>
      <c r="AG173" s="117"/>
      <c r="AH173" s="117"/>
      <c r="AI173" s="117"/>
      <c r="AJ173" s="117"/>
      <c r="AK173" s="117"/>
      <c r="AL173" s="117"/>
      <c r="AM173" s="117"/>
      <c r="AN173" s="117"/>
    </row>
    <row r="174" spans="1:40" ht="46.15" customHeight="1" x14ac:dyDescent="0.2">
      <c r="A174" s="21"/>
      <c r="B174" s="21"/>
      <c r="C174" s="21"/>
      <c r="D174" s="21"/>
      <c r="E174" s="21"/>
      <c r="F174" s="21"/>
      <c r="G174" s="21"/>
      <c r="H174" s="21"/>
      <c r="I174" s="78"/>
      <c r="J174" s="101"/>
      <c r="K174" s="100"/>
      <c r="L174" s="101"/>
      <c r="M174" s="101"/>
      <c r="N174" s="101"/>
      <c r="O174" s="251"/>
      <c r="P174" s="150"/>
      <c r="Q174" s="101"/>
      <c r="R174" s="101"/>
      <c r="S174" s="104"/>
      <c r="T174" s="101"/>
      <c r="U174" s="117"/>
      <c r="V174" s="101"/>
      <c r="W174" s="117"/>
      <c r="X174" s="101"/>
      <c r="Y174" s="190"/>
      <c r="Z174" s="117"/>
      <c r="AA174" s="62"/>
      <c r="AB174" s="117"/>
      <c r="AC174" s="117"/>
      <c r="AD174" s="117"/>
      <c r="AE174" s="117"/>
      <c r="AF174" s="117"/>
      <c r="AG174" s="117"/>
      <c r="AH174" s="117"/>
      <c r="AI174" s="117"/>
      <c r="AJ174" s="117"/>
      <c r="AK174" s="117"/>
      <c r="AL174" s="117"/>
      <c r="AM174" s="117"/>
      <c r="AN174" s="117"/>
    </row>
    <row r="175" spans="1:40" ht="46.15" customHeight="1" x14ac:dyDescent="0.2">
      <c r="A175" s="21"/>
      <c r="B175" s="21"/>
      <c r="C175" s="21"/>
      <c r="D175" s="21"/>
      <c r="E175" s="21"/>
      <c r="F175" s="21"/>
      <c r="G175" s="21"/>
      <c r="H175" s="21"/>
      <c r="I175" s="78"/>
      <c r="J175" s="101"/>
      <c r="K175" s="100"/>
      <c r="L175" s="101"/>
      <c r="M175" s="101"/>
      <c r="N175" s="101"/>
      <c r="O175" s="251"/>
      <c r="P175" s="150"/>
      <c r="Q175" s="101"/>
      <c r="R175" s="101"/>
      <c r="S175" s="104"/>
      <c r="T175" s="101"/>
      <c r="U175" s="117"/>
      <c r="V175" s="101"/>
      <c r="W175" s="117"/>
      <c r="X175" s="101"/>
      <c r="Y175" s="190"/>
      <c r="Z175" s="117"/>
      <c r="AA175" s="62"/>
      <c r="AB175" s="117"/>
      <c r="AC175" s="117"/>
      <c r="AD175" s="117"/>
      <c r="AE175" s="117"/>
      <c r="AF175" s="117"/>
      <c r="AG175" s="117"/>
      <c r="AH175" s="117"/>
      <c r="AI175" s="117"/>
      <c r="AJ175" s="117"/>
      <c r="AK175" s="117"/>
      <c r="AL175" s="117"/>
      <c r="AM175" s="117"/>
      <c r="AN175" s="117"/>
    </row>
    <row r="176" spans="1:40" ht="46.15" customHeight="1" x14ac:dyDescent="0.2">
      <c r="A176" s="21"/>
      <c r="B176" s="21"/>
      <c r="C176" s="21"/>
      <c r="D176" s="21"/>
      <c r="E176" s="21"/>
      <c r="F176" s="21"/>
      <c r="G176" s="21"/>
      <c r="H176" s="21"/>
      <c r="I176" s="78"/>
      <c r="J176" s="101"/>
      <c r="K176" s="100"/>
      <c r="L176" s="101"/>
      <c r="M176" s="101"/>
      <c r="N176" s="101"/>
      <c r="O176" s="251"/>
      <c r="P176" s="150"/>
      <c r="Q176" s="101"/>
      <c r="R176" s="101"/>
      <c r="S176" s="104"/>
      <c r="T176" s="101"/>
      <c r="U176" s="117"/>
      <c r="V176" s="101"/>
      <c r="W176" s="117"/>
      <c r="X176" s="101"/>
      <c r="Y176" s="190"/>
      <c r="Z176" s="117"/>
      <c r="AA176" s="62"/>
      <c r="AB176" s="117"/>
      <c r="AC176" s="117"/>
      <c r="AD176" s="117"/>
      <c r="AE176" s="117"/>
      <c r="AF176" s="117"/>
      <c r="AG176" s="117"/>
      <c r="AH176" s="117"/>
      <c r="AI176" s="117"/>
      <c r="AJ176" s="117"/>
      <c r="AK176" s="117"/>
      <c r="AL176" s="117"/>
      <c r="AM176" s="117"/>
      <c r="AN176" s="117"/>
    </row>
    <row r="177" spans="1:40" ht="46.15" customHeight="1" x14ac:dyDescent="0.2">
      <c r="A177" s="21"/>
      <c r="B177" s="21"/>
      <c r="C177" s="21"/>
      <c r="D177" s="21"/>
      <c r="E177" s="21"/>
      <c r="F177" s="21"/>
      <c r="G177" s="21"/>
      <c r="H177" s="21"/>
      <c r="I177" s="78"/>
      <c r="J177" s="101"/>
      <c r="K177" s="100"/>
      <c r="L177" s="101"/>
      <c r="M177" s="101"/>
      <c r="N177" s="101"/>
      <c r="O177" s="251"/>
      <c r="P177" s="150"/>
      <c r="Q177" s="101"/>
      <c r="R177" s="101"/>
      <c r="S177" s="104"/>
      <c r="T177" s="101"/>
      <c r="U177" s="117"/>
      <c r="V177" s="101"/>
      <c r="W177" s="117"/>
      <c r="X177" s="101"/>
      <c r="Y177" s="190"/>
      <c r="Z177" s="117"/>
      <c r="AA177" s="62"/>
      <c r="AB177" s="117"/>
      <c r="AC177" s="117"/>
      <c r="AD177" s="117"/>
      <c r="AE177" s="117"/>
      <c r="AF177" s="117"/>
      <c r="AG177" s="117"/>
      <c r="AH177" s="117"/>
      <c r="AI177" s="117"/>
      <c r="AJ177" s="117"/>
      <c r="AK177" s="117"/>
      <c r="AL177" s="117"/>
      <c r="AM177" s="117"/>
      <c r="AN177" s="117"/>
    </row>
    <row r="178" spans="1:40" ht="46.15" customHeight="1" x14ac:dyDescent="0.2">
      <c r="A178" s="21"/>
      <c r="B178" s="21"/>
      <c r="C178" s="21"/>
      <c r="D178" s="21"/>
      <c r="E178" s="21"/>
      <c r="F178" s="21"/>
      <c r="G178" s="21"/>
      <c r="H178" s="21"/>
      <c r="I178" s="78"/>
      <c r="J178" s="101"/>
      <c r="K178" s="100"/>
      <c r="L178" s="101"/>
      <c r="M178" s="101"/>
      <c r="N178" s="101"/>
      <c r="O178" s="251"/>
      <c r="P178" s="150"/>
      <c r="Q178" s="101"/>
      <c r="R178" s="101"/>
      <c r="S178" s="104"/>
      <c r="T178" s="101"/>
      <c r="U178" s="117"/>
      <c r="V178" s="101"/>
      <c r="W178" s="117"/>
      <c r="X178" s="101"/>
      <c r="Y178" s="190"/>
      <c r="Z178" s="117"/>
      <c r="AA178" s="62"/>
      <c r="AB178" s="117"/>
      <c r="AC178" s="117"/>
      <c r="AD178" s="117"/>
      <c r="AE178" s="117"/>
      <c r="AF178" s="117"/>
      <c r="AG178" s="117"/>
      <c r="AH178" s="117"/>
      <c r="AI178" s="117"/>
      <c r="AJ178" s="117"/>
      <c r="AK178" s="117"/>
      <c r="AL178" s="117"/>
      <c r="AM178" s="117"/>
      <c r="AN178" s="117"/>
    </row>
    <row r="179" spans="1:40" ht="46.15" customHeight="1" x14ac:dyDescent="0.2">
      <c r="A179" s="21"/>
      <c r="B179" s="21"/>
      <c r="C179" s="21"/>
      <c r="D179" s="21"/>
      <c r="E179" s="21"/>
      <c r="F179" s="21"/>
      <c r="G179" s="21"/>
      <c r="H179" s="21"/>
      <c r="I179" s="78"/>
      <c r="J179" s="101"/>
      <c r="K179" s="100"/>
      <c r="L179" s="101"/>
      <c r="M179" s="101"/>
      <c r="N179" s="101"/>
      <c r="O179" s="251"/>
      <c r="P179" s="150"/>
      <c r="Q179" s="101"/>
      <c r="R179" s="101"/>
      <c r="S179" s="104"/>
      <c r="T179" s="101"/>
      <c r="U179" s="117"/>
      <c r="V179" s="101"/>
      <c r="W179" s="117"/>
      <c r="X179" s="101"/>
      <c r="Y179" s="190"/>
      <c r="Z179" s="117"/>
      <c r="AA179" s="62"/>
      <c r="AB179" s="117"/>
      <c r="AC179" s="117"/>
      <c r="AD179" s="117"/>
      <c r="AE179" s="117"/>
      <c r="AF179" s="117"/>
      <c r="AG179" s="117"/>
      <c r="AH179" s="117"/>
      <c r="AI179" s="117"/>
      <c r="AJ179" s="117"/>
      <c r="AK179" s="117"/>
      <c r="AL179" s="117"/>
      <c r="AM179" s="117"/>
      <c r="AN179" s="117"/>
    </row>
    <row r="180" spans="1:40" ht="46.15" customHeight="1" x14ac:dyDescent="0.2">
      <c r="A180" s="21"/>
      <c r="B180" s="21"/>
      <c r="C180" s="21"/>
      <c r="D180" s="21"/>
      <c r="E180" s="21"/>
      <c r="F180" s="21"/>
      <c r="G180" s="21"/>
      <c r="H180" s="21"/>
      <c r="I180" s="78"/>
      <c r="J180" s="101"/>
      <c r="K180" s="100"/>
      <c r="L180" s="101"/>
      <c r="M180" s="101"/>
      <c r="N180" s="101"/>
      <c r="O180" s="251"/>
      <c r="P180" s="150"/>
      <c r="Q180" s="101"/>
      <c r="R180" s="101"/>
      <c r="S180" s="104"/>
      <c r="T180" s="101"/>
      <c r="U180" s="117"/>
      <c r="V180" s="101"/>
      <c r="W180" s="117"/>
      <c r="X180" s="101"/>
      <c r="Y180" s="190"/>
      <c r="Z180" s="117"/>
      <c r="AA180" s="62"/>
      <c r="AB180" s="117"/>
      <c r="AC180" s="117"/>
      <c r="AD180" s="117"/>
      <c r="AE180" s="117"/>
      <c r="AF180" s="117"/>
      <c r="AG180" s="117"/>
      <c r="AH180" s="117"/>
      <c r="AI180" s="117"/>
      <c r="AJ180" s="117"/>
      <c r="AK180" s="117"/>
      <c r="AL180" s="117"/>
      <c r="AM180" s="117"/>
      <c r="AN180" s="117"/>
    </row>
    <row r="181" spans="1:40" ht="46.15" customHeight="1" x14ac:dyDescent="0.2">
      <c r="A181" s="21"/>
      <c r="B181" s="21"/>
      <c r="C181" s="21"/>
      <c r="D181" s="21"/>
      <c r="E181" s="21"/>
      <c r="F181" s="21"/>
      <c r="G181" s="21"/>
      <c r="H181" s="21"/>
      <c r="I181" s="78"/>
      <c r="J181" s="101"/>
      <c r="K181" s="100"/>
      <c r="L181" s="101"/>
      <c r="M181" s="101"/>
      <c r="N181" s="101"/>
      <c r="O181" s="251"/>
      <c r="P181" s="150"/>
      <c r="Q181" s="101"/>
      <c r="R181" s="101"/>
      <c r="S181" s="104"/>
      <c r="T181" s="101"/>
      <c r="U181" s="117"/>
      <c r="V181" s="101"/>
      <c r="W181" s="117"/>
      <c r="X181" s="101"/>
      <c r="Y181" s="190"/>
      <c r="Z181" s="117"/>
      <c r="AA181" s="62"/>
      <c r="AB181" s="117"/>
      <c r="AC181" s="117"/>
      <c r="AD181" s="117"/>
      <c r="AE181" s="117"/>
      <c r="AF181" s="117"/>
      <c r="AG181" s="117"/>
      <c r="AH181" s="117"/>
      <c r="AI181" s="117"/>
      <c r="AJ181" s="117"/>
      <c r="AK181" s="117"/>
      <c r="AL181" s="117"/>
      <c r="AM181" s="117"/>
      <c r="AN181" s="117"/>
    </row>
    <row r="182" spans="1:40" ht="46.15" customHeight="1" x14ac:dyDescent="0.2">
      <c r="A182" s="21"/>
      <c r="B182" s="21"/>
      <c r="C182" s="21"/>
      <c r="D182" s="21"/>
      <c r="E182" s="21"/>
      <c r="F182" s="21"/>
      <c r="G182" s="21"/>
      <c r="H182" s="21"/>
      <c r="I182" s="78"/>
      <c r="J182" s="101"/>
      <c r="K182" s="100"/>
      <c r="L182" s="101"/>
      <c r="M182" s="101"/>
      <c r="N182" s="101"/>
      <c r="O182" s="251"/>
      <c r="P182" s="150"/>
      <c r="Q182" s="101"/>
      <c r="R182" s="101"/>
      <c r="S182" s="104"/>
      <c r="T182" s="101"/>
      <c r="U182" s="117"/>
      <c r="V182" s="101"/>
      <c r="W182" s="117"/>
      <c r="X182" s="101"/>
      <c r="Y182" s="190"/>
      <c r="Z182" s="117"/>
      <c r="AA182" s="62"/>
      <c r="AB182" s="117"/>
      <c r="AC182" s="117"/>
      <c r="AD182" s="117"/>
      <c r="AE182" s="117"/>
      <c r="AF182" s="117"/>
      <c r="AG182" s="117"/>
      <c r="AH182" s="117"/>
      <c r="AI182" s="117"/>
      <c r="AJ182" s="117"/>
      <c r="AK182" s="117"/>
      <c r="AL182" s="117"/>
      <c r="AM182" s="117"/>
      <c r="AN182" s="117"/>
    </row>
    <row r="183" spans="1:40" ht="46.15" customHeight="1" x14ac:dyDescent="0.2">
      <c r="A183" s="21"/>
      <c r="B183" s="21"/>
      <c r="C183" s="21"/>
      <c r="D183" s="21"/>
      <c r="E183" s="21"/>
      <c r="F183" s="21"/>
      <c r="G183" s="21"/>
      <c r="H183" s="21"/>
      <c r="I183" s="78"/>
      <c r="J183" s="101"/>
      <c r="K183" s="100"/>
      <c r="L183" s="101"/>
      <c r="M183" s="101"/>
      <c r="N183" s="101"/>
      <c r="O183" s="251"/>
      <c r="P183" s="150"/>
      <c r="Q183" s="101"/>
      <c r="R183" s="101"/>
      <c r="S183" s="104"/>
      <c r="T183" s="101"/>
      <c r="U183" s="117"/>
      <c r="V183" s="101"/>
      <c r="W183" s="117"/>
      <c r="X183" s="101"/>
      <c r="Y183" s="190"/>
      <c r="Z183" s="117"/>
      <c r="AA183" s="62"/>
      <c r="AB183" s="117"/>
      <c r="AC183" s="117"/>
      <c r="AD183" s="117"/>
      <c r="AE183" s="117"/>
      <c r="AF183" s="117"/>
      <c r="AG183" s="117"/>
      <c r="AH183" s="117"/>
      <c r="AI183" s="117"/>
      <c r="AJ183" s="117"/>
      <c r="AK183" s="117"/>
      <c r="AL183" s="117"/>
      <c r="AM183" s="117"/>
      <c r="AN183" s="117"/>
    </row>
    <row r="184" spans="1:40" ht="46.15" customHeight="1" x14ac:dyDescent="0.2">
      <c r="A184" s="21"/>
      <c r="B184" s="21"/>
      <c r="C184" s="21"/>
      <c r="D184" s="21"/>
      <c r="E184" s="21"/>
      <c r="F184" s="21"/>
      <c r="G184" s="21"/>
      <c r="H184" s="21"/>
      <c r="I184" s="78"/>
      <c r="J184" s="101"/>
      <c r="K184" s="100"/>
      <c r="L184" s="101"/>
      <c r="M184" s="101"/>
      <c r="N184" s="101"/>
      <c r="O184" s="251"/>
      <c r="P184" s="150"/>
      <c r="Q184" s="101"/>
      <c r="R184" s="101"/>
      <c r="S184" s="104"/>
      <c r="T184" s="101"/>
      <c r="U184" s="117"/>
      <c r="V184" s="101"/>
      <c r="W184" s="117"/>
      <c r="X184" s="101"/>
      <c r="Y184" s="190"/>
      <c r="Z184" s="117"/>
      <c r="AA184" s="62"/>
      <c r="AB184" s="117"/>
      <c r="AC184" s="117"/>
      <c r="AD184" s="117"/>
      <c r="AE184" s="117"/>
      <c r="AF184" s="117"/>
      <c r="AG184" s="117"/>
      <c r="AH184" s="117"/>
      <c r="AI184" s="117"/>
      <c r="AJ184" s="117"/>
      <c r="AK184" s="117"/>
      <c r="AL184" s="117"/>
      <c r="AM184" s="117"/>
      <c r="AN184" s="117"/>
    </row>
    <row r="185" spans="1:40" ht="46.15" customHeight="1" x14ac:dyDescent="0.2">
      <c r="A185" s="21"/>
      <c r="B185" s="21"/>
      <c r="C185" s="21"/>
      <c r="D185" s="21"/>
      <c r="E185" s="21"/>
      <c r="F185" s="21"/>
      <c r="G185" s="21"/>
      <c r="H185" s="21"/>
      <c r="I185" s="78"/>
      <c r="J185" s="101"/>
      <c r="K185" s="100"/>
      <c r="L185" s="101"/>
      <c r="M185" s="101"/>
      <c r="N185" s="101"/>
      <c r="O185" s="251"/>
      <c r="P185" s="150"/>
      <c r="Q185" s="101"/>
      <c r="R185" s="101"/>
      <c r="S185" s="104"/>
      <c r="T185" s="101"/>
      <c r="U185" s="117"/>
      <c r="V185" s="101"/>
      <c r="W185" s="117"/>
      <c r="X185" s="101"/>
      <c r="Y185" s="190"/>
      <c r="Z185" s="117"/>
      <c r="AA185" s="62"/>
      <c r="AB185" s="117"/>
      <c r="AC185" s="117"/>
      <c r="AD185" s="117"/>
      <c r="AE185" s="117"/>
      <c r="AF185" s="117"/>
      <c r="AG185" s="117"/>
      <c r="AH185" s="117"/>
      <c r="AI185" s="117"/>
      <c r="AJ185" s="117"/>
      <c r="AK185" s="117"/>
      <c r="AL185" s="117"/>
      <c r="AM185" s="117"/>
      <c r="AN185" s="117"/>
    </row>
    <row r="186" spans="1:40" ht="46.15" customHeight="1" x14ac:dyDescent="0.2">
      <c r="A186" s="21"/>
      <c r="B186" s="21"/>
      <c r="C186" s="21"/>
      <c r="D186" s="21"/>
      <c r="E186" s="21"/>
      <c r="F186" s="21"/>
      <c r="G186" s="21"/>
      <c r="H186" s="21"/>
      <c r="I186" s="78"/>
      <c r="J186" s="101"/>
      <c r="K186" s="100"/>
      <c r="L186" s="101"/>
      <c r="M186" s="101"/>
      <c r="N186" s="101"/>
      <c r="O186" s="251"/>
      <c r="P186" s="150"/>
      <c r="Q186" s="101"/>
      <c r="R186" s="101"/>
      <c r="S186" s="104"/>
      <c r="T186" s="101"/>
      <c r="U186" s="117"/>
      <c r="V186" s="101"/>
      <c r="W186" s="117"/>
      <c r="X186" s="101"/>
      <c r="Y186" s="190"/>
      <c r="Z186" s="117"/>
      <c r="AA186" s="62"/>
      <c r="AB186" s="117"/>
      <c r="AC186" s="117"/>
      <c r="AD186" s="117"/>
      <c r="AE186" s="117"/>
      <c r="AF186" s="117"/>
      <c r="AG186" s="117"/>
      <c r="AH186" s="117"/>
      <c r="AI186" s="117"/>
      <c r="AJ186" s="117"/>
      <c r="AK186" s="117"/>
      <c r="AL186" s="117"/>
      <c r="AM186" s="117"/>
      <c r="AN186" s="117"/>
    </row>
    <row r="187" spans="1:40" ht="46.15" customHeight="1" x14ac:dyDescent="0.2">
      <c r="A187" s="21"/>
      <c r="B187" s="21"/>
      <c r="C187" s="21"/>
      <c r="D187" s="21"/>
      <c r="E187" s="21"/>
      <c r="F187" s="21"/>
      <c r="G187" s="21"/>
      <c r="H187" s="21"/>
      <c r="I187" s="78"/>
      <c r="J187" s="101"/>
      <c r="K187" s="100"/>
      <c r="L187" s="101"/>
      <c r="M187" s="101"/>
      <c r="N187" s="101"/>
      <c r="O187" s="251"/>
      <c r="P187" s="150"/>
      <c r="Q187" s="101"/>
      <c r="R187" s="101"/>
      <c r="S187" s="104"/>
      <c r="T187" s="101"/>
      <c r="U187" s="117"/>
      <c r="V187" s="101"/>
      <c r="W187" s="117"/>
      <c r="X187" s="101"/>
      <c r="Y187" s="190"/>
      <c r="Z187" s="117"/>
      <c r="AA187" s="62"/>
      <c r="AB187" s="117"/>
      <c r="AC187" s="117"/>
      <c r="AD187" s="117"/>
      <c r="AE187" s="117"/>
      <c r="AF187" s="117"/>
      <c r="AG187" s="117"/>
      <c r="AH187" s="117"/>
      <c r="AI187" s="117"/>
      <c r="AJ187" s="117"/>
      <c r="AK187" s="117"/>
      <c r="AL187" s="117"/>
      <c r="AM187" s="117"/>
      <c r="AN187" s="117"/>
    </row>
    <row r="188" spans="1:40" ht="46.15" customHeight="1" x14ac:dyDescent="0.2">
      <c r="A188" s="21"/>
      <c r="B188" s="21"/>
      <c r="C188" s="21"/>
      <c r="D188" s="21"/>
      <c r="E188" s="21"/>
      <c r="F188" s="21"/>
      <c r="G188" s="21"/>
      <c r="H188" s="21"/>
      <c r="I188" s="78"/>
      <c r="J188" s="101"/>
      <c r="K188" s="100"/>
      <c r="L188" s="101"/>
      <c r="M188" s="101"/>
      <c r="N188" s="101"/>
      <c r="O188" s="251"/>
      <c r="P188" s="150"/>
      <c r="Q188" s="101"/>
      <c r="R188" s="101"/>
      <c r="S188" s="104"/>
      <c r="T188" s="101"/>
      <c r="U188" s="117"/>
      <c r="V188" s="101"/>
      <c r="W188" s="117"/>
      <c r="X188" s="101"/>
      <c r="Y188" s="190"/>
      <c r="Z188" s="117"/>
      <c r="AA188" s="62"/>
      <c r="AB188" s="117"/>
      <c r="AC188" s="117"/>
      <c r="AD188" s="117"/>
      <c r="AE188" s="117"/>
      <c r="AF188" s="117"/>
      <c r="AG188" s="117"/>
      <c r="AH188" s="117"/>
      <c r="AI188" s="117"/>
      <c r="AJ188" s="117"/>
      <c r="AK188" s="117"/>
      <c r="AL188" s="117"/>
      <c r="AM188" s="117"/>
      <c r="AN188" s="117"/>
    </row>
    <row r="189" spans="1:40" ht="46.15" customHeight="1" x14ac:dyDescent="0.2">
      <c r="A189" s="21"/>
      <c r="B189" s="21"/>
      <c r="C189" s="21"/>
      <c r="D189" s="21"/>
      <c r="E189" s="21"/>
      <c r="F189" s="21"/>
      <c r="G189" s="21"/>
      <c r="H189" s="21"/>
      <c r="I189" s="78"/>
      <c r="J189" s="101"/>
      <c r="K189" s="100"/>
      <c r="L189" s="101"/>
      <c r="M189" s="101"/>
      <c r="N189" s="101"/>
      <c r="O189" s="251"/>
      <c r="P189" s="150"/>
      <c r="Q189" s="101"/>
      <c r="R189" s="101"/>
      <c r="S189" s="104"/>
      <c r="T189" s="101"/>
      <c r="U189" s="117"/>
      <c r="V189" s="101"/>
      <c r="W189" s="117"/>
      <c r="X189" s="101"/>
      <c r="Y189" s="190"/>
      <c r="Z189" s="117"/>
      <c r="AA189" s="62"/>
      <c r="AB189" s="117"/>
      <c r="AC189" s="117"/>
      <c r="AD189" s="117"/>
      <c r="AE189" s="117"/>
      <c r="AF189" s="117"/>
      <c r="AG189" s="117"/>
      <c r="AH189" s="117"/>
      <c r="AI189" s="117"/>
      <c r="AJ189" s="117"/>
      <c r="AK189" s="117"/>
      <c r="AL189" s="117"/>
      <c r="AM189" s="117"/>
      <c r="AN189" s="117"/>
    </row>
    <row r="190" spans="1:40" ht="46.15" customHeight="1" x14ac:dyDescent="0.2">
      <c r="A190" s="21"/>
      <c r="B190" s="21"/>
      <c r="C190" s="21"/>
      <c r="D190" s="21"/>
      <c r="E190" s="21"/>
      <c r="F190" s="21"/>
      <c r="G190" s="21"/>
      <c r="H190" s="21"/>
      <c r="I190" s="78"/>
      <c r="J190" s="101"/>
      <c r="K190" s="100"/>
      <c r="L190" s="101"/>
      <c r="M190" s="101"/>
      <c r="N190" s="101"/>
      <c r="O190" s="251"/>
      <c r="P190" s="150"/>
      <c r="Q190" s="101"/>
      <c r="R190" s="101"/>
      <c r="S190" s="104"/>
      <c r="T190" s="101"/>
      <c r="U190" s="117"/>
      <c r="V190" s="101"/>
      <c r="W190" s="117"/>
      <c r="X190" s="101"/>
      <c r="Y190" s="190"/>
      <c r="Z190" s="117"/>
      <c r="AA190" s="62"/>
      <c r="AB190" s="117"/>
      <c r="AC190" s="117"/>
      <c r="AD190" s="117"/>
      <c r="AE190" s="117"/>
      <c r="AF190" s="117"/>
      <c r="AG190" s="117"/>
      <c r="AH190" s="117"/>
      <c r="AI190" s="117"/>
      <c r="AJ190" s="117"/>
      <c r="AK190" s="117"/>
      <c r="AL190" s="117"/>
      <c r="AM190" s="117"/>
      <c r="AN190" s="117"/>
    </row>
    <row r="191" spans="1:40" ht="46.15" customHeight="1" x14ac:dyDescent="0.2">
      <c r="A191" s="21"/>
      <c r="B191" s="21"/>
      <c r="C191" s="21"/>
      <c r="D191" s="21"/>
      <c r="E191" s="21"/>
      <c r="F191" s="21"/>
      <c r="G191" s="21"/>
      <c r="H191" s="21"/>
      <c r="I191" s="78"/>
      <c r="J191" s="101"/>
      <c r="K191" s="100"/>
      <c r="L191" s="101"/>
      <c r="M191" s="101"/>
      <c r="N191" s="101"/>
      <c r="O191" s="251"/>
      <c r="P191" s="150"/>
      <c r="Q191" s="101"/>
      <c r="R191" s="101"/>
      <c r="S191" s="104"/>
      <c r="T191" s="101"/>
      <c r="U191" s="117"/>
      <c r="V191" s="101"/>
      <c r="W191" s="117"/>
      <c r="X191" s="101"/>
      <c r="Y191" s="190"/>
      <c r="Z191" s="117"/>
      <c r="AA191" s="62"/>
      <c r="AB191" s="117"/>
      <c r="AC191" s="117"/>
      <c r="AD191" s="117"/>
      <c r="AE191" s="117"/>
      <c r="AF191" s="117"/>
      <c r="AG191" s="117"/>
      <c r="AH191" s="117"/>
      <c r="AI191" s="117"/>
      <c r="AJ191" s="117"/>
      <c r="AK191" s="117"/>
      <c r="AL191" s="117"/>
      <c r="AM191" s="117"/>
      <c r="AN191" s="117"/>
    </row>
    <row r="192" spans="1:40" ht="46.15" customHeight="1" x14ac:dyDescent="0.2">
      <c r="A192" s="21"/>
      <c r="B192" s="21"/>
      <c r="C192" s="21"/>
      <c r="D192" s="21"/>
      <c r="E192" s="21"/>
      <c r="F192" s="21"/>
      <c r="G192" s="21"/>
      <c r="H192" s="21"/>
      <c r="I192" s="78"/>
      <c r="J192" s="101"/>
      <c r="K192" s="100"/>
      <c r="L192" s="101"/>
      <c r="M192" s="101"/>
      <c r="N192" s="101"/>
      <c r="O192" s="251"/>
      <c r="P192" s="150"/>
      <c r="Q192" s="101"/>
      <c r="R192" s="101"/>
      <c r="S192" s="104"/>
      <c r="T192" s="101"/>
      <c r="U192" s="117"/>
      <c r="V192" s="101"/>
      <c r="W192" s="117"/>
      <c r="X192" s="101"/>
      <c r="Y192" s="190"/>
      <c r="Z192" s="117"/>
      <c r="AA192" s="62"/>
      <c r="AB192" s="117"/>
      <c r="AC192" s="117"/>
      <c r="AD192" s="117"/>
      <c r="AE192" s="117"/>
      <c r="AF192" s="117"/>
      <c r="AG192" s="117"/>
      <c r="AH192" s="117"/>
      <c r="AI192" s="117"/>
      <c r="AJ192" s="117"/>
      <c r="AK192" s="117"/>
      <c r="AL192" s="117"/>
      <c r="AM192" s="117"/>
      <c r="AN192" s="117"/>
    </row>
    <row r="193" spans="1:40" ht="46.15" customHeight="1" x14ac:dyDescent="0.2">
      <c r="A193" s="21"/>
      <c r="B193" s="21"/>
      <c r="C193" s="21"/>
      <c r="D193" s="21"/>
      <c r="E193" s="21"/>
      <c r="F193" s="21"/>
      <c r="G193" s="21"/>
      <c r="H193" s="21"/>
      <c r="I193" s="78"/>
      <c r="J193" s="101"/>
      <c r="K193" s="100"/>
      <c r="L193" s="101"/>
      <c r="M193" s="101"/>
      <c r="N193" s="101"/>
      <c r="O193" s="251"/>
      <c r="P193" s="150"/>
      <c r="Q193" s="101"/>
      <c r="R193" s="101"/>
      <c r="S193" s="104"/>
      <c r="T193" s="101"/>
      <c r="U193" s="117"/>
      <c r="V193" s="101"/>
      <c r="W193" s="117"/>
      <c r="X193" s="101"/>
      <c r="Y193" s="190"/>
      <c r="Z193" s="117"/>
      <c r="AA193" s="62"/>
      <c r="AB193" s="117"/>
      <c r="AC193" s="117"/>
      <c r="AD193" s="117"/>
      <c r="AE193" s="117"/>
      <c r="AF193" s="117"/>
      <c r="AG193" s="117"/>
      <c r="AH193" s="117"/>
      <c r="AI193" s="117"/>
      <c r="AJ193" s="117"/>
      <c r="AK193" s="117"/>
      <c r="AL193" s="117"/>
      <c r="AM193" s="117"/>
      <c r="AN193" s="117"/>
    </row>
    <row r="194" spans="1:40" ht="46.15" customHeight="1" x14ac:dyDescent="0.2">
      <c r="A194" s="21"/>
      <c r="B194" s="21"/>
      <c r="C194" s="21"/>
      <c r="D194" s="21"/>
      <c r="E194" s="21"/>
      <c r="F194" s="21"/>
      <c r="G194" s="21"/>
      <c r="H194" s="21"/>
      <c r="I194" s="78"/>
      <c r="J194" s="101"/>
      <c r="K194" s="100"/>
      <c r="L194" s="101"/>
      <c r="M194" s="101"/>
      <c r="N194" s="101"/>
      <c r="O194" s="251"/>
      <c r="P194" s="150"/>
      <c r="Q194" s="101"/>
      <c r="R194" s="101"/>
      <c r="S194" s="104"/>
      <c r="T194" s="101"/>
      <c r="U194" s="117"/>
      <c r="V194" s="101"/>
      <c r="W194" s="117"/>
      <c r="X194" s="101"/>
      <c r="Y194" s="190"/>
      <c r="Z194" s="117"/>
      <c r="AA194" s="62"/>
      <c r="AB194" s="117"/>
      <c r="AC194" s="117"/>
      <c r="AD194" s="117"/>
      <c r="AE194" s="117"/>
      <c r="AF194" s="117"/>
      <c r="AG194" s="117"/>
      <c r="AH194" s="117"/>
      <c r="AI194" s="117"/>
      <c r="AJ194" s="117"/>
      <c r="AK194" s="117"/>
      <c r="AL194" s="117"/>
      <c r="AM194" s="117"/>
      <c r="AN194" s="117"/>
    </row>
    <row r="195" spans="1:40" ht="46.15" customHeight="1" x14ac:dyDescent="0.2">
      <c r="A195" s="21"/>
      <c r="B195" s="21"/>
      <c r="C195" s="21"/>
      <c r="D195" s="21"/>
      <c r="E195" s="21"/>
      <c r="F195" s="21"/>
      <c r="G195" s="21"/>
      <c r="H195" s="21"/>
      <c r="I195" s="78"/>
      <c r="J195" s="101"/>
      <c r="K195" s="100"/>
      <c r="L195" s="101"/>
      <c r="M195" s="101"/>
      <c r="N195" s="101"/>
      <c r="O195" s="251"/>
      <c r="P195" s="150"/>
      <c r="Q195" s="101"/>
      <c r="R195" s="101"/>
      <c r="S195" s="104"/>
      <c r="T195" s="101"/>
      <c r="U195" s="117"/>
      <c r="V195" s="101"/>
      <c r="W195" s="117"/>
      <c r="X195" s="101"/>
      <c r="Y195" s="190"/>
      <c r="Z195" s="117"/>
      <c r="AA195" s="62"/>
      <c r="AB195" s="117"/>
      <c r="AC195" s="117"/>
      <c r="AD195" s="117"/>
      <c r="AE195" s="117"/>
      <c r="AF195" s="117"/>
      <c r="AG195" s="117"/>
      <c r="AH195" s="117"/>
      <c r="AI195" s="117"/>
      <c r="AJ195" s="117"/>
      <c r="AK195" s="117"/>
      <c r="AL195" s="117"/>
      <c r="AM195" s="117"/>
      <c r="AN195" s="117"/>
    </row>
    <row r="196" spans="1:40" ht="46.15" customHeight="1" x14ac:dyDescent="0.2">
      <c r="A196" s="21"/>
      <c r="B196" s="21"/>
      <c r="C196" s="21"/>
      <c r="D196" s="21"/>
      <c r="E196" s="21"/>
      <c r="F196" s="21"/>
      <c r="G196" s="21"/>
      <c r="H196" s="21"/>
      <c r="I196" s="78"/>
      <c r="J196" s="101"/>
      <c r="K196" s="100"/>
      <c r="L196" s="101"/>
      <c r="M196" s="101"/>
      <c r="N196" s="101"/>
      <c r="O196" s="251"/>
      <c r="P196" s="150"/>
      <c r="Q196" s="101"/>
      <c r="R196" s="101"/>
      <c r="S196" s="104"/>
      <c r="T196" s="101"/>
      <c r="U196" s="117"/>
      <c r="V196" s="101"/>
      <c r="W196" s="117"/>
      <c r="X196" s="101"/>
      <c r="Y196" s="190"/>
      <c r="Z196" s="117"/>
      <c r="AA196" s="62"/>
      <c r="AB196" s="117"/>
      <c r="AC196" s="117"/>
      <c r="AD196" s="117"/>
      <c r="AE196" s="117"/>
      <c r="AF196" s="117"/>
      <c r="AG196" s="117"/>
      <c r="AH196" s="117"/>
      <c r="AI196" s="117"/>
      <c r="AJ196" s="117"/>
      <c r="AK196" s="117"/>
      <c r="AL196" s="117"/>
      <c r="AM196" s="117"/>
      <c r="AN196" s="117"/>
    </row>
    <row r="197" spans="1:40" ht="46.15" customHeight="1" x14ac:dyDescent="0.2">
      <c r="A197" s="21"/>
      <c r="B197" s="21"/>
      <c r="C197" s="21"/>
      <c r="D197" s="21"/>
      <c r="E197" s="21"/>
      <c r="F197" s="21"/>
      <c r="G197" s="21"/>
      <c r="H197" s="21"/>
      <c r="I197" s="78"/>
      <c r="J197" s="101"/>
      <c r="K197" s="100"/>
      <c r="L197" s="101"/>
      <c r="M197" s="101"/>
      <c r="N197" s="101"/>
      <c r="O197" s="251"/>
      <c r="P197" s="150"/>
      <c r="Q197" s="101"/>
      <c r="R197" s="101"/>
      <c r="S197" s="104"/>
      <c r="T197" s="101"/>
      <c r="U197" s="117"/>
      <c r="V197" s="101"/>
      <c r="W197" s="117"/>
      <c r="X197" s="101"/>
      <c r="Y197" s="190"/>
      <c r="Z197" s="117"/>
      <c r="AA197" s="62"/>
      <c r="AB197" s="117"/>
      <c r="AC197" s="117"/>
      <c r="AD197" s="117"/>
      <c r="AE197" s="117"/>
      <c r="AF197" s="117"/>
      <c r="AG197" s="117"/>
      <c r="AH197" s="117"/>
      <c r="AI197" s="117"/>
      <c r="AJ197" s="117"/>
      <c r="AK197" s="117"/>
      <c r="AL197" s="117"/>
      <c r="AM197" s="117"/>
      <c r="AN197" s="117"/>
    </row>
    <row r="198" spans="1:40" ht="46.15" customHeight="1" x14ac:dyDescent="0.2">
      <c r="A198" s="21"/>
      <c r="B198" s="21"/>
      <c r="C198" s="21"/>
      <c r="D198" s="21"/>
      <c r="E198" s="21"/>
      <c r="F198" s="21"/>
      <c r="G198" s="21"/>
      <c r="H198" s="21"/>
      <c r="I198" s="78"/>
      <c r="J198" s="101"/>
      <c r="K198" s="100"/>
      <c r="L198" s="101"/>
      <c r="M198" s="101"/>
      <c r="N198" s="101"/>
      <c r="O198" s="251"/>
      <c r="P198" s="150"/>
      <c r="Q198" s="101"/>
      <c r="R198" s="101"/>
      <c r="S198" s="104"/>
      <c r="T198" s="101"/>
      <c r="U198" s="117"/>
      <c r="V198" s="101"/>
      <c r="W198" s="117"/>
      <c r="X198" s="101"/>
      <c r="Y198" s="190"/>
      <c r="Z198" s="117"/>
      <c r="AA198" s="62"/>
      <c r="AB198" s="117"/>
      <c r="AC198" s="117"/>
      <c r="AD198" s="117"/>
      <c r="AE198" s="117"/>
      <c r="AF198" s="117"/>
      <c r="AG198" s="117"/>
      <c r="AH198" s="117"/>
      <c r="AI198" s="117"/>
      <c r="AJ198" s="117"/>
      <c r="AK198" s="117"/>
      <c r="AL198" s="117"/>
      <c r="AM198" s="117"/>
      <c r="AN198" s="117"/>
    </row>
    <row r="199" spans="1:40" ht="46.15" customHeight="1" x14ac:dyDescent="0.2">
      <c r="A199" s="21"/>
      <c r="B199" s="21"/>
      <c r="C199" s="21"/>
      <c r="D199" s="21"/>
      <c r="E199" s="21"/>
      <c r="F199" s="21"/>
      <c r="G199" s="21"/>
      <c r="H199" s="21"/>
      <c r="I199" s="78"/>
      <c r="J199" s="101"/>
      <c r="K199" s="100"/>
      <c r="L199" s="101"/>
      <c r="M199" s="101"/>
      <c r="N199" s="101"/>
      <c r="O199" s="251"/>
      <c r="P199" s="150"/>
      <c r="Q199" s="101"/>
      <c r="R199" s="101"/>
      <c r="S199" s="104"/>
      <c r="T199" s="101"/>
      <c r="U199" s="117"/>
      <c r="V199" s="101"/>
      <c r="W199" s="117"/>
      <c r="X199" s="101"/>
      <c r="Y199" s="190"/>
      <c r="Z199" s="117"/>
      <c r="AA199" s="62"/>
      <c r="AB199" s="117"/>
      <c r="AC199" s="117"/>
      <c r="AD199" s="117"/>
      <c r="AE199" s="117"/>
      <c r="AF199" s="117"/>
      <c r="AG199" s="117"/>
      <c r="AH199" s="117"/>
      <c r="AI199" s="117"/>
      <c r="AJ199" s="117"/>
      <c r="AK199" s="117"/>
      <c r="AL199" s="117"/>
      <c r="AM199" s="117"/>
      <c r="AN199" s="117"/>
    </row>
    <row r="200" spans="1:40" ht="46.15" customHeight="1" x14ac:dyDescent="0.2">
      <c r="A200" s="21"/>
      <c r="B200" s="21"/>
      <c r="C200" s="21"/>
      <c r="D200" s="21"/>
      <c r="E200" s="21"/>
      <c r="F200" s="21"/>
      <c r="G200" s="21"/>
      <c r="H200" s="21"/>
      <c r="I200" s="78"/>
      <c r="J200" s="101"/>
      <c r="K200" s="100"/>
      <c r="L200" s="101"/>
      <c r="M200" s="101"/>
      <c r="N200" s="101"/>
      <c r="O200" s="251"/>
      <c r="P200" s="150"/>
      <c r="Q200" s="101"/>
      <c r="R200" s="101"/>
      <c r="S200" s="104"/>
      <c r="T200" s="101"/>
      <c r="U200" s="117"/>
      <c r="V200" s="101"/>
      <c r="W200" s="117"/>
      <c r="X200" s="101"/>
      <c r="Y200" s="190"/>
      <c r="Z200" s="117"/>
      <c r="AA200" s="62"/>
      <c r="AB200" s="117"/>
      <c r="AC200" s="117"/>
      <c r="AD200" s="117"/>
      <c r="AE200" s="117"/>
      <c r="AF200" s="117"/>
      <c r="AG200" s="117"/>
      <c r="AH200" s="117"/>
      <c r="AI200" s="117"/>
      <c r="AJ200" s="117"/>
      <c r="AK200" s="117"/>
      <c r="AL200" s="117"/>
      <c r="AM200" s="117"/>
      <c r="AN200" s="117"/>
    </row>
    <row r="201" spans="1:40" ht="46.15" customHeight="1" x14ac:dyDescent="0.2">
      <c r="A201" s="21"/>
      <c r="B201" s="21"/>
      <c r="C201" s="21"/>
      <c r="D201" s="21"/>
      <c r="E201" s="21"/>
      <c r="F201" s="21"/>
      <c r="G201" s="21"/>
      <c r="H201" s="21"/>
      <c r="I201" s="78"/>
      <c r="J201" s="101"/>
      <c r="K201" s="100"/>
      <c r="L201" s="101"/>
      <c r="M201" s="101"/>
      <c r="N201" s="101"/>
      <c r="O201" s="251"/>
      <c r="P201" s="150"/>
      <c r="Q201" s="101"/>
      <c r="R201" s="101"/>
      <c r="S201" s="104"/>
      <c r="T201" s="101"/>
      <c r="U201" s="117"/>
      <c r="V201" s="101"/>
      <c r="W201" s="117"/>
      <c r="X201" s="101"/>
      <c r="Y201" s="190"/>
      <c r="Z201" s="117"/>
      <c r="AA201" s="62"/>
      <c r="AB201" s="117"/>
      <c r="AC201" s="117"/>
      <c r="AD201" s="117"/>
      <c r="AE201" s="117"/>
      <c r="AF201" s="117"/>
      <c r="AG201" s="117"/>
      <c r="AH201" s="117"/>
      <c r="AI201" s="117"/>
      <c r="AJ201" s="117"/>
      <c r="AK201" s="117"/>
      <c r="AL201" s="117"/>
      <c r="AM201" s="117"/>
      <c r="AN201" s="117"/>
    </row>
    <row r="202" spans="1:40" ht="46.15" customHeight="1" x14ac:dyDescent="0.2">
      <c r="A202" s="21"/>
      <c r="B202" s="21"/>
      <c r="C202" s="21"/>
      <c r="D202" s="21"/>
      <c r="E202" s="21"/>
      <c r="F202" s="21"/>
      <c r="G202" s="21"/>
      <c r="H202" s="21"/>
      <c r="I202" s="78"/>
      <c r="J202" s="101"/>
      <c r="K202" s="100"/>
      <c r="L202" s="101"/>
      <c r="M202" s="101"/>
      <c r="N202" s="101"/>
      <c r="O202" s="251"/>
      <c r="P202" s="150"/>
      <c r="Q202" s="101"/>
      <c r="R202" s="101"/>
      <c r="S202" s="104"/>
      <c r="T202" s="101"/>
      <c r="U202" s="117"/>
      <c r="V202" s="101"/>
      <c r="W202" s="117"/>
      <c r="X202" s="101"/>
      <c r="Y202" s="190"/>
      <c r="Z202" s="117"/>
      <c r="AA202" s="62"/>
      <c r="AB202" s="117"/>
      <c r="AC202" s="117"/>
      <c r="AD202" s="117"/>
      <c r="AE202" s="117"/>
      <c r="AF202" s="117"/>
      <c r="AG202" s="117"/>
      <c r="AH202" s="117"/>
      <c r="AI202" s="117"/>
      <c r="AJ202" s="117"/>
      <c r="AK202" s="117"/>
      <c r="AL202" s="117"/>
      <c r="AM202" s="117"/>
      <c r="AN202" s="117"/>
    </row>
    <row r="203" spans="1:40" ht="46.15" customHeight="1" x14ac:dyDescent="0.2">
      <c r="A203" s="21"/>
      <c r="B203" s="21"/>
      <c r="C203" s="21"/>
      <c r="D203" s="21"/>
      <c r="E203" s="21"/>
      <c r="F203" s="21"/>
      <c r="G203" s="21"/>
      <c r="H203" s="21"/>
      <c r="I203" s="78"/>
      <c r="J203" s="101"/>
      <c r="K203" s="100"/>
      <c r="L203" s="101"/>
      <c r="M203" s="101"/>
      <c r="N203" s="101"/>
      <c r="O203" s="251"/>
      <c r="P203" s="150"/>
      <c r="Q203" s="101"/>
      <c r="R203" s="101"/>
      <c r="S203" s="104"/>
      <c r="T203" s="101"/>
      <c r="U203" s="117"/>
      <c r="V203" s="101"/>
      <c r="W203" s="117"/>
      <c r="X203" s="101"/>
      <c r="Y203" s="190"/>
      <c r="Z203" s="117"/>
      <c r="AA203" s="62"/>
      <c r="AB203" s="117"/>
      <c r="AC203" s="117"/>
      <c r="AD203" s="117"/>
      <c r="AE203" s="117"/>
      <c r="AF203" s="117"/>
      <c r="AG203" s="117"/>
      <c r="AH203" s="117"/>
      <c r="AI203" s="117"/>
      <c r="AJ203" s="117"/>
      <c r="AK203" s="117"/>
      <c r="AL203" s="117"/>
      <c r="AM203" s="117"/>
      <c r="AN203" s="117"/>
    </row>
    <row r="204" spans="1:40" ht="46.15" customHeight="1" x14ac:dyDescent="0.2">
      <c r="A204" s="21"/>
      <c r="B204" s="21"/>
      <c r="C204" s="21"/>
      <c r="D204" s="21"/>
      <c r="E204" s="21"/>
      <c r="F204" s="21"/>
      <c r="G204" s="21"/>
      <c r="H204" s="21"/>
      <c r="I204" s="78"/>
      <c r="J204" s="101"/>
      <c r="K204" s="100"/>
      <c r="L204" s="101"/>
      <c r="M204" s="101"/>
      <c r="N204" s="101"/>
      <c r="O204" s="251"/>
      <c r="P204" s="150"/>
      <c r="Q204" s="101"/>
      <c r="R204" s="101"/>
      <c r="S204" s="104"/>
      <c r="T204" s="101"/>
      <c r="U204" s="117"/>
      <c r="V204" s="101"/>
      <c r="W204" s="117"/>
      <c r="X204" s="101"/>
      <c r="Y204" s="190"/>
      <c r="Z204" s="117"/>
      <c r="AA204" s="62"/>
      <c r="AB204" s="117"/>
      <c r="AC204" s="117"/>
      <c r="AD204" s="117"/>
      <c r="AE204" s="117"/>
      <c r="AF204" s="117"/>
      <c r="AG204" s="117"/>
      <c r="AH204" s="117"/>
      <c r="AI204" s="117"/>
      <c r="AJ204" s="117"/>
      <c r="AK204" s="117"/>
      <c r="AL204" s="117"/>
      <c r="AM204" s="117"/>
      <c r="AN204" s="117"/>
    </row>
    <row r="205" spans="1:40" ht="46.15" customHeight="1" x14ac:dyDescent="0.2">
      <c r="A205" s="21"/>
      <c r="B205" s="21"/>
      <c r="C205" s="21"/>
      <c r="D205" s="21"/>
      <c r="E205" s="21"/>
      <c r="F205" s="21"/>
      <c r="G205" s="21"/>
      <c r="H205" s="21"/>
      <c r="I205" s="78"/>
      <c r="J205" s="101"/>
      <c r="K205" s="100"/>
      <c r="L205" s="101"/>
      <c r="M205" s="101"/>
      <c r="N205" s="101"/>
      <c r="O205" s="251"/>
      <c r="P205" s="150"/>
      <c r="Q205" s="101"/>
      <c r="R205" s="101"/>
      <c r="S205" s="104"/>
      <c r="T205" s="101"/>
      <c r="U205" s="117"/>
      <c r="V205" s="101"/>
      <c r="W205" s="117"/>
      <c r="X205" s="101"/>
      <c r="Y205" s="190"/>
      <c r="Z205" s="117"/>
      <c r="AA205" s="62"/>
      <c r="AB205" s="117"/>
      <c r="AC205" s="117"/>
      <c r="AD205" s="117"/>
      <c r="AE205" s="117"/>
      <c r="AF205" s="117"/>
      <c r="AG205" s="117"/>
      <c r="AH205" s="117"/>
      <c r="AI205" s="117"/>
      <c r="AJ205" s="117"/>
      <c r="AK205" s="117"/>
      <c r="AL205" s="117"/>
      <c r="AM205" s="117"/>
      <c r="AN205" s="117"/>
    </row>
    <row r="206" spans="1:40" ht="46.15" customHeight="1" x14ac:dyDescent="0.2">
      <c r="A206" s="21"/>
      <c r="B206" s="21"/>
      <c r="C206" s="21"/>
      <c r="D206" s="21"/>
      <c r="E206" s="21"/>
      <c r="F206" s="21"/>
      <c r="G206" s="21"/>
      <c r="H206" s="21"/>
      <c r="I206" s="78"/>
      <c r="J206" s="101"/>
      <c r="K206" s="100"/>
      <c r="L206" s="101"/>
      <c r="M206" s="101"/>
      <c r="N206" s="101"/>
      <c r="O206" s="251"/>
      <c r="P206" s="150"/>
      <c r="Q206" s="101"/>
      <c r="R206" s="101"/>
      <c r="S206" s="104"/>
      <c r="T206" s="101"/>
      <c r="U206" s="117"/>
      <c r="V206" s="101"/>
      <c r="W206" s="117"/>
      <c r="X206" s="101"/>
      <c r="Y206" s="190"/>
      <c r="Z206" s="117"/>
      <c r="AA206" s="62"/>
      <c r="AB206" s="117"/>
      <c r="AC206" s="117"/>
      <c r="AD206" s="117"/>
      <c r="AE206" s="117"/>
      <c r="AF206" s="117"/>
      <c r="AG206" s="117"/>
      <c r="AH206" s="117"/>
      <c r="AI206" s="117"/>
      <c r="AJ206" s="117"/>
      <c r="AK206" s="117"/>
      <c r="AL206" s="117"/>
      <c r="AM206" s="117"/>
      <c r="AN206" s="117"/>
    </row>
    <row r="207" spans="1:40" ht="46.15" customHeight="1" x14ac:dyDescent="0.2">
      <c r="A207" s="21"/>
      <c r="B207" s="21"/>
      <c r="C207" s="21"/>
      <c r="D207" s="21"/>
      <c r="E207" s="21"/>
      <c r="F207" s="21"/>
      <c r="G207" s="21"/>
      <c r="H207" s="21"/>
      <c r="I207" s="78"/>
      <c r="J207" s="101"/>
      <c r="K207" s="100"/>
      <c r="L207" s="101"/>
      <c r="M207" s="101"/>
      <c r="N207" s="101"/>
      <c r="O207" s="251"/>
      <c r="P207" s="150"/>
      <c r="Q207" s="101"/>
      <c r="R207" s="101"/>
      <c r="S207" s="104"/>
      <c r="T207" s="101"/>
      <c r="U207" s="117"/>
      <c r="V207" s="101"/>
      <c r="W207" s="117"/>
      <c r="X207" s="101"/>
      <c r="Y207" s="190"/>
      <c r="Z207" s="117"/>
      <c r="AA207" s="62"/>
      <c r="AB207" s="117"/>
      <c r="AC207" s="117"/>
      <c r="AD207" s="117"/>
      <c r="AE207" s="117"/>
      <c r="AF207" s="117"/>
      <c r="AG207" s="117"/>
      <c r="AH207" s="117"/>
      <c r="AI207" s="117"/>
      <c r="AJ207" s="117"/>
      <c r="AK207" s="117"/>
      <c r="AL207" s="117"/>
      <c r="AM207" s="117"/>
      <c r="AN207" s="117"/>
    </row>
    <row r="208" spans="1:40" ht="46.15" customHeight="1" x14ac:dyDescent="0.2">
      <c r="A208" s="21"/>
      <c r="B208" s="21"/>
      <c r="C208" s="21"/>
      <c r="D208" s="21"/>
      <c r="E208" s="21"/>
      <c r="F208" s="21"/>
      <c r="G208" s="21"/>
      <c r="H208" s="21"/>
      <c r="I208" s="78"/>
      <c r="J208" s="101"/>
      <c r="K208" s="100"/>
      <c r="L208" s="101"/>
      <c r="M208" s="101"/>
      <c r="N208" s="101"/>
      <c r="O208" s="251"/>
      <c r="P208" s="150"/>
      <c r="Q208" s="101"/>
      <c r="R208" s="101"/>
      <c r="S208" s="104"/>
      <c r="T208" s="101"/>
      <c r="U208" s="117"/>
      <c r="V208" s="101"/>
      <c r="W208" s="117"/>
      <c r="X208" s="101"/>
      <c r="Y208" s="190"/>
      <c r="Z208" s="117"/>
      <c r="AA208" s="62"/>
      <c r="AB208" s="117"/>
      <c r="AC208" s="117"/>
      <c r="AD208" s="117"/>
      <c r="AE208" s="117"/>
      <c r="AF208" s="117"/>
      <c r="AG208" s="117"/>
      <c r="AH208" s="117"/>
      <c r="AI208" s="117"/>
      <c r="AJ208" s="117"/>
      <c r="AK208" s="117"/>
      <c r="AL208" s="117"/>
      <c r="AM208" s="117"/>
      <c r="AN208" s="117"/>
    </row>
    <row r="209" spans="1:40" ht="46.15" customHeight="1" x14ac:dyDescent="0.2">
      <c r="A209" s="21"/>
      <c r="B209" s="21"/>
      <c r="C209" s="21"/>
      <c r="D209" s="21"/>
      <c r="E209" s="21"/>
      <c r="F209" s="21"/>
      <c r="G209" s="21"/>
      <c r="H209" s="21"/>
      <c r="I209" s="78"/>
      <c r="J209" s="101"/>
      <c r="K209" s="100"/>
      <c r="L209" s="101"/>
      <c r="M209" s="101"/>
      <c r="N209" s="101"/>
      <c r="O209" s="251"/>
      <c r="P209" s="150"/>
      <c r="Q209" s="101"/>
      <c r="R209" s="101"/>
      <c r="S209" s="104"/>
      <c r="T209" s="101"/>
      <c r="U209" s="117"/>
      <c r="V209" s="101"/>
      <c r="W209" s="117"/>
      <c r="X209" s="101"/>
      <c r="Y209" s="190"/>
      <c r="Z209" s="117"/>
      <c r="AA209" s="62"/>
      <c r="AB209" s="117"/>
      <c r="AC209" s="117"/>
      <c r="AD209" s="117"/>
      <c r="AE209" s="117"/>
      <c r="AF209" s="117"/>
      <c r="AG209" s="117"/>
      <c r="AH209" s="117"/>
      <c r="AI209" s="117"/>
      <c r="AJ209" s="117"/>
      <c r="AK209" s="117"/>
      <c r="AL209" s="117"/>
      <c r="AM209" s="117"/>
      <c r="AN209" s="117"/>
    </row>
    <row r="210" spans="1:40" ht="46.15" customHeight="1" x14ac:dyDescent="0.2">
      <c r="A210" s="21"/>
      <c r="B210" s="21"/>
      <c r="C210" s="21"/>
      <c r="D210" s="21"/>
      <c r="E210" s="21"/>
      <c r="F210" s="21"/>
      <c r="G210" s="21"/>
      <c r="H210" s="21"/>
      <c r="I210" s="78"/>
      <c r="J210" s="101"/>
      <c r="K210" s="100"/>
      <c r="L210" s="101"/>
      <c r="M210" s="101"/>
      <c r="N210" s="101"/>
      <c r="O210" s="251"/>
      <c r="P210" s="150"/>
      <c r="Q210" s="101"/>
      <c r="R210" s="101"/>
      <c r="S210" s="104"/>
      <c r="T210" s="101"/>
      <c r="U210" s="117"/>
      <c r="V210" s="101"/>
      <c r="W210" s="117"/>
      <c r="X210" s="101"/>
      <c r="Y210" s="190"/>
      <c r="Z210" s="117"/>
      <c r="AA210" s="62"/>
      <c r="AB210" s="117"/>
      <c r="AC210" s="117"/>
      <c r="AD210" s="117"/>
      <c r="AE210" s="117"/>
      <c r="AF210" s="117"/>
      <c r="AG210" s="117"/>
      <c r="AH210" s="117"/>
      <c r="AI210" s="117"/>
      <c r="AJ210" s="117"/>
      <c r="AK210" s="117"/>
      <c r="AL210" s="117"/>
      <c r="AM210" s="117"/>
      <c r="AN210" s="117"/>
    </row>
    <row r="211" spans="1:40" ht="46.15" customHeight="1" x14ac:dyDescent="0.2">
      <c r="A211" s="21"/>
      <c r="B211" s="21"/>
      <c r="C211" s="21"/>
      <c r="D211" s="21"/>
      <c r="E211" s="21"/>
      <c r="F211" s="21"/>
      <c r="G211" s="21"/>
      <c r="H211" s="21"/>
      <c r="I211" s="78"/>
      <c r="J211" s="101"/>
      <c r="K211" s="100"/>
      <c r="L211" s="101"/>
      <c r="M211" s="101"/>
      <c r="N211" s="101"/>
      <c r="O211" s="251"/>
      <c r="P211" s="150"/>
      <c r="Q211" s="101"/>
      <c r="R211" s="101"/>
      <c r="S211" s="104"/>
      <c r="T211" s="101"/>
      <c r="U211" s="117"/>
      <c r="V211" s="101"/>
      <c r="W211" s="117"/>
      <c r="X211" s="101"/>
      <c r="Y211" s="190"/>
      <c r="Z211" s="117"/>
      <c r="AA211" s="62"/>
      <c r="AB211" s="117"/>
      <c r="AC211" s="117"/>
      <c r="AD211" s="117"/>
      <c r="AE211" s="117"/>
      <c r="AF211" s="117"/>
      <c r="AG211" s="117"/>
      <c r="AH211" s="117"/>
      <c r="AI211" s="117"/>
      <c r="AJ211" s="117"/>
      <c r="AK211" s="117"/>
      <c r="AL211" s="117"/>
      <c r="AM211" s="117"/>
      <c r="AN211" s="117"/>
    </row>
    <row r="212" spans="1:40" ht="46.15" customHeight="1" x14ac:dyDescent="0.2">
      <c r="A212" s="21"/>
      <c r="B212" s="21"/>
      <c r="C212" s="21"/>
      <c r="D212" s="21"/>
      <c r="E212" s="21"/>
      <c r="F212" s="21"/>
      <c r="G212" s="21"/>
      <c r="H212" s="21"/>
      <c r="I212" s="78"/>
      <c r="J212" s="101"/>
      <c r="K212" s="100"/>
      <c r="L212" s="101"/>
      <c r="M212" s="101"/>
      <c r="N212" s="101"/>
      <c r="O212" s="251"/>
      <c r="P212" s="150"/>
      <c r="Q212" s="101"/>
      <c r="R212" s="101"/>
      <c r="S212" s="104"/>
      <c r="T212" s="101"/>
      <c r="U212" s="117"/>
      <c r="V212" s="101"/>
      <c r="W212" s="117"/>
      <c r="X212" s="101"/>
      <c r="Y212" s="190"/>
      <c r="Z212" s="117"/>
      <c r="AA212" s="62"/>
      <c r="AB212" s="117"/>
      <c r="AC212" s="117"/>
      <c r="AD212" s="117"/>
      <c r="AE212" s="117"/>
      <c r="AF212" s="117"/>
      <c r="AG212" s="117"/>
      <c r="AH212" s="117"/>
      <c r="AI212" s="117"/>
      <c r="AJ212" s="117"/>
      <c r="AK212" s="117"/>
      <c r="AL212" s="117"/>
      <c r="AM212" s="117"/>
      <c r="AN212" s="117"/>
    </row>
    <row r="213" spans="1:40" ht="46.15" customHeight="1" x14ac:dyDescent="0.2">
      <c r="A213" s="21"/>
      <c r="B213" s="21"/>
      <c r="C213" s="21"/>
      <c r="D213" s="21"/>
      <c r="E213" s="21"/>
      <c r="F213" s="21"/>
      <c r="G213" s="21"/>
      <c r="H213" s="21"/>
      <c r="I213" s="78"/>
      <c r="J213" s="101"/>
      <c r="K213" s="100"/>
      <c r="L213" s="101"/>
      <c r="M213" s="101"/>
      <c r="N213" s="101"/>
      <c r="O213" s="251"/>
      <c r="P213" s="150"/>
      <c r="Q213" s="101"/>
      <c r="R213" s="101"/>
      <c r="S213" s="104"/>
      <c r="T213" s="101"/>
      <c r="U213" s="117"/>
      <c r="V213" s="101"/>
      <c r="W213" s="117"/>
      <c r="X213" s="101"/>
      <c r="Y213" s="190"/>
      <c r="Z213" s="117"/>
      <c r="AA213" s="62"/>
      <c r="AB213" s="117"/>
      <c r="AC213" s="117"/>
      <c r="AD213" s="117"/>
      <c r="AE213" s="117"/>
      <c r="AF213" s="117"/>
      <c r="AG213" s="117"/>
      <c r="AH213" s="117"/>
      <c r="AI213" s="117"/>
      <c r="AJ213" s="117"/>
      <c r="AK213" s="117"/>
      <c r="AL213" s="117"/>
      <c r="AM213" s="117"/>
      <c r="AN213" s="117"/>
    </row>
    <row r="214" spans="1:40" ht="46.15" customHeight="1" x14ac:dyDescent="0.2">
      <c r="A214" s="21"/>
      <c r="B214" s="21"/>
      <c r="C214" s="21"/>
      <c r="D214" s="21"/>
      <c r="E214" s="21"/>
      <c r="F214" s="21"/>
      <c r="G214" s="21"/>
      <c r="H214" s="21"/>
      <c r="I214" s="78"/>
      <c r="J214" s="101"/>
      <c r="K214" s="100"/>
      <c r="L214" s="101"/>
      <c r="M214" s="101"/>
      <c r="N214" s="101"/>
      <c r="O214" s="251"/>
      <c r="P214" s="150"/>
      <c r="Q214" s="101"/>
      <c r="R214" s="101"/>
      <c r="S214" s="104"/>
      <c r="T214" s="101"/>
      <c r="U214" s="117"/>
      <c r="V214" s="101"/>
      <c r="W214" s="117"/>
      <c r="X214" s="101"/>
      <c r="Y214" s="190"/>
      <c r="Z214" s="117"/>
      <c r="AA214" s="62"/>
      <c r="AB214" s="117"/>
      <c r="AC214" s="117"/>
      <c r="AD214" s="117"/>
      <c r="AE214" s="117"/>
      <c r="AF214" s="117"/>
      <c r="AG214" s="117"/>
      <c r="AH214" s="117"/>
      <c r="AI214" s="117"/>
      <c r="AJ214" s="117"/>
      <c r="AK214" s="117"/>
      <c r="AL214" s="117"/>
      <c r="AM214" s="117"/>
      <c r="AN214" s="117"/>
    </row>
    <row r="215" spans="1:40" ht="46.15" customHeight="1" x14ac:dyDescent="0.2">
      <c r="A215" s="21"/>
      <c r="B215" s="21"/>
      <c r="C215" s="21"/>
      <c r="D215" s="21"/>
      <c r="E215" s="21"/>
      <c r="F215" s="21"/>
      <c r="G215" s="21"/>
      <c r="H215" s="21"/>
      <c r="I215" s="78"/>
      <c r="J215" s="101"/>
      <c r="K215" s="100"/>
      <c r="L215" s="101"/>
      <c r="M215" s="101"/>
      <c r="N215" s="101"/>
      <c r="O215" s="251"/>
      <c r="P215" s="150"/>
      <c r="Q215" s="101"/>
      <c r="R215" s="101"/>
      <c r="S215" s="104"/>
      <c r="T215" s="101"/>
      <c r="U215" s="117"/>
      <c r="V215" s="101"/>
      <c r="W215" s="117"/>
      <c r="X215" s="101"/>
      <c r="Y215" s="190"/>
      <c r="Z215" s="117"/>
      <c r="AA215" s="62"/>
      <c r="AB215" s="117"/>
      <c r="AC215" s="117"/>
      <c r="AD215" s="117"/>
      <c r="AE215" s="117"/>
      <c r="AF215" s="117"/>
      <c r="AG215" s="117"/>
      <c r="AH215" s="117"/>
      <c r="AI215" s="117"/>
      <c r="AJ215" s="117"/>
      <c r="AK215" s="117"/>
      <c r="AL215" s="117"/>
      <c r="AM215" s="117"/>
      <c r="AN215" s="117"/>
    </row>
    <row r="216" spans="1:40" ht="46.15" customHeight="1" x14ac:dyDescent="0.2">
      <c r="A216" s="21"/>
      <c r="B216" s="21"/>
      <c r="C216" s="21"/>
      <c r="D216" s="21"/>
      <c r="E216" s="21"/>
      <c r="F216" s="21"/>
      <c r="G216" s="21"/>
      <c r="H216" s="21"/>
      <c r="I216" s="78"/>
      <c r="J216" s="101"/>
      <c r="K216" s="100"/>
      <c r="L216" s="101"/>
      <c r="M216" s="101"/>
      <c r="N216" s="101"/>
      <c r="O216" s="251"/>
      <c r="P216" s="150"/>
      <c r="Q216" s="101"/>
      <c r="R216" s="101"/>
      <c r="S216" s="104"/>
      <c r="T216" s="101"/>
      <c r="U216" s="117"/>
      <c r="V216" s="101"/>
      <c r="W216" s="117"/>
      <c r="X216" s="101"/>
      <c r="Y216" s="190"/>
      <c r="Z216" s="117"/>
      <c r="AA216" s="62"/>
      <c r="AB216" s="117"/>
      <c r="AC216" s="117"/>
      <c r="AD216" s="117"/>
      <c r="AE216" s="117"/>
      <c r="AF216" s="117"/>
      <c r="AG216" s="117"/>
      <c r="AH216" s="117"/>
      <c r="AI216" s="117"/>
      <c r="AJ216" s="117"/>
      <c r="AK216" s="117"/>
      <c r="AL216" s="117"/>
      <c r="AM216" s="117"/>
      <c r="AN216" s="117"/>
    </row>
    <row r="217" spans="1:40" ht="46.15" customHeight="1" x14ac:dyDescent="0.2">
      <c r="A217" s="21"/>
      <c r="B217" s="21"/>
      <c r="C217" s="21"/>
      <c r="D217" s="21"/>
      <c r="E217" s="21"/>
      <c r="F217" s="21"/>
      <c r="G217" s="21"/>
      <c r="H217" s="21"/>
      <c r="I217" s="78"/>
      <c r="J217" s="101"/>
      <c r="K217" s="100"/>
      <c r="L217" s="101"/>
      <c r="M217" s="101"/>
      <c r="N217" s="101"/>
      <c r="O217" s="251"/>
      <c r="P217" s="150"/>
      <c r="Q217" s="101"/>
      <c r="R217" s="101"/>
      <c r="S217" s="104"/>
      <c r="T217" s="101"/>
      <c r="U217" s="117"/>
      <c r="V217" s="101"/>
      <c r="W217" s="117"/>
      <c r="X217" s="101"/>
      <c r="Y217" s="190"/>
      <c r="Z217" s="117"/>
      <c r="AA217" s="62"/>
      <c r="AB217" s="117"/>
      <c r="AC217" s="117"/>
      <c r="AD217" s="117"/>
      <c r="AE217" s="117"/>
      <c r="AF217" s="117"/>
      <c r="AG217" s="117"/>
      <c r="AH217" s="117"/>
      <c r="AI217" s="117"/>
      <c r="AJ217" s="117"/>
      <c r="AK217" s="117"/>
      <c r="AL217" s="117"/>
      <c r="AM217" s="117"/>
      <c r="AN217" s="117"/>
    </row>
    <row r="218" spans="1:40" ht="46.15" customHeight="1" x14ac:dyDescent="0.2">
      <c r="A218" s="21"/>
      <c r="B218" s="21"/>
      <c r="C218" s="21"/>
      <c r="D218" s="21"/>
      <c r="E218" s="21"/>
      <c r="F218" s="21"/>
      <c r="G218" s="21"/>
      <c r="H218" s="21"/>
      <c r="I218" s="78"/>
      <c r="J218" s="101"/>
      <c r="K218" s="100"/>
      <c r="L218" s="101"/>
      <c r="M218" s="101"/>
      <c r="N218" s="101"/>
      <c r="O218" s="251"/>
      <c r="P218" s="150"/>
      <c r="Q218" s="101"/>
      <c r="R218" s="101"/>
      <c r="S218" s="104"/>
      <c r="T218" s="101"/>
      <c r="U218" s="117"/>
      <c r="V218" s="101"/>
      <c r="W218" s="117"/>
      <c r="X218" s="101"/>
      <c r="Y218" s="190"/>
      <c r="Z218" s="117"/>
      <c r="AA218" s="62"/>
      <c r="AB218" s="117"/>
      <c r="AC218" s="117"/>
      <c r="AD218" s="117"/>
      <c r="AE218" s="117"/>
      <c r="AF218" s="117"/>
      <c r="AG218" s="117"/>
      <c r="AH218" s="117"/>
      <c r="AI218" s="117"/>
      <c r="AJ218" s="117"/>
      <c r="AK218" s="117"/>
      <c r="AL218" s="117"/>
      <c r="AM218" s="117"/>
      <c r="AN218" s="117"/>
    </row>
    <row r="219" spans="1:40" ht="46.15" customHeight="1" x14ac:dyDescent="0.2">
      <c r="A219" s="21"/>
      <c r="B219" s="21"/>
      <c r="C219" s="21"/>
      <c r="D219" s="21"/>
      <c r="E219" s="21"/>
      <c r="F219" s="21"/>
      <c r="G219" s="21"/>
      <c r="H219" s="21"/>
      <c r="I219" s="78"/>
      <c r="J219" s="101"/>
      <c r="K219" s="100"/>
      <c r="L219" s="101"/>
      <c r="M219" s="101"/>
      <c r="N219" s="101"/>
      <c r="O219" s="251"/>
      <c r="P219" s="150"/>
      <c r="Q219" s="101"/>
      <c r="R219" s="101"/>
      <c r="S219" s="104"/>
      <c r="T219" s="101"/>
      <c r="U219" s="117"/>
      <c r="V219" s="101"/>
      <c r="W219" s="117"/>
      <c r="X219" s="101"/>
      <c r="Y219" s="190"/>
      <c r="Z219" s="117"/>
      <c r="AA219" s="62"/>
      <c r="AB219" s="117"/>
      <c r="AC219" s="117"/>
      <c r="AD219" s="117"/>
      <c r="AE219" s="117"/>
      <c r="AF219" s="117"/>
      <c r="AG219" s="117"/>
      <c r="AH219" s="117"/>
      <c r="AI219" s="117"/>
      <c r="AJ219" s="117"/>
      <c r="AK219" s="117"/>
      <c r="AL219" s="117"/>
      <c r="AM219" s="117"/>
      <c r="AN219" s="117"/>
    </row>
    <row r="220" spans="1:40" ht="46.15" customHeight="1" x14ac:dyDescent="0.2">
      <c r="A220" s="21"/>
      <c r="B220" s="21"/>
      <c r="C220" s="21"/>
      <c r="D220" s="21"/>
      <c r="E220" s="21"/>
      <c r="F220" s="21"/>
      <c r="G220" s="21"/>
      <c r="H220" s="21"/>
      <c r="I220" s="78"/>
      <c r="J220" s="101"/>
      <c r="K220" s="100"/>
      <c r="L220" s="101"/>
      <c r="M220" s="101"/>
      <c r="N220" s="101"/>
      <c r="O220" s="251"/>
      <c r="P220" s="150"/>
      <c r="Q220" s="101"/>
      <c r="R220" s="101"/>
      <c r="S220" s="104"/>
      <c r="T220" s="101"/>
      <c r="U220" s="117"/>
      <c r="V220" s="101"/>
      <c r="W220" s="117"/>
      <c r="X220" s="101"/>
      <c r="Y220" s="190"/>
      <c r="Z220" s="117"/>
      <c r="AA220" s="62"/>
      <c r="AB220" s="117"/>
      <c r="AC220" s="117"/>
      <c r="AD220" s="117"/>
      <c r="AE220" s="117"/>
      <c r="AF220" s="117"/>
      <c r="AG220" s="117"/>
      <c r="AH220" s="117"/>
      <c r="AI220" s="117"/>
      <c r="AJ220" s="117"/>
      <c r="AK220" s="117"/>
      <c r="AL220" s="117"/>
      <c r="AM220" s="117"/>
      <c r="AN220" s="117"/>
    </row>
    <row r="221" spans="1:40" ht="46.15" customHeight="1" x14ac:dyDescent="0.2">
      <c r="A221" s="21"/>
      <c r="B221" s="21"/>
      <c r="C221" s="21"/>
      <c r="D221" s="21"/>
      <c r="E221" s="21"/>
      <c r="F221" s="21"/>
      <c r="G221" s="21"/>
      <c r="H221" s="21"/>
      <c r="I221" s="78"/>
      <c r="J221" s="101"/>
      <c r="K221" s="100"/>
      <c r="L221" s="101"/>
      <c r="M221" s="101"/>
      <c r="N221" s="101"/>
      <c r="O221" s="251"/>
      <c r="P221" s="150"/>
      <c r="Q221" s="101"/>
      <c r="R221" s="101"/>
      <c r="S221" s="104"/>
      <c r="T221" s="101"/>
      <c r="U221" s="117"/>
      <c r="V221" s="101"/>
      <c r="W221" s="117"/>
      <c r="X221" s="101"/>
      <c r="Y221" s="190"/>
      <c r="Z221" s="117"/>
      <c r="AA221" s="62"/>
      <c r="AB221" s="117"/>
      <c r="AC221" s="117"/>
      <c r="AD221" s="117"/>
      <c r="AE221" s="117"/>
      <c r="AF221" s="117"/>
      <c r="AG221" s="117"/>
      <c r="AH221" s="117"/>
      <c r="AI221" s="117"/>
      <c r="AJ221" s="117"/>
      <c r="AK221" s="117"/>
      <c r="AL221" s="117"/>
      <c r="AM221" s="117"/>
      <c r="AN221" s="117"/>
    </row>
    <row r="222" spans="1:40" ht="46.15" customHeight="1" x14ac:dyDescent="0.2">
      <c r="A222" s="21"/>
      <c r="B222" s="21"/>
      <c r="C222" s="21"/>
      <c r="D222" s="21"/>
      <c r="E222" s="21"/>
      <c r="F222" s="21"/>
      <c r="G222" s="21"/>
      <c r="H222" s="21"/>
      <c r="I222" s="78"/>
      <c r="J222" s="101"/>
      <c r="K222" s="100"/>
      <c r="L222" s="101"/>
      <c r="M222" s="101"/>
      <c r="N222" s="101"/>
      <c r="O222" s="251"/>
      <c r="P222" s="150"/>
      <c r="Q222" s="101"/>
      <c r="R222" s="101"/>
      <c r="S222" s="104"/>
      <c r="T222" s="101"/>
      <c r="U222" s="117"/>
      <c r="V222" s="101"/>
      <c r="W222" s="117"/>
      <c r="X222" s="101"/>
      <c r="Y222" s="190"/>
      <c r="Z222" s="117"/>
      <c r="AA222" s="62"/>
      <c r="AB222" s="117"/>
      <c r="AC222" s="117"/>
      <c r="AD222" s="117"/>
      <c r="AE222" s="117"/>
      <c r="AF222" s="117"/>
      <c r="AG222" s="117"/>
      <c r="AH222" s="117"/>
      <c r="AI222" s="117"/>
      <c r="AJ222" s="117"/>
      <c r="AK222" s="117"/>
      <c r="AL222" s="117"/>
      <c r="AM222" s="117"/>
      <c r="AN222" s="117"/>
    </row>
    <row r="223" spans="1:40" ht="46.15" customHeight="1" x14ac:dyDescent="0.2">
      <c r="A223" s="21"/>
      <c r="B223" s="21"/>
      <c r="C223" s="21"/>
      <c r="D223" s="21"/>
      <c r="E223" s="21"/>
      <c r="F223" s="21"/>
      <c r="G223" s="21"/>
      <c r="H223" s="21"/>
      <c r="I223" s="78"/>
      <c r="J223" s="101"/>
      <c r="K223" s="100"/>
      <c r="L223" s="101"/>
      <c r="M223" s="101"/>
      <c r="N223" s="101"/>
      <c r="O223" s="251"/>
      <c r="P223" s="150"/>
      <c r="Q223" s="101"/>
      <c r="R223" s="101"/>
      <c r="S223" s="104"/>
      <c r="T223" s="101"/>
      <c r="U223" s="117"/>
      <c r="V223" s="101"/>
      <c r="W223" s="117"/>
      <c r="X223" s="101"/>
      <c r="Y223" s="190"/>
      <c r="Z223" s="117"/>
      <c r="AA223" s="62"/>
      <c r="AB223" s="117"/>
      <c r="AC223" s="117"/>
      <c r="AD223" s="117"/>
      <c r="AE223" s="117"/>
      <c r="AF223" s="117"/>
      <c r="AG223" s="117"/>
      <c r="AH223" s="117"/>
      <c r="AI223" s="117"/>
      <c r="AJ223" s="117"/>
      <c r="AK223" s="117"/>
      <c r="AL223" s="117"/>
      <c r="AM223" s="117"/>
      <c r="AN223" s="117"/>
    </row>
    <row r="224" spans="1:40" ht="46.15" customHeight="1" x14ac:dyDescent="0.2">
      <c r="A224" s="21"/>
      <c r="B224" s="21"/>
      <c r="C224" s="21"/>
      <c r="D224" s="21"/>
      <c r="E224" s="21"/>
      <c r="F224" s="21"/>
      <c r="G224" s="21"/>
      <c r="H224" s="21"/>
      <c r="I224" s="78"/>
      <c r="J224" s="101"/>
      <c r="K224" s="100"/>
      <c r="L224" s="101"/>
      <c r="M224" s="101"/>
      <c r="N224" s="101"/>
      <c r="O224" s="251"/>
      <c r="P224" s="150"/>
      <c r="Q224" s="101"/>
      <c r="R224" s="101"/>
      <c r="S224" s="104"/>
      <c r="T224" s="101"/>
      <c r="U224" s="117"/>
      <c r="V224" s="101"/>
      <c r="W224" s="117"/>
      <c r="X224" s="101"/>
      <c r="Y224" s="190"/>
      <c r="Z224" s="117"/>
      <c r="AA224" s="62"/>
      <c r="AB224" s="117"/>
      <c r="AC224" s="117"/>
      <c r="AD224" s="117"/>
      <c r="AE224" s="117"/>
      <c r="AF224" s="117"/>
      <c r="AG224" s="117"/>
      <c r="AH224" s="117"/>
      <c r="AI224" s="117"/>
      <c r="AJ224" s="117"/>
      <c r="AK224" s="117"/>
      <c r="AL224" s="117"/>
      <c r="AM224" s="117"/>
      <c r="AN224" s="117"/>
    </row>
    <row r="225" spans="1:40" ht="46.15" customHeight="1" x14ac:dyDescent="0.2">
      <c r="A225" s="21"/>
      <c r="B225" s="21"/>
      <c r="C225" s="21"/>
      <c r="D225" s="21"/>
      <c r="E225" s="21"/>
      <c r="F225" s="21"/>
      <c r="G225" s="21"/>
      <c r="H225" s="21"/>
      <c r="I225" s="78"/>
      <c r="J225" s="101"/>
      <c r="K225" s="100"/>
      <c r="L225" s="101"/>
      <c r="M225" s="101"/>
      <c r="N225" s="101"/>
      <c r="O225" s="251"/>
      <c r="P225" s="150"/>
      <c r="Q225" s="101"/>
      <c r="R225" s="101"/>
      <c r="S225" s="104"/>
      <c r="T225" s="101"/>
      <c r="U225" s="117"/>
      <c r="V225" s="101"/>
      <c r="W225" s="117"/>
      <c r="X225" s="101"/>
      <c r="Y225" s="190"/>
      <c r="Z225" s="117"/>
      <c r="AA225" s="62"/>
      <c r="AB225" s="117"/>
      <c r="AC225" s="117"/>
      <c r="AD225" s="117"/>
      <c r="AE225" s="117"/>
      <c r="AF225" s="117"/>
      <c r="AG225" s="117"/>
      <c r="AH225" s="117"/>
      <c r="AI225" s="117"/>
      <c r="AJ225" s="117"/>
      <c r="AK225" s="117"/>
      <c r="AL225" s="117"/>
      <c r="AM225" s="117"/>
      <c r="AN225" s="117"/>
    </row>
    <row r="226" spans="1:40" ht="46.15" customHeight="1" x14ac:dyDescent="0.2">
      <c r="A226" s="21"/>
      <c r="B226" s="21"/>
      <c r="C226" s="21"/>
      <c r="D226" s="21"/>
      <c r="E226" s="21"/>
      <c r="F226" s="21"/>
      <c r="G226" s="21"/>
      <c r="H226" s="21"/>
      <c r="I226" s="78"/>
      <c r="J226" s="101"/>
      <c r="K226" s="100"/>
      <c r="L226" s="101"/>
      <c r="M226" s="101"/>
      <c r="N226" s="101"/>
      <c r="O226" s="251"/>
      <c r="P226" s="150"/>
      <c r="Q226" s="101"/>
      <c r="R226" s="101"/>
      <c r="S226" s="104"/>
      <c r="T226" s="101"/>
      <c r="U226" s="117"/>
      <c r="V226" s="101"/>
      <c r="W226" s="117"/>
      <c r="X226" s="101"/>
      <c r="Y226" s="190"/>
      <c r="Z226" s="117"/>
      <c r="AA226" s="62"/>
      <c r="AB226" s="117"/>
      <c r="AC226" s="117"/>
      <c r="AD226" s="117"/>
      <c r="AE226" s="117"/>
      <c r="AF226" s="117"/>
      <c r="AG226" s="117"/>
      <c r="AH226" s="117"/>
      <c r="AI226" s="117"/>
      <c r="AJ226" s="117"/>
      <c r="AK226" s="117"/>
      <c r="AL226" s="117"/>
      <c r="AM226" s="117"/>
      <c r="AN226" s="117"/>
    </row>
    <row r="227" spans="1:40" ht="46.15" customHeight="1" x14ac:dyDescent="0.2">
      <c r="A227" s="21"/>
      <c r="B227" s="21"/>
      <c r="C227" s="21"/>
      <c r="D227" s="21"/>
      <c r="E227" s="21"/>
      <c r="F227" s="21"/>
      <c r="G227" s="21"/>
      <c r="H227" s="21"/>
      <c r="I227" s="78"/>
      <c r="J227" s="101"/>
      <c r="K227" s="100"/>
      <c r="L227" s="101"/>
      <c r="M227" s="101"/>
      <c r="N227" s="101"/>
      <c r="O227" s="251"/>
      <c r="P227" s="150"/>
      <c r="Q227" s="101"/>
      <c r="R227" s="101"/>
      <c r="S227" s="104"/>
      <c r="T227" s="101"/>
      <c r="U227" s="117"/>
      <c r="V227" s="101"/>
      <c r="W227" s="117"/>
      <c r="X227" s="101"/>
      <c r="Y227" s="190"/>
      <c r="Z227" s="117"/>
      <c r="AA227" s="62"/>
      <c r="AB227" s="117"/>
      <c r="AC227" s="117"/>
      <c r="AD227" s="117"/>
      <c r="AE227" s="117"/>
      <c r="AF227" s="117"/>
      <c r="AG227" s="117"/>
      <c r="AH227" s="117"/>
      <c r="AI227" s="117"/>
      <c r="AJ227" s="117"/>
      <c r="AK227" s="117"/>
      <c r="AL227" s="117"/>
      <c r="AM227" s="117"/>
      <c r="AN227" s="117"/>
    </row>
    <row r="228" spans="1:40" ht="46.15" customHeight="1" x14ac:dyDescent="0.2">
      <c r="A228" s="21"/>
      <c r="B228" s="21"/>
      <c r="C228" s="21"/>
      <c r="D228" s="21"/>
      <c r="E228" s="21"/>
      <c r="F228" s="21"/>
      <c r="G228" s="21"/>
      <c r="H228" s="21"/>
      <c r="I228" s="78"/>
      <c r="J228" s="101"/>
      <c r="K228" s="100"/>
      <c r="L228" s="101"/>
      <c r="M228" s="101"/>
      <c r="N228" s="101"/>
      <c r="O228" s="251"/>
      <c r="P228" s="150"/>
      <c r="Q228" s="101"/>
      <c r="R228" s="101"/>
      <c r="S228" s="104"/>
      <c r="T228" s="101"/>
      <c r="U228" s="117"/>
      <c r="V228" s="101"/>
      <c r="W228" s="117"/>
      <c r="X228" s="101"/>
      <c r="Y228" s="190"/>
      <c r="Z228" s="117"/>
      <c r="AA228" s="62"/>
      <c r="AB228" s="117"/>
      <c r="AC228" s="117"/>
      <c r="AD228" s="117"/>
      <c r="AE228" s="117"/>
      <c r="AF228" s="117"/>
      <c r="AG228" s="117"/>
      <c r="AH228" s="117"/>
      <c r="AI228" s="117"/>
      <c r="AJ228" s="117"/>
      <c r="AK228" s="117"/>
      <c r="AL228" s="117"/>
      <c r="AM228" s="117"/>
      <c r="AN228" s="117"/>
    </row>
    <row r="229" spans="1:40" ht="46.15" customHeight="1" x14ac:dyDescent="0.2">
      <c r="A229" s="21"/>
      <c r="B229" s="21"/>
      <c r="C229" s="21"/>
      <c r="D229" s="21"/>
      <c r="E229" s="21"/>
      <c r="F229" s="21"/>
      <c r="G229" s="21"/>
      <c r="H229" s="21"/>
      <c r="I229" s="78"/>
      <c r="J229" s="101"/>
      <c r="K229" s="100"/>
      <c r="L229" s="101"/>
      <c r="M229" s="101"/>
      <c r="N229" s="101"/>
      <c r="O229" s="251"/>
      <c r="P229" s="150"/>
      <c r="Q229" s="101"/>
      <c r="R229" s="101"/>
      <c r="S229" s="104"/>
      <c r="T229" s="101"/>
      <c r="U229" s="117"/>
      <c r="V229" s="101"/>
      <c r="W229" s="117"/>
      <c r="X229" s="101"/>
      <c r="Y229" s="190"/>
      <c r="Z229" s="117"/>
      <c r="AA229" s="62"/>
      <c r="AB229" s="117"/>
      <c r="AC229" s="117"/>
      <c r="AD229" s="117"/>
      <c r="AE229" s="117"/>
      <c r="AF229" s="117"/>
      <c r="AG229" s="117"/>
      <c r="AH229" s="117"/>
      <c r="AI229" s="117"/>
      <c r="AJ229" s="117"/>
      <c r="AK229" s="117"/>
      <c r="AL229" s="117"/>
      <c r="AM229" s="117"/>
      <c r="AN229" s="117"/>
    </row>
    <row r="230" spans="1:40" ht="46.15" customHeight="1" x14ac:dyDescent="0.2">
      <c r="A230" s="21"/>
      <c r="B230" s="21"/>
      <c r="C230" s="21"/>
      <c r="D230" s="21"/>
      <c r="E230" s="21"/>
      <c r="F230" s="21"/>
      <c r="G230" s="21"/>
      <c r="H230" s="21"/>
      <c r="I230" s="78"/>
      <c r="J230" s="101"/>
      <c r="K230" s="100"/>
      <c r="L230" s="101"/>
      <c r="M230" s="101"/>
      <c r="N230" s="101"/>
      <c r="O230" s="251"/>
      <c r="P230" s="150"/>
      <c r="Q230" s="101"/>
      <c r="R230" s="101"/>
      <c r="S230" s="104"/>
      <c r="T230" s="101"/>
      <c r="U230" s="117"/>
      <c r="V230" s="101"/>
      <c r="W230" s="117"/>
      <c r="X230" s="101"/>
      <c r="Y230" s="190"/>
      <c r="Z230" s="117"/>
      <c r="AA230" s="62"/>
      <c r="AB230" s="117"/>
      <c r="AC230" s="117"/>
      <c r="AD230" s="117"/>
      <c r="AE230" s="117"/>
      <c r="AF230" s="117"/>
      <c r="AG230" s="117"/>
      <c r="AH230" s="117"/>
      <c r="AI230" s="117"/>
      <c r="AJ230" s="117"/>
      <c r="AK230" s="117"/>
      <c r="AL230" s="117"/>
      <c r="AM230" s="117"/>
      <c r="AN230" s="117"/>
    </row>
    <row r="231" spans="1:40" ht="46.15" customHeight="1" x14ac:dyDescent="0.2">
      <c r="A231" s="21"/>
      <c r="B231" s="21"/>
      <c r="C231" s="21"/>
      <c r="D231" s="21"/>
      <c r="E231" s="21"/>
      <c r="F231" s="21"/>
      <c r="G231" s="21"/>
      <c r="H231" s="21"/>
      <c r="I231" s="78"/>
      <c r="J231" s="101"/>
      <c r="K231" s="100"/>
      <c r="L231" s="101"/>
      <c r="M231" s="101"/>
      <c r="N231" s="101"/>
      <c r="O231" s="251"/>
      <c r="P231" s="150"/>
      <c r="Q231" s="101"/>
      <c r="R231" s="101"/>
      <c r="S231" s="104"/>
      <c r="T231" s="101"/>
      <c r="U231" s="117"/>
      <c r="V231" s="101"/>
      <c r="W231" s="117"/>
      <c r="X231" s="101"/>
      <c r="Y231" s="190"/>
      <c r="Z231" s="117"/>
      <c r="AA231" s="62"/>
      <c r="AB231" s="117"/>
      <c r="AC231" s="117"/>
      <c r="AD231" s="117"/>
      <c r="AE231" s="117"/>
      <c r="AF231" s="117"/>
      <c r="AG231" s="117"/>
      <c r="AH231" s="117"/>
      <c r="AI231" s="117"/>
      <c r="AJ231" s="117"/>
      <c r="AK231" s="117"/>
      <c r="AL231" s="117"/>
      <c r="AM231" s="117"/>
      <c r="AN231" s="117"/>
    </row>
    <row r="232" spans="1:40" ht="46.15" customHeight="1" x14ac:dyDescent="0.2">
      <c r="A232" s="21"/>
      <c r="B232" s="21"/>
      <c r="C232" s="21"/>
      <c r="D232" s="21"/>
      <c r="E232" s="21"/>
      <c r="F232" s="21"/>
      <c r="G232" s="21"/>
      <c r="H232" s="21"/>
      <c r="I232" s="78"/>
      <c r="J232" s="101"/>
      <c r="K232" s="100"/>
      <c r="L232" s="101"/>
      <c r="M232" s="101"/>
      <c r="N232" s="101"/>
      <c r="O232" s="251"/>
      <c r="P232" s="150"/>
      <c r="Q232" s="101"/>
      <c r="R232" s="101"/>
      <c r="S232" s="104"/>
      <c r="T232" s="101"/>
      <c r="U232" s="117"/>
      <c r="V232" s="101"/>
      <c r="W232" s="117"/>
      <c r="X232" s="101"/>
      <c r="Y232" s="190"/>
      <c r="Z232" s="117"/>
      <c r="AA232" s="62"/>
      <c r="AB232" s="117"/>
      <c r="AC232" s="117"/>
      <c r="AD232" s="117"/>
      <c r="AE232" s="117"/>
      <c r="AF232" s="117"/>
      <c r="AG232" s="117"/>
      <c r="AH232" s="117"/>
      <c r="AI232" s="117"/>
      <c r="AJ232" s="117"/>
      <c r="AK232" s="117"/>
      <c r="AL232" s="117"/>
      <c r="AM232" s="117"/>
      <c r="AN232" s="117"/>
    </row>
    <row r="233" spans="1:40" ht="46.15" customHeight="1" x14ac:dyDescent="0.2">
      <c r="A233" s="21"/>
      <c r="B233" s="21"/>
      <c r="C233" s="21"/>
      <c r="D233" s="21"/>
      <c r="E233" s="21"/>
      <c r="F233" s="21"/>
      <c r="G233" s="21"/>
      <c r="H233" s="21"/>
      <c r="I233" s="78"/>
      <c r="J233" s="101"/>
      <c r="K233" s="100"/>
      <c r="L233" s="101"/>
      <c r="M233" s="101"/>
      <c r="N233" s="101"/>
      <c r="O233" s="251"/>
      <c r="P233" s="150"/>
      <c r="Q233" s="101"/>
      <c r="R233" s="101"/>
      <c r="S233" s="104"/>
      <c r="T233" s="101"/>
      <c r="U233" s="117"/>
      <c r="V233" s="101"/>
      <c r="W233" s="117"/>
      <c r="X233" s="101"/>
      <c r="Y233" s="190"/>
      <c r="Z233" s="117"/>
      <c r="AA233" s="62"/>
      <c r="AB233" s="117"/>
      <c r="AC233" s="117"/>
      <c r="AD233" s="117"/>
      <c r="AE233" s="117"/>
      <c r="AF233" s="117"/>
      <c r="AG233" s="117"/>
      <c r="AH233" s="117"/>
      <c r="AI233" s="117"/>
      <c r="AJ233" s="117"/>
      <c r="AK233" s="117"/>
      <c r="AL233" s="117"/>
      <c r="AM233" s="117"/>
      <c r="AN233" s="117"/>
    </row>
    <row r="234" spans="1:40" ht="46.15" customHeight="1" x14ac:dyDescent="0.2">
      <c r="A234" s="21"/>
      <c r="B234" s="21"/>
      <c r="C234" s="21"/>
      <c r="D234" s="21"/>
      <c r="E234" s="21"/>
      <c r="F234" s="21"/>
      <c r="G234" s="21"/>
      <c r="H234" s="21"/>
      <c r="I234" s="78"/>
      <c r="J234" s="101"/>
      <c r="K234" s="100"/>
      <c r="L234" s="101"/>
      <c r="M234" s="101"/>
      <c r="N234" s="101"/>
      <c r="O234" s="251"/>
      <c r="P234" s="150"/>
      <c r="Q234" s="101"/>
      <c r="R234" s="101"/>
      <c r="S234" s="104"/>
      <c r="T234" s="101"/>
      <c r="U234" s="117"/>
      <c r="V234" s="101"/>
      <c r="W234" s="117"/>
      <c r="X234" s="101"/>
      <c r="Y234" s="190"/>
      <c r="Z234" s="117"/>
      <c r="AA234" s="62"/>
      <c r="AB234" s="117"/>
      <c r="AC234" s="117"/>
      <c r="AD234" s="117"/>
      <c r="AE234" s="117"/>
      <c r="AF234" s="117"/>
      <c r="AG234" s="117"/>
      <c r="AH234" s="117"/>
      <c r="AI234" s="117"/>
      <c r="AJ234" s="117"/>
      <c r="AK234" s="117"/>
      <c r="AL234" s="117"/>
      <c r="AM234" s="117"/>
      <c r="AN234" s="117"/>
    </row>
    <row r="235" spans="1:40" ht="46.15" customHeight="1" x14ac:dyDescent="0.2">
      <c r="A235" s="21"/>
      <c r="B235" s="21"/>
      <c r="C235" s="21"/>
      <c r="D235" s="21"/>
      <c r="E235" s="21"/>
      <c r="F235" s="21"/>
      <c r="G235" s="21"/>
      <c r="H235" s="21"/>
      <c r="I235" s="78"/>
      <c r="J235" s="101"/>
      <c r="K235" s="100"/>
      <c r="L235" s="101"/>
      <c r="M235" s="101"/>
      <c r="N235" s="101"/>
      <c r="O235" s="251"/>
      <c r="P235" s="150"/>
      <c r="Q235" s="101"/>
      <c r="R235" s="101"/>
      <c r="S235" s="104"/>
      <c r="T235" s="101"/>
      <c r="U235" s="117"/>
      <c r="V235" s="101"/>
      <c r="W235" s="117"/>
      <c r="X235" s="101"/>
      <c r="Y235" s="190"/>
      <c r="Z235" s="117"/>
      <c r="AA235" s="62"/>
      <c r="AB235" s="117"/>
      <c r="AC235" s="117"/>
      <c r="AD235" s="117"/>
      <c r="AE235" s="117"/>
      <c r="AF235" s="117"/>
      <c r="AG235" s="117"/>
      <c r="AH235" s="117"/>
      <c r="AI235" s="117"/>
      <c r="AJ235" s="117"/>
      <c r="AK235" s="117"/>
      <c r="AL235" s="117"/>
      <c r="AM235" s="117"/>
      <c r="AN235" s="117"/>
    </row>
    <row r="236" spans="1:40" ht="46.15" customHeight="1" x14ac:dyDescent="0.2">
      <c r="A236" s="21"/>
      <c r="B236" s="21"/>
      <c r="C236" s="21"/>
      <c r="D236" s="21"/>
      <c r="E236" s="21"/>
      <c r="F236" s="21"/>
      <c r="G236" s="21"/>
      <c r="H236" s="21"/>
      <c r="I236" s="78"/>
      <c r="J236" s="101"/>
      <c r="K236" s="100"/>
      <c r="L236" s="101"/>
      <c r="M236" s="101"/>
      <c r="N236" s="101"/>
      <c r="O236" s="251"/>
      <c r="P236" s="150"/>
      <c r="Q236" s="101"/>
      <c r="R236" s="101"/>
      <c r="S236" s="104"/>
      <c r="T236" s="101"/>
      <c r="U236" s="117"/>
      <c r="V236" s="101"/>
      <c r="W236" s="117"/>
      <c r="X236" s="101"/>
      <c r="Y236" s="190"/>
      <c r="Z236" s="117"/>
      <c r="AA236" s="62"/>
      <c r="AB236" s="117"/>
      <c r="AC236" s="117"/>
      <c r="AD236" s="117"/>
      <c r="AE236" s="117"/>
      <c r="AF236" s="117"/>
      <c r="AG236" s="117"/>
      <c r="AH236" s="117"/>
      <c r="AI236" s="117"/>
      <c r="AJ236" s="117"/>
      <c r="AK236" s="117"/>
      <c r="AL236" s="117"/>
      <c r="AM236" s="117"/>
      <c r="AN236" s="117"/>
    </row>
    <row r="237" spans="1:40" ht="46.15" customHeight="1" x14ac:dyDescent="0.2">
      <c r="A237" s="21"/>
      <c r="B237" s="21"/>
      <c r="C237" s="21"/>
      <c r="D237" s="21"/>
      <c r="E237" s="21"/>
      <c r="F237" s="21"/>
      <c r="G237" s="21"/>
      <c r="H237" s="21"/>
      <c r="I237" s="78"/>
      <c r="J237" s="101"/>
      <c r="K237" s="100"/>
      <c r="L237" s="101"/>
      <c r="M237" s="101"/>
      <c r="N237" s="101"/>
      <c r="O237" s="251"/>
      <c r="P237" s="150"/>
      <c r="Q237" s="101"/>
      <c r="R237" s="101"/>
      <c r="S237" s="104"/>
      <c r="T237" s="101"/>
      <c r="U237" s="117"/>
      <c r="V237" s="101"/>
      <c r="W237" s="117"/>
      <c r="X237" s="101"/>
      <c r="Y237" s="190"/>
      <c r="Z237" s="117"/>
      <c r="AA237" s="62"/>
      <c r="AB237" s="117"/>
      <c r="AC237" s="117"/>
      <c r="AD237" s="117"/>
      <c r="AE237" s="117"/>
      <c r="AF237" s="117"/>
      <c r="AG237" s="117"/>
      <c r="AH237" s="117"/>
      <c r="AI237" s="117"/>
      <c r="AJ237" s="117"/>
      <c r="AK237" s="117"/>
      <c r="AL237" s="117"/>
      <c r="AM237" s="117"/>
      <c r="AN237" s="117"/>
    </row>
    <row r="238" spans="1:40" ht="46.15" customHeight="1" x14ac:dyDescent="0.2">
      <c r="A238" s="21"/>
      <c r="B238" s="21"/>
      <c r="C238" s="21"/>
      <c r="D238" s="21"/>
      <c r="E238" s="21"/>
      <c r="F238" s="21"/>
      <c r="G238" s="21"/>
      <c r="H238" s="21"/>
      <c r="I238" s="78"/>
      <c r="J238" s="101"/>
      <c r="K238" s="100"/>
      <c r="L238" s="101"/>
      <c r="M238" s="101"/>
      <c r="N238" s="101"/>
      <c r="O238" s="251"/>
      <c r="P238" s="150"/>
      <c r="Q238" s="101"/>
      <c r="R238" s="101"/>
      <c r="S238" s="104"/>
      <c r="T238" s="101"/>
      <c r="U238" s="117"/>
      <c r="V238" s="101"/>
      <c r="W238" s="117"/>
      <c r="X238" s="101"/>
      <c r="Y238" s="190"/>
      <c r="Z238" s="117"/>
      <c r="AA238" s="62"/>
      <c r="AB238" s="117"/>
      <c r="AC238" s="117"/>
      <c r="AD238" s="117"/>
      <c r="AE238" s="117"/>
      <c r="AF238" s="117"/>
      <c r="AG238" s="117"/>
      <c r="AH238" s="117"/>
      <c r="AI238" s="117"/>
      <c r="AJ238" s="117"/>
      <c r="AK238" s="117"/>
      <c r="AL238" s="117"/>
      <c r="AM238" s="117"/>
      <c r="AN238" s="117"/>
    </row>
    <row r="239" spans="1:40" ht="46.15" customHeight="1" x14ac:dyDescent="0.2">
      <c r="A239" s="21"/>
      <c r="B239" s="21"/>
      <c r="C239" s="21"/>
      <c r="D239" s="21"/>
      <c r="E239" s="21"/>
      <c r="F239" s="21"/>
      <c r="G239" s="21"/>
      <c r="H239" s="21"/>
      <c r="I239" s="78"/>
      <c r="J239" s="101"/>
      <c r="K239" s="100"/>
      <c r="L239" s="101"/>
      <c r="M239" s="101"/>
      <c r="N239" s="101"/>
      <c r="O239" s="251"/>
      <c r="P239" s="150"/>
      <c r="Q239" s="101"/>
      <c r="R239" s="101"/>
      <c r="S239" s="104"/>
      <c r="T239" s="101"/>
      <c r="U239" s="117"/>
      <c r="V239" s="101"/>
      <c r="W239" s="117"/>
      <c r="X239" s="101"/>
      <c r="Y239" s="190"/>
      <c r="Z239" s="117"/>
      <c r="AA239" s="62"/>
      <c r="AB239" s="117"/>
      <c r="AC239" s="117"/>
      <c r="AD239" s="117"/>
      <c r="AE239" s="117"/>
      <c r="AF239" s="117"/>
      <c r="AG239" s="117"/>
      <c r="AH239" s="117"/>
      <c r="AI239" s="117"/>
      <c r="AJ239" s="117"/>
      <c r="AK239" s="117"/>
      <c r="AL239" s="117"/>
      <c r="AM239" s="117"/>
      <c r="AN239" s="117"/>
    </row>
    <row r="240" spans="1:40" ht="46.15" customHeight="1" x14ac:dyDescent="0.2">
      <c r="A240" s="21"/>
      <c r="B240" s="21"/>
      <c r="C240" s="21"/>
      <c r="D240" s="21"/>
      <c r="E240" s="21"/>
      <c r="F240" s="21"/>
      <c r="G240" s="21"/>
      <c r="H240" s="21"/>
      <c r="I240" s="78"/>
      <c r="J240" s="101"/>
      <c r="K240" s="100"/>
      <c r="L240" s="101"/>
      <c r="M240" s="101"/>
      <c r="N240" s="101"/>
      <c r="O240" s="251"/>
      <c r="P240" s="150"/>
      <c r="Q240" s="101"/>
      <c r="R240" s="101"/>
      <c r="S240" s="104"/>
      <c r="T240" s="101"/>
      <c r="U240" s="117"/>
      <c r="V240" s="101"/>
      <c r="W240" s="117"/>
      <c r="X240" s="101"/>
      <c r="Y240" s="190"/>
      <c r="Z240" s="117"/>
      <c r="AA240" s="62"/>
      <c r="AB240" s="117"/>
      <c r="AC240" s="117"/>
      <c r="AD240" s="117"/>
      <c r="AE240" s="117"/>
      <c r="AF240" s="117"/>
      <c r="AG240" s="117"/>
      <c r="AH240" s="117"/>
      <c r="AI240" s="117"/>
      <c r="AJ240" s="117"/>
      <c r="AK240" s="117"/>
      <c r="AL240" s="117"/>
      <c r="AM240" s="117"/>
      <c r="AN240" s="117"/>
    </row>
    <row r="241" spans="1:40" ht="46.15" customHeight="1" x14ac:dyDescent="0.2">
      <c r="A241" s="21"/>
      <c r="B241" s="21"/>
      <c r="C241" s="21"/>
      <c r="D241" s="21"/>
      <c r="E241" s="21"/>
      <c r="F241" s="21"/>
      <c r="G241" s="21"/>
      <c r="H241" s="21"/>
      <c r="I241" s="78"/>
      <c r="J241" s="101"/>
      <c r="K241" s="100"/>
      <c r="L241" s="101"/>
      <c r="M241" s="101"/>
      <c r="N241" s="101"/>
      <c r="O241" s="251"/>
      <c r="P241" s="150"/>
      <c r="Q241" s="101"/>
      <c r="R241" s="101"/>
      <c r="S241" s="104"/>
      <c r="T241" s="101"/>
      <c r="U241" s="117"/>
      <c r="V241" s="101"/>
      <c r="W241" s="117"/>
      <c r="X241" s="101"/>
      <c r="Y241" s="190"/>
      <c r="Z241" s="117"/>
      <c r="AA241" s="62"/>
      <c r="AB241" s="117"/>
      <c r="AC241" s="117"/>
      <c r="AD241" s="117"/>
      <c r="AE241" s="117"/>
      <c r="AF241" s="117"/>
      <c r="AG241" s="117"/>
      <c r="AH241" s="117"/>
      <c r="AI241" s="117"/>
      <c r="AJ241" s="117"/>
      <c r="AK241" s="117"/>
      <c r="AL241" s="117"/>
      <c r="AM241" s="117"/>
      <c r="AN241" s="117"/>
    </row>
    <row r="242" spans="1:40" ht="46.15" customHeight="1" x14ac:dyDescent="0.2">
      <c r="A242" s="21"/>
      <c r="B242" s="21"/>
      <c r="C242" s="21"/>
      <c r="D242" s="21"/>
      <c r="E242" s="21"/>
      <c r="F242" s="21"/>
      <c r="G242" s="21"/>
      <c r="H242" s="21"/>
      <c r="I242" s="78"/>
      <c r="J242" s="101"/>
      <c r="K242" s="100"/>
      <c r="L242" s="101"/>
      <c r="M242" s="101"/>
      <c r="N242" s="101"/>
      <c r="O242" s="251"/>
      <c r="P242" s="150"/>
      <c r="Q242" s="101"/>
      <c r="R242" s="101"/>
      <c r="S242" s="104"/>
      <c r="T242" s="101"/>
      <c r="U242" s="117"/>
      <c r="V242" s="101"/>
      <c r="W242" s="117"/>
      <c r="X242" s="101"/>
      <c r="Y242" s="190"/>
      <c r="Z242" s="117"/>
      <c r="AA242" s="62"/>
      <c r="AB242" s="117"/>
      <c r="AC242" s="117"/>
      <c r="AD242" s="117"/>
      <c r="AE242" s="117"/>
      <c r="AF242" s="117"/>
      <c r="AG242" s="117"/>
      <c r="AH242" s="117"/>
      <c r="AI242" s="117"/>
      <c r="AJ242" s="117"/>
      <c r="AK242" s="117"/>
      <c r="AL242" s="117"/>
      <c r="AM242" s="117"/>
      <c r="AN242" s="117"/>
    </row>
    <row r="243" spans="1:40" ht="46.15" customHeight="1" x14ac:dyDescent="0.2">
      <c r="A243" s="21"/>
      <c r="B243" s="21"/>
      <c r="C243" s="21"/>
      <c r="D243" s="21"/>
      <c r="E243" s="21"/>
      <c r="F243" s="21"/>
      <c r="G243" s="21"/>
      <c r="H243" s="21"/>
      <c r="I243" s="78"/>
      <c r="J243" s="101"/>
      <c r="K243" s="100"/>
      <c r="L243" s="101"/>
      <c r="M243" s="101"/>
      <c r="N243" s="101"/>
      <c r="O243" s="251"/>
      <c r="P243" s="150"/>
      <c r="Q243" s="101"/>
      <c r="R243" s="101"/>
      <c r="S243" s="104"/>
      <c r="T243" s="101"/>
      <c r="U243" s="117"/>
      <c r="V243" s="101"/>
      <c r="W243" s="117"/>
      <c r="X243" s="101"/>
      <c r="Y243" s="190"/>
      <c r="Z243" s="117"/>
      <c r="AA243" s="62"/>
      <c r="AB243" s="117"/>
      <c r="AC243" s="117"/>
      <c r="AD243" s="117"/>
      <c r="AE243" s="117"/>
      <c r="AF243" s="117"/>
      <c r="AG243" s="117"/>
      <c r="AH243" s="117"/>
      <c r="AI243" s="117"/>
      <c r="AJ243" s="117"/>
      <c r="AK243" s="117"/>
      <c r="AL243" s="117"/>
      <c r="AM243" s="117"/>
      <c r="AN243" s="117"/>
    </row>
    <row r="244" spans="1:40" ht="46.15" customHeight="1" x14ac:dyDescent="0.2">
      <c r="A244" s="21"/>
      <c r="B244" s="21"/>
      <c r="C244" s="21"/>
      <c r="D244" s="21"/>
      <c r="E244" s="21"/>
      <c r="F244" s="21"/>
      <c r="G244" s="21"/>
      <c r="H244" s="21"/>
      <c r="I244" s="78"/>
      <c r="J244" s="101"/>
      <c r="K244" s="100"/>
      <c r="L244" s="101"/>
      <c r="M244" s="101"/>
      <c r="N244" s="101"/>
      <c r="O244" s="251"/>
      <c r="P244" s="150"/>
      <c r="Q244" s="101"/>
      <c r="R244" s="101"/>
      <c r="S244" s="104"/>
      <c r="T244" s="101"/>
      <c r="U244" s="117"/>
      <c r="V244" s="101"/>
      <c r="W244" s="117"/>
      <c r="X244" s="101"/>
      <c r="Y244" s="190"/>
      <c r="Z244" s="117"/>
      <c r="AA244" s="62"/>
      <c r="AB244" s="117"/>
      <c r="AC244" s="117"/>
      <c r="AD244" s="117"/>
      <c r="AE244" s="117"/>
      <c r="AF244" s="117"/>
      <c r="AG244" s="117"/>
      <c r="AH244" s="117"/>
      <c r="AI244" s="117"/>
      <c r="AJ244" s="117"/>
      <c r="AK244" s="117"/>
      <c r="AL244" s="117"/>
      <c r="AM244" s="117"/>
      <c r="AN244" s="117"/>
    </row>
    <row r="245" spans="1:40" ht="46.15" customHeight="1" x14ac:dyDescent="0.2">
      <c r="A245" s="21"/>
      <c r="B245" s="21"/>
      <c r="C245" s="21"/>
      <c r="D245" s="21"/>
      <c r="E245" s="21"/>
      <c r="F245" s="21"/>
      <c r="G245" s="21"/>
      <c r="H245" s="21"/>
      <c r="I245" s="78"/>
      <c r="J245" s="101"/>
      <c r="K245" s="100"/>
      <c r="L245" s="101"/>
      <c r="M245" s="101"/>
      <c r="N245" s="101"/>
      <c r="O245" s="251"/>
      <c r="P245" s="150"/>
      <c r="Q245" s="101"/>
      <c r="R245" s="101"/>
      <c r="S245" s="104"/>
      <c r="T245" s="101"/>
      <c r="U245" s="117"/>
      <c r="V245" s="101"/>
      <c r="W245" s="117"/>
      <c r="X245" s="101"/>
      <c r="Y245" s="190"/>
      <c r="Z245" s="117"/>
      <c r="AA245" s="62"/>
      <c r="AB245" s="117"/>
      <c r="AC245" s="117"/>
      <c r="AD245" s="117"/>
      <c r="AE245" s="117"/>
      <c r="AF245" s="117"/>
      <c r="AG245" s="117"/>
      <c r="AH245" s="117"/>
      <c r="AI245" s="117"/>
      <c r="AJ245" s="117"/>
      <c r="AK245" s="117"/>
      <c r="AL245" s="117"/>
      <c r="AM245" s="117"/>
      <c r="AN245" s="117"/>
    </row>
    <row r="246" spans="1:40" ht="46.15" customHeight="1" x14ac:dyDescent="0.2">
      <c r="A246" s="21"/>
      <c r="B246" s="21"/>
      <c r="C246" s="21"/>
      <c r="D246" s="21"/>
      <c r="E246" s="21"/>
      <c r="F246" s="21"/>
      <c r="G246" s="21"/>
      <c r="H246" s="21"/>
      <c r="I246" s="78"/>
      <c r="J246" s="101"/>
      <c r="K246" s="100"/>
      <c r="L246" s="101"/>
      <c r="M246" s="101"/>
      <c r="N246" s="101"/>
      <c r="O246" s="251"/>
      <c r="P246" s="150"/>
      <c r="Q246" s="101"/>
      <c r="R246" s="101"/>
      <c r="S246" s="104"/>
      <c r="T246" s="101"/>
      <c r="U246" s="117"/>
      <c r="V246" s="101"/>
      <c r="W246" s="117"/>
      <c r="X246" s="101"/>
      <c r="Y246" s="190"/>
      <c r="Z246" s="117"/>
      <c r="AA246" s="62"/>
      <c r="AB246" s="117"/>
      <c r="AC246" s="117"/>
      <c r="AD246" s="117"/>
      <c r="AE246" s="117"/>
      <c r="AF246" s="117"/>
      <c r="AG246" s="117"/>
      <c r="AH246" s="117"/>
      <c r="AI246" s="117"/>
      <c r="AJ246" s="117"/>
      <c r="AK246" s="117"/>
      <c r="AL246" s="117"/>
      <c r="AM246" s="117"/>
      <c r="AN246" s="117"/>
    </row>
    <row r="247" spans="1:40" ht="46.15" customHeight="1" x14ac:dyDescent="0.2">
      <c r="A247" s="21"/>
      <c r="B247" s="21"/>
      <c r="C247" s="21"/>
      <c r="D247" s="21"/>
      <c r="E247" s="21"/>
      <c r="F247" s="21"/>
      <c r="G247" s="21"/>
      <c r="H247" s="21"/>
      <c r="I247" s="78"/>
      <c r="J247" s="101"/>
      <c r="K247" s="100"/>
      <c r="L247" s="101"/>
      <c r="M247" s="101"/>
      <c r="N247" s="101"/>
      <c r="O247" s="251"/>
      <c r="P247" s="150"/>
      <c r="Q247" s="101"/>
      <c r="R247" s="101"/>
      <c r="S247" s="104"/>
      <c r="T247" s="101"/>
      <c r="U247" s="117"/>
      <c r="V247" s="101"/>
      <c r="W247" s="117"/>
      <c r="X247" s="101"/>
      <c r="Y247" s="190"/>
      <c r="Z247" s="117"/>
      <c r="AA247" s="62"/>
      <c r="AB247" s="117"/>
      <c r="AC247" s="117"/>
      <c r="AD247" s="117"/>
      <c r="AE247" s="117"/>
      <c r="AF247" s="117"/>
      <c r="AG247" s="117"/>
      <c r="AH247" s="117"/>
      <c r="AI247" s="117"/>
      <c r="AJ247" s="117"/>
      <c r="AK247" s="117"/>
      <c r="AL247" s="117"/>
      <c r="AM247" s="117"/>
      <c r="AN247" s="117"/>
    </row>
  </sheetData>
  <mergeCells count="1">
    <mergeCell ref="A102:G102"/>
  </mergeCells>
  <hyperlinks>
    <hyperlink ref="Y2" r:id="rId1" display="158@5,000.00        1 @ 275.00" xr:uid="{D5FC773C-2B42-4683-BD27-5B74685CD047}"/>
    <hyperlink ref="Y3" r:id="rId2" display="7@ 500.00              4 @ 850.00        7 @ 250.00" xr:uid="{886706BB-C39D-40BB-B26D-E8E89E67224D}"/>
    <hyperlink ref="Y25" r:id="rId3" display="20@ 160.00" xr:uid="{7A3B438A-A915-4D95-A6F8-97B8CBFF468B}"/>
  </hyperlinks>
  <pageMargins left="0.28999999999999998" right="0.25" top="0.91" bottom="0.51" header="0.42" footer="0.21"/>
  <pageSetup scale="59" orientation="landscape" r:id="rId4"/>
  <headerFooter>
    <oddHeader>&amp;L&amp;"Arial,Bold"Iowa Law Enforcement Academy&amp;R&amp;"Arial,Bold"Justice System Appropriations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EMD</vt:lpstr>
      <vt:lpstr>Courts</vt:lpstr>
      <vt:lpstr>AG</vt:lpstr>
      <vt:lpstr>DOC</vt:lpstr>
      <vt:lpstr>DPS 2</vt:lpstr>
      <vt:lpstr>ILEA</vt:lpstr>
      <vt:lpstr>AG!Print_Area</vt:lpstr>
      <vt:lpstr>Courts!Print_Area</vt:lpstr>
      <vt:lpstr>DOC!Print_Area</vt:lpstr>
      <vt:lpstr>'DPS 2'!Print_Area</vt:lpstr>
      <vt:lpstr>EMD!Print_Area</vt:lpstr>
      <vt:lpstr>ILEA!Print_Area</vt:lpstr>
      <vt:lpstr>AG!Print_Titles</vt:lpstr>
      <vt:lpstr>DOC!Print_Titles</vt:lpstr>
      <vt:lpstr>'DPS 2'!Print_Titles</vt:lpstr>
      <vt:lpstr>ILEA!Print_Titles</vt:lpstr>
    </vt:vector>
  </TitlesOfParts>
  <Company>Iowa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Lerdal</dc:creator>
  <cp:lastModifiedBy>Benson, Jess [LEGIS]</cp:lastModifiedBy>
  <cp:lastPrinted>2016-12-27T17:58:46Z</cp:lastPrinted>
  <dcterms:created xsi:type="dcterms:W3CDTF">2010-05-18T18:26:11Z</dcterms:created>
  <dcterms:modified xsi:type="dcterms:W3CDTF">2019-01-18T15:56:27Z</dcterms:modified>
</cp:coreProperties>
</file>