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6" windowWidth="15576" windowHeight="9312" tabRatio="251" activeTab="5"/>
  </bookViews>
  <sheets>
    <sheet name="EMD" sheetId="5" r:id="rId1"/>
    <sheet name="Courts" sheetId="4" r:id="rId2"/>
    <sheet name="AG" sheetId="1" r:id="rId3"/>
    <sheet name="DOC" sheetId="2" r:id="rId4"/>
    <sheet name="DPS 2" sheetId="3" r:id="rId5"/>
    <sheet name="ILEA" sheetId="6" r:id="rId6"/>
  </sheets>
  <definedNames>
    <definedName name="_xlnm.Print_Area" localSheetId="2">AG!$A$1:$AI$8</definedName>
    <definedName name="_xlnm.Print_Area" localSheetId="1">Courts!$A$1:$AI$23</definedName>
    <definedName name="_xlnm.Print_Area" localSheetId="3">DOC!$A$2:$AM$153</definedName>
    <definedName name="_xlnm.Print_Area" localSheetId="4">'DPS 2'!$A$2:$AI$71</definedName>
    <definedName name="_xlnm.Print_Area" localSheetId="0">EMD!$A$1:$AF$6</definedName>
    <definedName name="_xlnm.Print_Area" localSheetId="5">ILEA!$A$2:$AC$85</definedName>
    <definedName name="_xlnm.Print_Titles" localSheetId="2">AG!$1:$1</definedName>
    <definedName name="_xlnm.Print_Titles" localSheetId="3">DOC!$1:$1</definedName>
    <definedName name="_xlnm.Print_Titles" localSheetId="4">'DPS 2'!$1:$1</definedName>
    <definedName name="_xlnm.Print_Titles" localSheetId="5">ILEA!$1:$1</definedName>
  </definedNames>
  <calcPr calcId="145621"/>
</workbook>
</file>

<file path=xl/calcChain.xml><?xml version="1.0" encoding="utf-8"?>
<calcChain xmlns="http://schemas.openxmlformats.org/spreadsheetml/2006/main">
  <c r="AP144" i="2" l="1"/>
  <c r="AN144" i="2"/>
  <c r="AJ144" i="2"/>
  <c r="AH144" i="2"/>
  <c r="AD144" i="2"/>
  <c r="AB144" i="2"/>
  <c r="AA144" i="2"/>
  <c r="Z144" i="2"/>
  <c r="Y144" i="2"/>
  <c r="X144" i="2"/>
  <c r="W144" i="2"/>
  <c r="U144" i="2"/>
  <c r="T144" i="2"/>
  <c r="R144" i="2"/>
  <c r="V119" i="2"/>
  <c r="V144" i="2" s="1"/>
  <c r="AG88" i="6" l="1"/>
  <c r="AD88" i="6"/>
  <c r="Z88" i="6"/>
  <c r="V88" i="6"/>
  <c r="R88" i="6"/>
  <c r="X87" i="6"/>
  <c r="X86" i="6"/>
  <c r="T86" i="6"/>
  <c r="X85" i="6"/>
  <c r="X84" i="6"/>
  <c r="X83" i="6"/>
  <c r="X82" i="6"/>
  <c r="AI81" i="6"/>
  <c r="AF81" i="6"/>
  <c r="AB81" i="6"/>
  <c r="X81" i="6"/>
  <c r="T81" i="6"/>
  <c r="AI80" i="6"/>
  <c r="AF80" i="6"/>
  <c r="AB80" i="6"/>
  <c r="X80" i="6"/>
  <c r="T80" i="6"/>
  <c r="AI79" i="6"/>
  <c r="AF79" i="6"/>
  <c r="AB79" i="6"/>
  <c r="X79" i="6"/>
  <c r="T79" i="6"/>
  <c r="AI78" i="6"/>
  <c r="AF78" i="6"/>
  <c r="AB78" i="6"/>
  <c r="X78" i="6"/>
  <c r="T78" i="6"/>
  <c r="AI77" i="6"/>
  <c r="AF77" i="6"/>
  <c r="AB77" i="6"/>
  <c r="X77" i="6"/>
  <c r="T77" i="6"/>
  <c r="AI76" i="6"/>
  <c r="AI75" i="6"/>
  <c r="AF75" i="6"/>
  <c r="AB75" i="6"/>
  <c r="X75" i="6"/>
  <c r="AI74" i="6"/>
  <c r="T74" i="6"/>
  <c r="AB73" i="6"/>
  <c r="T73" i="6"/>
  <c r="AI72" i="6"/>
  <c r="AF72" i="6"/>
  <c r="AB72" i="6"/>
  <c r="X72" i="6"/>
  <c r="T72" i="6"/>
  <c r="AB71" i="6"/>
  <c r="X71" i="6"/>
  <c r="AI70" i="6"/>
  <c r="AF70" i="6"/>
  <c r="AB70" i="6"/>
  <c r="X70" i="6"/>
  <c r="T70" i="6"/>
  <c r="AI69" i="6"/>
  <c r="AB69" i="6"/>
  <c r="X69" i="6"/>
  <c r="AI68" i="6"/>
  <c r="AF68" i="6"/>
  <c r="X68" i="6"/>
  <c r="AI65" i="6"/>
  <c r="AF65" i="6"/>
  <c r="AI64" i="6"/>
  <c r="AF64" i="6"/>
  <c r="AB64" i="6"/>
  <c r="X64" i="6"/>
  <c r="T64" i="6"/>
  <c r="X63" i="6"/>
  <c r="T62" i="6"/>
  <c r="X61" i="6"/>
  <c r="AI60" i="6"/>
  <c r="AF60" i="6"/>
  <c r="AB60" i="6"/>
  <c r="X60" i="6"/>
  <c r="X59" i="6"/>
  <c r="T59" i="6"/>
  <c r="X58" i="6"/>
  <c r="T58" i="6"/>
  <c r="X57" i="6"/>
  <c r="T57" i="6"/>
  <c r="AF56" i="6"/>
  <c r="AB56" i="6"/>
  <c r="X56" i="6"/>
  <c r="T55" i="6"/>
  <c r="T54" i="6"/>
  <c r="AI53" i="6"/>
  <c r="AB53" i="6"/>
  <c r="T53" i="6"/>
  <c r="T52" i="6"/>
  <c r="AF50" i="6"/>
  <c r="AB50" i="6"/>
  <c r="X50" i="6"/>
  <c r="T50" i="6"/>
  <c r="T49" i="6"/>
  <c r="AI48" i="6"/>
  <c r="X47" i="6"/>
  <c r="X45" i="6"/>
  <c r="T45" i="6"/>
  <c r="AI44" i="6"/>
  <c r="AB44" i="6"/>
  <c r="X44" i="6"/>
  <c r="T44" i="6"/>
  <c r="AF43" i="6"/>
  <c r="AB43" i="6"/>
  <c r="T43" i="6"/>
  <c r="AI42" i="6"/>
  <c r="AF42" i="6"/>
  <c r="X42" i="6"/>
  <c r="T42" i="6"/>
  <c r="AF41" i="6"/>
  <c r="T41" i="6"/>
  <c r="T40" i="6"/>
  <c r="AF39" i="6"/>
  <c r="X39" i="6"/>
  <c r="AI38" i="6"/>
  <c r="AF38" i="6"/>
  <c r="AB38" i="6"/>
  <c r="X38" i="6"/>
  <c r="T38" i="6"/>
  <c r="X37" i="6"/>
  <c r="AI34" i="6"/>
  <c r="AF34" i="6"/>
  <c r="AB34" i="6"/>
  <c r="X34" i="6"/>
  <c r="T34" i="6"/>
  <c r="T33" i="6"/>
  <c r="AI32" i="6"/>
  <c r="AF32" i="6"/>
  <c r="AB32" i="6"/>
  <c r="X32" i="6"/>
  <c r="T32" i="6"/>
  <c r="AI31" i="6"/>
  <c r="AB31" i="6"/>
  <c r="T31" i="6"/>
  <c r="AI30" i="6"/>
  <c r="AF30" i="6"/>
  <c r="AB30" i="6"/>
  <c r="X30" i="6"/>
  <c r="T30" i="6"/>
  <c r="AI29" i="6"/>
  <c r="AF29" i="6"/>
  <c r="AB29" i="6"/>
  <c r="X29" i="6"/>
  <c r="T29" i="6"/>
  <c r="AI28" i="6"/>
  <c r="AF28" i="6"/>
  <c r="AB28" i="6"/>
  <c r="X28" i="6"/>
  <c r="T28" i="6"/>
  <c r="T27" i="6"/>
  <c r="AB26" i="6"/>
  <c r="X26" i="6"/>
  <c r="AI25" i="6"/>
  <c r="AF25" i="6"/>
  <c r="AB25" i="6"/>
  <c r="T25" i="6"/>
  <c r="AF24" i="6"/>
  <c r="T24" i="6"/>
  <c r="T23" i="6"/>
  <c r="AI22" i="6"/>
  <c r="AF22" i="6"/>
  <c r="AB22" i="6"/>
  <c r="T22" i="6"/>
  <c r="AF21" i="6"/>
  <c r="AB21" i="6"/>
  <c r="X21" i="6"/>
  <c r="T21" i="6"/>
  <c r="AI20" i="6"/>
  <c r="AF20" i="6"/>
  <c r="AB20" i="6"/>
  <c r="X20" i="6"/>
  <c r="T20" i="6"/>
  <c r="AI17" i="6"/>
  <c r="AF17" i="6"/>
  <c r="AB17" i="6"/>
  <c r="X17" i="6"/>
  <c r="T17" i="6"/>
  <c r="T16" i="6"/>
  <c r="AI15" i="6"/>
  <c r="AF15" i="6"/>
  <c r="X15" i="6"/>
  <c r="T15" i="6"/>
  <c r="AI14" i="6"/>
  <c r="AB14" i="6"/>
  <c r="T14" i="6"/>
  <c r="AI13" i="6"/>
  <c r="AF13" i="6"/>
  <c r="AB13" i="6"/>
  <c r="X13" i="6"/>
  <c r="AF12" i="6"/>
  <c r="AI11" i="6"/>
  <c r="AF11" i="6"/>
  <c r="AB11" i="6"/>
  <c r="X11" i="6"/>
  <c r="T11" i="6"/>
  <c r="AI10" i="6"/>
  <c r="AF10" i="6"/>
  <c r="AB10" i="6"/>
  <c r="X10" i="6"/>
  <c r="T10" i="6"/>
  <c r="T9" i="6"/>
  <c r="X8" i="6"/>
  <c r="T8" i="6"/>
  <c r="AI7" i="6"/>
  <c r="AF7" i="6"/>
  <c r="T7" i="6"/>
  <c r="AB6" i="6"/>
  <c r="T6" i="6"/>
  <c r="T5" i="6"/>
  <c r="AB4" i="6"/>
  <c r="T4" i="6"/>
  <c r="AI3" i="6"/>
  <c r="AF3" i="6"/>
  <c r="AB3" i="6"/>
  <c r="X3" i="6"/>
  <c r="T3" i="6"/>
  <c r="AI2" i="6"/>
  <c r="AI88" i="6" s="1"/>
  <c r="AF2" i="6"/>
  <c r="AF88" i="6" s="1"/>
  <c r="AB2" i="6"/>
  <c r="AB88" i="6" s="1"/>
  <c r="X2" i="6"/>
  <c r="X88" i="6" s="1"/>
  <c r="T2" i="6"/>
  <c r="T88" i="6" s="1"/>
  <c r="AI88" i="3" l="1"/>
  <c r="AG88" i="3"/>
  <c r="AF88" i="3"/>
  <c r="AD88" i="3"/>
  <c r="AB88" i="3"/>
  <c r="Z88" i="3"/>
  <c r="X88" i="3"/>
  <c r="T88" i="3"/>
  <c r="V88" i="3"/>
  <c r="R88" i="3"/>
  <c r="AI4" i="1"/>
  <c r="AG4" i="1"/>
  <c r="AF4" i="1"/>
  <c r="AD4" i="1"/>
  <c r="AB4" i="1"/>
  <c r="Z4" i="1"/>
  <c r="AI4" i="5"/>
  <c r="AF4" i="5"/>
  <c r="AB4" i="5"/>
  <c r="AH15" i="4" l="1"/>
  <c r="AG15" i="4"/>
  <c r="AF15" i="4"/>
  <c r="AE15" i="4"/>
  <c r="AD15" i="4"/>
  <c r="AC15" i="4"/>
  <c r="AB15" i="4"/>
  <c r="AA15" i="4"/>
  <c r="Z15" i="4"/>
  <c r="Y15" i="4"/>
  <c r="X4" i="5" l="1"/>
  <c r="T4" i="5"/>
  <c r="V15" i="4" l="1"/>
  <c r="R15" i="4"/>
  <c r="X15" i="4"/>
  <c r="T15" i="4"/>
  <c r="R4" i="1" l="1"/>
  <c r="V4" i="1"/>
  <c r="X4" i="1"/>
  <c r="T4" i="1"/>
</calcChain>
</file>

<file path=xl/comments1.xml><?xml version="1.0" encoding="utf-8"?>
<comments xmlns="http://schemas.openxmlformats.org/spreadsheetml/2006/main">
  <authors>
    <author>heuton</author>
  </authors>
  <commentList>
    <comment ref="P3" authorId="0">
      <text>
        <r>
          <rPr>
            <b/>
            <sz val="10"/>
            <color indexed="81"/>
            <rFont val="Tahoma"/>
            <family val="2"/>
          </rPr>
          <t>heuton:</t>
        </r>
        <r>
          <rPr>
            <sz val="10"/>
            <color indexed="81"/>
            <rFont val="Tahoma"/>
            <family val="2"/>
          </rPr>
          <t xml:space="preserve">
While the fee structure changed in 2010 it was changed from a $10 one-year permit to a $50 5-year permit.  Any change in fees collected will be based on volume.</t>
        </r>
      </text>
    </comment>
    <comment ref="T3" authorId="0">
      <text>
        <r>
          <rPr>
            <b/>
            <sz val="10"/>
            <color indexed="81"/>
            <rFont val="Tahoma"/>
            <family val="2"/>
          </rPr>
          <t>heuton:</t>
        </r>
        <r>
          <rPr>
            <sz val="10"/>
            <color indexed="81"/>
            <rFont val="Tahoma"/>
            <family val="2"/>
          </rPr>
          <t xml:space="preserve">
Fee collections will likely very due to the change in issuance laws.  Combined with renewal revenue.
</t>
        </r>
      </text>
    </comment>
    <comment ref="AB3" authorId="0">
      <text>
        <r>
          <rPr>
            <b/>
            <sz val="10"/>
            <color indexed="81"/>
            <rFont val="Tahoma"/>
            <family val="2"/>
          </rPr>
          <t>heuton:</t>
        </r>
        <r>
          <rPr>
            <sz val="10"/>
            <color indexed="81"/>
            <rFont val="Tahoma"/>
            <family val="2"/>
          </rPr>
          <t xml:space="preserve">
Fee collections will likely very due to the change in issuance laws.  Combined with renewal revenue.
</t>
        </r>
      </text>
    </comment>
    <comment ref="T14" authorId="0">
      <text>
        <r>
          <rPr>
            <b/>
            <sz val="10"/>
            <color indexed="81"/>
            <rFont val="Tahoma"/>
            <family val="2"/>
          </rPr>
          <t>heuton:</t>
        </r>
        <r>
          <rPr>
            <sz val="10"/>
            <color indexed="81"/>
            <rFont val="Tahoma"/>
            <family val="2"/>
          </rPr>
          <t xml:space="preserve">
In FY10 these fees were deposited to 0001-595-2700, 2750 and 2755.
</t>
        </r>
      </text>
    </comment>
    <comment ref="AB14" authorId="0">
      <text>
        <r>
          <rPr>
            <b/>
            <sz val="10"/>
            <color indexed="81"/>
            <rFont val="Tahoma"/>
            <family val="2"/>
          </rPr>
          <t>heuton:</t>
        </r>
        <r>
          <rPr>
            <sz val="10"/>
            <color indexed="81"/>
            <rFont val="Tahoma"/>
            <family val="2"/>
          </rPr>
          <t xml:space="preserve">
In FY10 these fees were deposited to 0001-595-2700, 2750 and 2755.
</t>
        </r>
      </text>
    </comment>
    <comment ref="T15" authorId="0">
      <text>
        <r>
          <rPr>
            <b/>
            <sz val="10"/>
            <color indexed="81"/>
            <rFont val="Tahoma"/>
            <family val="2"/>
          </rPr>
          <t>heuton:</t>
        </r>
        <r>
          <rPr>
            <sz val="10"/>
            <color indexed="81"/>
            <rFont val="Tahoma"/>
            <family val="2"/>
          </rPr>
          <t xml:space="preserve">
In FY10 these fees were deposited directly into the State General Fund.</t>
        </r>
      </text>
    </comment>
    <comment ref="AB15" authorId="0">
      <text>
        <r>
          <rPr>
            <b/>
            <sz val="10"/>
            <color indexed="81"/>
            <rFont val="Tahoma"/>
            <family val="2"/>
          </rPr>
          <t>heuton:</t>
        </r>
        <r>
          <rPr>
            <sz val="10"/>
            <color indexed="81"/>
            <rFont val="Tahoma"/>
            <family val="2"/>
          </rPr>
          <t xml:space="preserve">
In FY10 these fees were deposited directly into the State General Fund.</t>
        </r>
      </text>
    </comment>
  </commentList>
</comments>
</file>

<file path=xl/sharedStrings.xml><?xml version="1.0" encoding="utf-8"?>
<sst xmlns="http://schemas.openxmlformats.org/spreadsheetml/2006/main" count="2976" uniqueCount="824">
  <si>
    <t>Fee Description</t>
  </si>
  <si>
    <t>Payor of Fee</t>
  </si>
  <si>
    <t>Frequency</t>
  </si>
  <si>
    <t>Additional Comments</t>
  </si>
  <si>
    <t>Fee Amount</t>
  </si>
  <si>
    <t>Number of FY 2010 Payors</t>
  </si>
  <si>
    <t>FY 2010 Total Revenue</t>
  </si>
  <si>
    <t>Revenue Deposit Location (Fund)</t>
  </si>
  <si>
    <t>Year Last Revised</t>
  </si>
  <si>
    <t>Department</t>
  </si>
  <si>
    <t>Public Safety</t>
  </si>
  <si>
    <t>Electrician and Installers Licensing and Inspection Fund (0957)</t>
  </si>
  <si>
    <t>3 years</t>
  </si>
  <si>
    <t>Master A</t>
  </si>
  <si>
    <t>Master B</t>
  </si>
  <si>
    <t>Journeyman A</t>
  </si>
  <si>
    <t>Journeyman B</t>
  </si>
  <si>
    <t>Contractor</t>
  </si>
  <si>
    <t>Residential</t>
  </si>
  <si>
    <t>Irrigation Systems</t>
  </si>
  <si>
    <t>Unclassified</t>
  </si>
  <si>
    <t>Annually</t>
  </si>
  <si>
    <t>Apprentice</t>
  </si>
  <si>
    <t>0957</t>
  </si>
  <si>
    <t>Code and/or Admin Rules Cite</t>
  </si>
  <si>
    <t>Expenditures</t>
  </si>
  <si>
    <t>Licensing of electricians began January 1, 2008.</t>
  </si>
  <si>
    <t>Per inspection and re-inspection</t>
  </si>
  <si>
    <t>They include an Inactive Master License, Residential Contractor, Residential Electrician, and Residential Electrician Trainee.</t>
  </si>
  <si>
    <t>The four new fees will be set by Rule.  Legislation effective July 1, 2009 pro-rates fees of licenses since all expire on the same day every three years.</t>
  </si>
  <si>
    <t>100 amps or less is $25; 101 amps to 200 amps is $35; greater than 200 amps is $35 plus $20 for each additional 100 amps or a fraction thereof.  Each new branch circuit or feeder is $5.  Each inspection requested is $25.  To request an inspection not required by law is $30.  To inspect a field irrigation system is $60.</t>
  </si>
  <si>
    <t>Varies - see comments for fees</t>
  </si>
  <si>
    <t>Homeland Security and Emergency Management Division</t>
  </si>
  <si>
    <t>Monthly to providers and remitted quarterly to the State</t>
  </si>
  <si>
    <t>Chapter 34A</t>
  </si>
  <si>
    <t>2007 Legislative Session increased the distribution to PSAPS from 24.0% to 25.0%.  Otherwise, no changes to the formula since 2004.</t>
  </si>
  <si>
    <t>Per Quarter - $50,000 for administration of the Program, wireless service provider cost recovery, wireline transport costs for local carriers, automated information costs for local carriers, Public Safety Answering Point Systems (PSAPS), and carryover funds for upgrades to local PSAPS and for grant matching.</t>
  </si>
  <si>
    <t>Provides funding for emergency communication systems such as mapping and 911 call location using latitude and longitude coordinates including funding for 122 Public Safety Answering Point Systems (PSAPS).</t>
  </si>
  <si>
    <t>Property Owner or person requesting the inspection</t>
  </si>
  <si>
    <t>Wireless 911 Surcharge (0046)</t>
  </si>
  <si>
    <t>Budget Unit or Fund Name and Number</t>
  </si>
  <si>
    <t>Judicial Branch</t>
  </si>
  <si>
    <t>Per Case</t>
  </si>
  <si>
    <t>Fines imposed in accordance with Section 455B.146, 455B.191, 455B.386, 455B.417, 455B.454, 455B.466, and 455B.477.</t>
  </si>
  <si>
    <t>Paid by the Defendant</t>
  </si>
  <si>
    <t>Detail on all fines related to Section 29C.8A maintained by the Department of Natural Resources</t>
  </si>
  <si>
    <t>Section 29C.8A</t>
  </si>
  <si>
    <t>Civil penalty; amount varies per case</t>
  </si>
  <si>
    <t>The first $100,000 of such penalties is deposited into this Fund and then transferred to HSEMD.  The penalty was paid by Matrix Metals and Keokuk Steel Castings.</t>
  </si>
  <si>
    <t>FY 2010 Total Net GF Revenue</t>
  </si>
  <si>
    <t>FY 2010 Total Local or Other Revenue</t>
  </si>
  <si>
    <t xml:space="preserve"> </t>
  </si>
  <si>
    <t>CBC District 1</t>
  </si>
  <si>
    <t>Supervision Fees: Fee charged of all probation or parole offenders on supervision to the district.</t>
  </si>
  <si>
    <t>Offenders</t>
  </si>
  <si>
    <t>Per Supervision</t>
  </si>
  <si>
    <t>Operating Budget</t>
  </si>
  <si>
    <t>905.14.</t>
  </si>
  <si>
    <t>Staff and operating costs for field services' expenditures</t>
  </si>
  <si>
    <t>Appropriations reduced to account for local income</t>
  </si>
  <si>
    <t xml:space="preserve">Sex Offender Fee: Fee charged to sex offenders under supervision to offset the cost of assessment and treatment. </t>
  </si>
  <si>
    <t>Sex Offenders</t>
  </si>
  <si>
    <t>331 (# of transactions)</t>
  </si>
  <si>
    <t>Staff and operating costs for sex offender program expenditures</t>
  </si>
  <si>
    <t>Residential Rent Regular: Rent fees charged to probation or work release offenders residing in a residential facility.</t>
  </si>
  <si>
    <t>per day</t>
  </si>
  <si>
    <t>900 (# of payors)</t>
  </si>
  <si>
    <t>Staff and operating costs for residential expenditures.</t>
  </si>
  <si>
    <t>Residential Rent OWI: Rent fees charged to OWI offenders residing in a residential facility.</t>
  </si>
  <si>
    <t>100 (# of payors)</t>
  </si>
  <si>
    <t>Day Reporting Rent: Fees charged to residential offenders placed on day reporting status</t>
  </si>
  <si>
    <t>Urinalysis Re-testing fee:  When an offender contests a positive "in-house method' UA screen, the specimen is forwarded to the lab.  If the lab result is also positive, the offender is required to reimburse the dept the cost of the lab screening.</t>
  </si>
  <si>
    <t>per lab verification</t>
  </si>
  <si>
    <t>64 (# of transactions)</t>
  </si>
  <si>
    <t>Batterers' Education Program Fees: Charged to offenders who are court-ordered to attend weekly groups for a 12-week period.</t>
  </si>
  <si>
    <t>per group</t>
  </si>
  <si>
    <t>508 payors</t>
  </si>
  <si>
    <t>???</t>
  </si>
  <si>
    <t>Iowa Code 708.2B</t>
  </si>
  <si>
    <t>Staff for the Batterers' Education Program</t>
  </si>
  <si>
    <t>Facility Laundry Fees: fees charged to residential offenders for use of laundry machines and soap to do their laundry</t>
  </si>
  <si>
    <t>weekly</t>
  </si>
  <si>
    <t>1000 payors</t>
  </si>
  <si>
    <t>????</t>
  </si>
  <si>
    <t>28E</t>
  </si>
  <si>
    <t>Operating costs for the residential expenditures</t>
  </si>
  <si>
    <t>CBC District 2</t>
  </si>
  <si>
    <t>Supervision Fee</t>
  </si>
  <si>
    <t>Probation/Parole Clients</t>
  </si>
  <si>
    <t>Per Offender</t>
  </si>
  <si>
    <t>Funds are used to pay for Probation/Parole Officer staff, and District-wide operational expenses, such as staff training, utilities, rent, etc.</t>
  </si>
  <si>
    <t>Residential Rent</t>
  </si>
  <si>
    <t>Residential Center Clients</t>
  </si>
  <si>
    <t>$19/$13</t>
  </si>
  <si>
    <t>Per Client Per Day</t>
  </si>
  <si>
    <t>Funds are used to pay for Residential Center staff and other District positions, and District-wide operational expenses, such as staff training, utilities, rent, food purchases, etc.</t>
  </si>
  <si>
    <t>State Residential Clients pay $19/day @ Ft. Dodge, Marshalltown &amp; Mason City Resi Centers, which includes 3 meals/day; Resi Clients pay $13/day @ Ames - no meal service provided *** State Client Rent ONLY</t>
  </si>
  <si>
    <t>Polygraph Examinations</t>
  </si>
  <si>
    <t>Sex Offender Treatment Program Clients</t>
  </si>
  <si>
    <t>Per (Required) Offender</t>
  </si>
  <si>
    <t>Funds are used to pay for operational support costs for the Sex Offender Treatment Program, including the supply cost for the Polygraph</t>
  </si>
  <si>
    <t>Psychological Sexual Assessments/Evaluations</t>
  </si>
  <si>
    <t>Funds are used to pay for operational support costs for the Sex Offender Treatment Program, including the evaluation cost for the Assessment</t>
  </si>
  <si>
    <t>Local income consists of a $22 intake fee and a $22 weekly group fee - client is required to complete 24 weekly sessions</t>
  </si>
  <si>
    <t>ABEL Test</t>
  </si>
  <si>
    <t>Fee covers cost of test evaluation and processing</t>
  </si>
  <si>
    <t>Sex Offender Treatment Program Fee</t>
  </si>
  <si>
    <t>Funds are used to pay for operational support costs for the Sex Offender Treatment Program</t>
  </si>
  <si>
    <t>Linen Fees</t>
  </si>
  <si>
    <t>Fee covers the cost of purchasing and providing bed linens to all Residential Center clients</t>
  </si>
  <si>
    <t>CBC District 3</t>
  </si>
  <si>
    <t>SOTP</t>
  </si>
  <si>
    <t>Offender</t>
  </si>
  <si>
    <t>one time</t>
  </si>
  <si>
    <t>cost for class supplies and instructor time</t>
  </si>
  <si>
    <t>Offenders are charged actual cost</t>
  </si>
  <si>
    <t>RET Classes</t>
  </si>
  <si>
    <t>$5/$50</t>
  </si>
  <si>
    <t>per class</t>
  </si>
  <si>
    <t>Phone Card</t>
  </si>
  <si>
    <t>cost</t>
  </si>
  <si>
    <t>per purchase</t>
  </si>
  <si>
    <t>cost of phone card purchased</t>
  </si>
  <si>
    <t>Damage Reimbursement</t>
  </si>
  <si>
    <t>per incident</t>
  </si>
  <si>
    <t>cost of damage incurred</t>
  </si>
  <si>
    <t>Linens</t>
  </si>
  <si>
    <t>cost of linens purchased from local charity</t>
  </si>
  <si>
    <t>TB Testing</t>
  </si>
  <si>
    <t>per test</t>
  </si>
  <si>
    <t>cost of tests performed at local health clinics</t>
  </si>
  <si>
    <t>UA Confirmation</t>
  </si>
  <si>
    <t>cost of submitting second test to outside lab for confirmation testing</t>
  </si>
  <si>
    <t>O</t>
  </si>
  <si>
    <t>Pays for all support expenditures which are not covered by appropriations</t>
  </si>
  <si>
    <t>Rent</t>
  </si>
  <si>
    <t>daily</t>
  </si>
  <si>
    <t>Meals</t>
  </si>
  <si>
    <t>CBC District 4</t>
  </si>
  <si>
    <t>Supervision Enrollment Fee</t>
  </si>
  <si>
    <t>Offenders Placed Under our Supervision</t>
  </si>
  <si>
    <t>Section 905.14</t>
  </si>
  <si>
    <t>Funds 1 FTE.</t>
  </si>
  <si>
    <t>Appropriation Reduced to account for Local Revenue generated.</t>
  </si>
  <si>
    <t>Sex Offender Treatment Program</t>
  </si>
  <si>
    <t>Per Psycho-Sexual Evaluation</t>
  </si>
  <si>
    <t>Cost of Test</t>
  </si>
  <si>
    <t>Per weekly session</t>
  </si>
  <si>
    <t>Cost of Service Provider</t>
  </si>
  <si>
    <t>Sex Offender Polygraphs</t>
  </si>
  <si>
    <t>Per Examination</t>
  </si>
  <si>
    <t>Cost of Polygraph</t>
  </si>
  <si>
    <t>OWI Treatment Fees</t>
  </si>
  <si>
    <t>Cost of OWI Treatment with Contractor.</t>
  </si>
  <si>
    <t>Daily rent fee</t>
  </si>
  <si>
    <t>Day</t>
  </si>
  <si>
    <t>Pays for District operations</t>
  </si>
  <si>
    <t>Residential Day Reporting Charge</t>
  </si>
  <si>
    <t>Daily Fee</t>
  </si>
  <si>
    <t>CBC District 5</t>
  </si>
  <si>
    <t>Supervision (Enrollment) Fee</t>
  </si>
  <si>
    <t>per supervision</t>
  </si>
  <si>
    <t>Helps to fund expenditures in field operations, such as professional contracts, UA kits/supplies, utilities, rental expense for satellite offices, maintenance on the buildings, etc.</t>
  </si>
  <si>
    <t># of transactions, not number of payors - per supervision means that the offender is not charged a supervision fee per charge that they are on to us, but instead each break in supervision creates a new supervision and thus a new supervision fee.</t>
  </si>
  <si>
    <t>Helps to fund local expenditures that support residential operations, such as food, utilities, UA kits/supplies, maintenance on the buildings, etc.</t>
  </si>
  <si>
    <t>Capacity is 168 at one time plus day reporters.</t>
  </si>
  <si>
    <t>Residential Rent-Treatment</t>
  </si>
  <si>
    <t>Capacity is 120 at one time</t>
  </si>
  <si>
    <t>Residential Linen Fee</t>
  </si>
  <si>
    <t>flat fee</t>
  </si>
  <si>
    <t>Offsets local expenditures for the cost of the linens</t>
  </si>
  <si>
    <t># of transactions, not number of payors</t>
  </si>
  <si>
    <t>Residential Laundry Fee</t>
  </si>
  <si>
    <t>Offsets local expenditures for the utilities used and maintenance on the washing machines/replacement of machines</t>
  </si>
  <si>
    <t>Physicals</t>
  </si>
  <si>
    <t>one-time</t>
  </si>
  <si>
    <t>Offsets local expenditures for the cost of the physicals</t>
  </si>
  <si>
    <t>Residential Drinking Glass fee</t>
  </si>
  <si>
    <t>Offsets local expenditures for the cost of the drinking glasses</t>
  </si>
  <si>
    <t>Residential Padlock fee</t>
  </si>
  <si>
    <t>Offsets local expenditures for the cost of the padlocks and the locking cabinets that are used in the residential facilities for offender use</t>
  </si>
  <si>
    <t>Urinalysis Confirmation Fee</t>
  </si>
  <si>
    <t>Offsets local expenditures for the cost of the UA confirmation paid to a vendor</t>
  </si>
  <si>
    <t>BEP Group Fees</t>
  </si>
  <si>
    <t>Offsets local expenditures linked to the BEP program (local salaries and materials)</t>
  </si>
  <si>
    <t>BEP Intake</t>
  </si>
  <si>
    <t>Sex Offender Polygraph/Plethysmograph</t>
  </si>
  <si>
    <t>as necessary</t>
  </si>
  <si>
    <t>Offsets local expenditures linked to these services, such as equipment, materials, and locally funded sex offender salaries</t>
  </si>
  <si>
    <t>Sex Offender Group Fee</t>
  </si>
  <si>
    <t>Sex Offender Individual Treatment</t>
  </si>
  <si>
    <t>per occrnc</t>
  </si>
  <si>
    <t>Sex Offender Psychosexual Evaluation</t>
  </si>
  <si>
    <t>Community Service Fee</t>
  </si>
  <si>
    <t>Non-supervised offenders</t>
  </si>
  <si>
    <t>Offsets local expenditures linked to monitoring community service records for non-supervised offenders</t>
  </si>
  <si>
    <t>Returned Check Fee (NSF)</t>
  </si>
  <si>
    <t>Offsets local expenditures linked to the fee charged by the bank for the NSF charge</t>
  </si>
  <si>
    <t>CBC District 6</t>
  </si>
  <si>
    <t>Fee for Probation/Parole supervision</t>
  </si>
  <si>
    <t>per charge</t>
  </si>
  <si>
    <t>Pays for District personnel</t>
  </si>
  <si>
    <t xml:space="preserve">flat fee </t>
  </si>
  <si>
    <t>Pays for daily operations</t>
  </si>
  <si>
    <t>Fee for performing a Substance Abuse Evaluation</t>
  </si>
  <si>
    <t>Fee for submitting UA test for confirmation of + or -</t>
  </si>
  <si>
    <t>Pays for drug test to verify if + or -</t>
  </si>
  <si>
    <t>Daily rent fee for staying in a Residential facility</t>
  </si>
  <si>
    <t>Fee for bedding while in residential facility. Offender keeps when they leave. Started 7/1/2009</t>
  </si>
  <si>
    <t>Fee for washing resident bedding while in residential facility. Prior to 7/1/2009</t>
  </si>
  <si>
    <t>Fee to cover bus passes for resident travel</t>
  </si>
  <si>
    <t>CBC District 7</t>
  </si>
  <si>
    <t>Offsets District operations</t>
  </si>
  <si>
    <t>OWI Residential Rent</t>
  </si>
  <si>
    <t xml:space="preserve">Batterers Education Program </t>
  </si>
  <si>
    <t>per session</t>
  </si>
  <si>
    <t>Offsets Group Facilitators costs</t>
  </si>
  <si>
    <t>CBC District 8</t>
  </si>
  <si>
    <t>Supervision fee - Fee for P/P Supervision</t>
  </si>
  <si>
    <t>Pays for District Operations</t>
  </si>
  <si>
    <t>*Number of Transactions-not offenders</t>
  </si>
  <si>
    <t>Residential Rent Fee - OWI</t>
  </si>
  <si>
    <t>Daily</t>
  </si>
  <si>
    <t>Residential Rent Fee - P/P &amp; SWR</t>
  </si>
  <si>
    <t>Residential Rent Fee- Live Out Status</t>
  </si>
  <si>
    <t>Flat Fee</t>
  </si>
  <si>
    <t>Hair Test Fees-Cost of Test</t>
  </si>
  <si>
    <t>SOP Fees - Pays for Programming</t>
  </si>
  <si>
    <t>Year</t>
  </si>
  <si>
    <t>688*</t>
  </si>
  <si>
    <t>BEP - 16 Week Men's program</t>
  </si>
  <si>
    <t>16 Wk</t>
  </si>
  <si>
    <t>1664*</t>
  </si>
  <si>
    <t>BEP - 24 Week Men's program</t>
  </si>
  <si>
    <t>24 Wk</t>
  </si>
  <si>
    <t>525*</t>
  </si>
  <si>
    <t>BEP-MOP - 16 Week Women's Program</t>
  </si>
  <si>
    <t>255*</t>
  </si>
  <si>
    <t>BEP/MOP/DHS - Women</t>
  </si>
  <si>
    <t>20*</t>
  </si>
  <si>
    <t>Fees for Bus Tokens for Residents</t>
  </si>
  <si>
    <t>Per Token</t>
  </si>
  <si>
    <t>469*</t>
  </si>
  <si>
    <t>Linen Fees For Residents</t>
  </si>
  <si>
    <t>Intake</t>
  </si>
  <si>
    <t>408*</t>
  </si>
  <si>
    <t>Central Office</t>
  </si>
  <si>
    <t>Interstate Compact  0460</t>
  </si>
  <si>
    <t>per offender</t>
  </si>
  <si>
    <t>460 - Interstate Compact Fund</t>
  </si>
  <si>
    <t>904.117,907B.4</t>
  </si>
  <si>
    <t>To offset costs of complying with the interstate compact for adult offender supervision in ch.907B.4</t>
  </si>
  <si>
    <t>Fort Madison</t>
  </si>
  <si>
    <t>Pay for Stay</t>
  </si>
  <si>
    <t>Incarceration Fee</t>
  </si>
  <si>
    <t>Incarceration Fee, 6% surcharge on all offender purchases</t>
  </si>
  <si>
    <t>House Rent</t>
  </si>
  <si>
    <t>State employees</t>
  </si>
  <si>
    <t>Monthly</t>
  </si>
  <si>
    <t>Offset for maintenance costs and general expenses</t>
  </si>
  <si>
    <t>County</t>
  </si>
  <si>
    <t>We prepare meals for the County Jail and Juvenile Center</t>
  </si>
  <si>
    <t>Debitek Card Fees</t>
  </si>
  <si>
    <t>Institutional Visitors</t>
  </si>
  <si>
    <t>per card</t>
  </si>
  <si>
    <t>Direct offset to expenditures-Commissary fund</t>
  </si>
  <si>
    <t>Fee for purchase of Debitek card to use in vending machines on site</t>
  </si>
  <si>
    <t>Medical Co-Pays</t>
  </si>
  <si>
    <t>Per Office Visit</t>
  </si>
  <si>
    <t>Copies</t>
  </si>
  <si>
    <t>Individuals requesting information</t>
  </si>
  <si>
    <t>$0.15 per copy</t>
  </si>
  <si>
    <t>per request</t>
  </si>
  <si>
    <t>Account Overdraft Fee</t>
  </si>
  <si>
    <t>per transaction</t>
  </si>
  <si>
    <t>Anamosa</t>
  </si>
  <si>
    <t>Per Transaction</t>
  </si>
  <si>
    <t>Locker Rent</t>
  </si>
  <si>
    <t>visitors, staff at ASP</t>
  </si>
  <si>
    <t>per use</t>
  </si>
  <si>
    <t>rent for lockers available in lobby</t>
  </si>
  <si>
    <t>varies</t>
  </si>
  <si>
    <t>monthly</t>
  </si>
  <si>
    <t>Weather Station fee</t>
  </si>
  <si>
    <t>National Weather Service</t>
  </si>
  <si>
    <t>quarterly</t>
  </si>
  <si>
    <t>Oakdale</t>
  </si>
  <si>
    <t>Newton</t>
  </si>
  <si>
    <t>Per Medical Visit</t>
  </si>
  <si>
    <t>direct offset to a non-general fund account</t>
  </si>
  <si>
    <t>Mt. Pleasant</t>
  </si>
  <si>
    <t>Direct offset to GF expenditures.</t>
  </si>
  <si>
    <t>Direct offset to expenditures - Centralized Canteen Account.</t>
  </si>
  <si>
    <t>Staff/Inmates</t>
  </si>
  <si>
    <t>Fee for replacement of Debitek card to use in vending machines on site</t>
  </si>
  <si>
    <t>Rockwell City</t>
  </si>
  <si>
    <t>Private Sector Job Pay</t>
  </si>
  <si>
    <t xml:space="preserve">50% of private sector pay, </t>
  </si>
  <si>
    <t xml:space="preserve"> off ground income, mileage</t>
  </si>
  <si>
    <t>Clarinda</t>
  </si>
  <si>
    <t>Meal Ticket Sales</t>
  </si>
  <si>
    <t>Clarinda Academy and staff</t>
  </si>
  <si>
    <t>Mitchellville</t>
  </si>
  <si>
    <t>Fort Dodge</t>
  </si>
  <si>
    <t>Rest and Remainder</t>
  </si>
  <si>
    <t>Varies</t>
  </si>
  <si>
    <t>per payroll</t>
  </si>
  <si>
    <t>Fees used to offset expense of housing offenders.</t>
  </si>
  <si>
    <t>Board of Examiners of Shorthand Reporters</t>
  </si>
  <si>
    <t>Annual License Renewal Fee</t>
  </si>
  <si>
    <t>Certified Shorthand Reporters</t>
  </si>
  <si>
    <t>General Fund</t>
  </si>
  <si>
    <t>Iowa Code section 602.3106; Iowa Court Rule 46.7(2)</t>
  </si>
  <si>
    <t>Money is deposited in general fund</t>
  </si>
  <si>
    <t>Fee for Late Filing of Annual Renewal</t>
  </si>
  <si>
    <t>Annually, if Report is Late</t>
  </si>
  <si>
    <t>Iowa Code section 602.3106; Iowa Court Rule 46.7(3)</t>
  </si>
  <si>
    <t>Number of CSRs who file late varies from year to year</t>
  </si>
  <si>
    <t>Examination Fee</t>
  </si>
  <si>
    <t>Candidates to be Certified Shorthand Reporters</t>
  </si>
  <si>
    <t>Due with each application for examination</t>
  </si>
  <si>
    <t>Iowa Code section 602.3106; Iowa Court Rule 46.7(1)</t>
  </si>
  <si>
    <t>Number of applicants to take examination varies from year to year</t>
  </si>
  <si>
    <t>Fee for Extension of Time to Complete Continuing Education</t>
  </si>
  <si>
    <t>Due with each extension application</t>
  </si>
  <si>
    <t>Iowa Code section 602.3106; Iowa Court Rule 46.7(6)</t>
  </si>
  <si>
    <t>Number of extension applications varies from year to year</t>
  </si>
  <si>
    <t>Fee for Reinstatement from Suspension</t>
  </si>
  <si>
    <t>Due with each reinstatement application</t>
  </si>
  <si>
    <t>Iowa Code section 602.3106; Iowa Court Rule 46.7(4)</t>
  </si>
  <si>
    <t>Number of reinstatement applications varies from year to year</t>
  </si>
  <si>
    <t>Fee for Reinstatement from Inactive Status</t>
  </si>
  <si>
    <t>Iowa Code section 602.3106; Iowa Court Rule 46.7(5)</t>
  </si>
  <si>
    <t>Board of Law Examiners</t>
  </si>
  <si>
    <t>Law Student Registration Fee</t>
  </si>
  <si>
    <t>Law Students</t>
  </si>
  <si>
    <t>Due with registration</t>
  </si>
  <si>
    <t>Before 2002</t>
  </si>
  <si>
    <t>Iowa Code section 602.10108; Iowa Court Rule 31.2(1)</t>
  </si>
  <si>
    <t>Law Student Late Registration Fee</t>
  </si>
  <si>
    <t>Due with late registration in lieu of regular $25 fee</t>
  </si>
  <si>
    <t>Iowa Code section 602.10108; Iowa Court Rule 31.2(2)</t>
  </si>
  <si>
    <t>Late registration fee can be $75 or $150 depending on how late the registration is completed; for this FY 63@$75, 188@$150</t>
  </si>
  <si>
    <t>Bar Examination Fee</t>
  </si>
  <si>
    <t>Candidates for Admission by Examination</t>
  </si>
  <si>
    <t>Due with application to take bar examination</t>
  </si>
  <si>
    <t>Iowa Code section 602.10108; Iowa Court Rule 31.6</t>
  </si>
  <si>
    <t>Admission on Motion Fee</t>
  </si>
  <si>
    <t>Candidates for Admission on Motion</t>
  </si>
  <si>
    <t>Due with application for admission on motion</t>
  </si>
  <si>
    <t>Iowa Code section 602.10108; Iowa Court Rule 31.12(2)</t>
  </si>
  <si>
    <t>Fee changed twice during the FY; initially was $525, then $625, then $325; $300 of the fee formerly was a pass-through to NCBE; applicants now pay NCBE that fee directly</t>
  </si>
  <si>
    <t>Office of Professional Regulation (Interpreter Function)</t>
  </si>
  <si>
    <t>Application Fee to be Interpreter</t>
  </si>
  <si>
    <t>Candidates to be Court Interpreters</t>
  </si>
  <si>
    <t>Due with application</t>
  </si>
  <si>
    <t>Iowa Court Rule 47.6(1)</t>
  </si>
  <si>
    <t>Iowa Court Rule 47.6(2)</t>
  </si>
  <si>
    <t>First time fee is $40; $20 if applicant already has passed at least part of exam</t>
  </si>
  <si>
    <t>Registration Fee for Oral Interpreter Examination</t>
  </si>
  <si>
    <t>Candidate to be Certified Court Interpreter</t>
  </si>
  <si>
    <t>Iowa Court Rule 47.6(3)</t>
  </si>
  <si>
    <t>First time fee is $200; fee on subsequent attempts is $150; nonresident fee is $300</t>
  </si>
  <si>
    <t>Administrative Services Division (0001-0R64)</t>
  </si>
  <si>
    <t>IOWA System/NCIC User Fees</t>
  </si>
  <si>
    <t>User Agencies</t>
  </si>
  <si>
    <t>Based on message traffic</t>
  </si>
  <si>
    <t>N/A</t>
  </si>
  <si>
    <t>§80.9(2)(d); IOWA System User Agreement (contract)</t>
  </si>
  <si>
    <t>Fees are used to provide criminal justice data to all jurisdictions in the State of Iowa.  Includes salaries of system dedicated personnel, communications costs, software, training and other support costs.</t>
  </si>
  <si>
    <t>Issuance of weapon permits for non-residents &amp; non-peace officer state employees</t>
  </si>
  <si>
    <t>Permit Applicants</t>
  </si>
  <si>
    <t>5 Years</t>
  </si>
  <si>
    <t>§724.11; 661-91.4</t>
  </si>
  <si>
    <t>Fees are intended to pay for the costs of 1.00 FTE and printing of permit application forms.</t>
  </si>
  <si>
    <t>No average annual increase in fees since 1991.  Insufficient to pay annual costs.</t>
  </si>
  <si>
    <t>Renewal of weapon permits for non-residents &amp; non-peace officer state employees</t>
  </si>
  <si>
    <t>Included above</t>
  </si>
  <si>
    <t>Issuance of weapons permit by Iowa sheriff</t>
  </si>
  <si>
    <t>No average annual increase in fees since 1977.  Insufficient to pay annual costs.</t>
  </si>
  <si>
    <t>Renewal of weapons permit by Iowa sheriff</t>
  </si>
  <si>
    <t>Bail enforcement, private investigator, private security agency license</t>
  </si>
  <si>
    <t>PI/PS/BE Licensees</t>
  </si>
  <si>
    <t>§80A.5(3); 661-121.4, 661-121.7</t>
  </si>
  <si>
    <t>Bail enforcement, private investigator, private security ID Card</t>
  </si>
  <si>
    <t>PI/PS/BE Employees</t>
  </si>
  <si>
    <t>Per career or change in employer</t>
  </si>
  <si>
    <t>§80A.7(2); 661-121.11</t>
  </si>
  <si>
    <t>Out of state private investigation agency or private security agency - reciprocity license</t>
  </si>
  <si>
    <t>Periodic</t>
  </si>
  <si>
    <t>unknown</t>
  </si>
  <si>
    <t>§80A.18; 661-121.23</t>
  </si>
  <si>
    <t>PI/PS/BE licensing/ID card fingerprint processing</t>
  </si>
  <si>
    <t>PI/PS/BE Licensees and Employees</t>
  </si>
  <si>
    <t>Per license application, renewal, Per ID card issuance</t>
  </si>
  <si>
    <t>Began in 2002</t>
  </si>
  <si>
    <t>§80A.5(1); 661-121.7(2)</t>
  </si>
  <si>
    <t>Fees cover the processing costs of submitting fingerprints to the FBI and the fee charged by the FBI.</t>
  </si>
  <si>
    <t>Division of Criminal Investigation (0001-0R67)</t>
  </si>
  <si>
    <t>State criminal history check</t>
  </si>
  <si>
    <t>Requestors</t>
  </si>
  <si>
    <t>$5-$15</t>
  </si>
  <si>
    <t>Per Check</t>
  </si>
  <si>
    <t>§690,§692; 661-11.5</t>
  </si>
  <si>
    <t>National criminal history check</t>
  </si>
  <si>
    <t>Set by FBI, referenced in our rules</t>
  </si>
  <si>
    <t xml:space="preserve">§692; 661-11.21 </t>
  </si>
  <si>
    <t>Fingerprinting service for DOT HazMat applicants</t>
  </si>
  <si>
    <t>Division of Criminal Investigation - Gaming</t>
  </si>
  <si>
    <t>Casino, pari-mutuel, and lottery background investigations</t>
  </si>
  <si>
    <t>Requesting Casino</t>
  </si>
  <si>
    <t>Actual Costs - Reimb. receipts</t>
  </si>
  <si>
    <t>Activity Based</t>
  </si>
  <si>
    <t>Gaming Operating Budget - 0030-0R</t>
  </si>
  <si>
    <t>§99D, §99F</t>
  </si>
  <si>
    <t>These are reimbursement receipts intended to recoup the costs of conducting background investigations requested by the gaming establishment.</t>
  </si>
  <si>
    <t>Law enforcement services at gaming facilities</t>
  </si>
  <si>
    <t>Casinos and Tracks</t>
  </si>
  <si>
    <t>Allocated based on approved budget, billed through IRGC</t>
  </si>
  <si>
    <t>Annual</t>
  </si>
  <si>
    <t>Gaming Enforcement Fund (0030)</t>
  </si>
  <si>
    <t>Variable</t>
  </si>
  <si>
    <t>Sex Offender Reg. Fee and Civil Penalty</t>
  </si>
  <si>
    <t>$175 per new sex offender registrant</t>
  </si>
  <si>
    <t>Per Conviction</t>
  </si>
  <si>
    <t>Sex Offender Registry Fund</t>
  </si>
  <si>
    <t>No change since inception</t>
  </si>
  <si>
    <t>§692A.119</t>
  </si>
  <si>
    <t>Fees are used to augment appropriations in support the annual costs of maintaining the registry.</t>
  </si>
  <si>
    <t>State Fire Marshal (0001-0R72)</t>
  </si>
  <si>
    <t>Aboveground storage tank registration fee</t>
  </si>
  <si>
    <t>Storage Tank Owners</t>
  </si>
  <si>
    <t>State Fire Marshal</t>
  </si>
  <si>
    <t>Fees are used to defray the costs of licensing and inspection.</t>
  </si>
  <si>
    <t>Insufficient to cover the costs of the 2.5 to 3 FTE involved in the program.  Inspections conducted on a requested basis only.</t>
  </si>
  <si>
    <t>Aboveground storage tank registration late fee</t>
  </si>
  <si>
    <t>As assessed</t>
  </si>
  <si>
    <t>Commercial Explosives Licenses</t>
  </si>
  <si>
    <t>Licensees</t>
  </si>
  <si>
    <t>$60 annual fee, can be prorated for partial year</t>
  </si>
  <si>
    <t>General Fund - 0001</t>
  </si>
  <si>
    <t>Fees do not support the program, but are transferred to the general fund</t>
  </si>
  <si>
    <t>Fire extinguishing system contractor certification</t>
  </si>
  <si>
    <t>Contractors</t>
  </si>
  <si>
    <t>$500 per year</t>
  </si>
  <si>
    <t>§100C; 661-275.5</t>
  </si>
  <si>
    <t>Fire extinguishing system certification program - certification of additional "Responsible Managing Employees"</t>
  </si>
  <si>
    <t>$50 per year</t>
  </si>
  <si>
    <t>Fire extinguishing System Contractor amended certification</t>
  </si>
  <si>
    <t>§100C; 661-275.5(4)</t>
  </si>
  <si>
    <t>Building code plan review - up to and including $1.0 million</t>
  </si>
  <si>
    <t>Architectural Firms</t>
  </si>
  <si>
    <t xml:space="preserve"> $0.58 per thousand dollars (min. $200)</t>
  </si>
  <si>
    <t>Per Submittal</t>
  </si>
  <si>
    <t>§103A; 661-300.4</t>
  </si>
  <si>
    <t>Building code plan review fee - greater than $1.0 million</t>
  </si>
  <si>
    <t>$580 for first $1.0 million plus $0.32 for each addt'l thousand dollars</t>
  </si>
  <si>
    <t>Fire suppression system plan review - greater than $20,000</t>
  </si>
  <si>
    <t>Fire alarm system plan review - greater than $20,000</t>
  </si>
  <si>
    <t>Inspection of state owned buildings (other than Regents buildings)</t>
  </si>
  <si>
    <t>To Be Determined</t>
  </si>
  <si>
    <t>During construction</t>
  </si>
  <si>
    <t>§103A.10A; 661-300.5</t>
  </si>
  <si>
    <t>Inspection of Regents buildings</t>
  </si>
  <si>
    <t>Inspection of non-state owned buildings receiving state appropriation</t>
  </si>
  <si>
    <t>§103A; 661-300.5</t>
  </si>
  <si>
    <t>Energy review</t>
  </si>
  <si>
    <t>Unknown</t>
  </si>
  <si>
    <t>§103A; 661-303.5</t>
  </si>
  <si>
    <t>Manufactured home installation seal</t>
  </si>
  <si>
    <t>§103A.54; 661-16.625</t>
  </si>
  <si>
    <t>Manufactured home installation replacement seal</t>
  </si>
  <si>
    <t>Ground support and anchoring system Approval</t>
  </si>
  <si>
    <t>Manufactured home retailers, manufacturers or distributors license</t>
  </si>
  <si>
    <t>Increased 1/1/07</t>
  </si>
  <si>
    <t xml:space="preserve">§103A; 661-372.8 </t>
  </si>
  <si>
    <t>Licensed manufactured home retailer "Installer Certification"</t>
  </si>
  <si>
    <t xml:space="preserve">§103A; 661-16.622 </t>
  </si>
  <si>
    <t>Licensed manufactured home retailer "Installer Certification - Application Amendment"</t>
  </si>
  <si>
    <t>"Independent Manufactured Home Installer Certification"</t>
  </si>
  <si>
    <t>Manufactured home retailer supplemental statement fee for change of business name or business location</t>
  </si>
  <si>
    <t xml:space="preserve">§103A; 661-372.4 </t>
  </si>
  <si>
    <t>Modular code compliance seal - No prefix or "A" prefix</t>
  </si>
  <si>
    <t>§103A.23; 661-16.610</t>
  </si>
  <si>
    <t>Modular code compliance seal - B, C, D, E, etc prefixes</t>
  </si>
  <si>
    <t>Modular code compliance seal - Replacement seal</t>
  </si>
  <si>
    <t>Modular installation seal</t>
  </si>
  <si>
    <t>Modular installation replacement seal</t>
  </si>
  <si>
    <t>Inspection of licensed health care facility</t>
  </si>
  <si>
    <t>$2 per bed</t>
  </si>
  <si>
    <t xml:space="preserve">§100; 661-5.5 </t>
  </si>
  <si>
    <t>Inspection of licensed group home</t>
  </si>
  <si>
    <t>Inspection of certified elder group home</t>
  </si>
  <si>
    <t>$7.50 per bed</t>
  </si>
  <si>
    <t>Inspection of licensed assisted living facility</t>
  </si>
  <si>
    <t>Inspection of adult day services program</t>
  </si>
  <si>
    <t>$50 per facility</t>
  </si>
  <si>
    <t>Inspection of licensed child care facility</t>
  </si>
  <si>
    <t>$20 per facility</t>
  </si>
  <si>
    <t>Second (or subsequent) reinspection of health care, group home, elder group home, assisted living facility, adult day services program</t>
  </si>
  <si>
    <t>$100 per reinspection</t>
  </si>
  <si>
    <t>As required</t>
  </si>
  <si>
    <t>Suitability inspection for possible health care, group home, elder group home, assisted living facility, adult day services</t>
  </si>
  <si>
    <t>Fire Service Training Bureau</t>
  </si>
  <si>
    <t>Firefighter certification</t>
  </si>
  <si>
    <t>Varies ($25 - 50 per test)</t>
  </si>
  <si>
    <t>Per Test</t>
  </si>
  <si>
    <t>§100B; 661-251.201, 661-251.203</t>
  </si>
  <si>
    <t>Fire and emergency services courses and tuition, conferences, publications, materials, and other</t>
  </si>
  <si>
    <t>Per Class</t>
  </si>
  <si>
    <t>Fees have always varied</t>
  </si>
  <si>
    <t>661.53.2(78GA,HF2492)</t>
  </si>
  <si>
    <t>Loan origination fee for Fire Fighting Equipment Revolving Loan Fund program</t>
  </si>
  <si>
    <t>Loan Recipient</t>
  </si>
  <si>
    <t>1% of loan amount</t>
  </si>
  <si>
    <t>Per Loan</t>
  </si>
  <si>
    <t>No change since program inception</t>
  </si>
  <si>
    <t>661-259.207(80GA,ch177)</t>
  </si>
  <si>
    <t>§103 and ARC 661</t>
  </si>
  <si>
    <t>Attorney General</t>
  </si>
  <si>
    <t>Iowa Consumer Credit Code Fund (0294)</t>
  </si>
  <si>
    <t>Consumer credit/debt collection fees</t>
  </si>
  <si>
    <t>Certain creditors engaged in consumer credit transactions, assignees of consumer credit debts, and debt collectors with total collections exceeding $25,000 in current or preceding calendar year</t>
  </si>
  <si>
    <t>Section 537.6203 was last amended in 2007, but fees and formula have not changed since enactment in 1974</t>
  </si>
  <si>
    <t>Iowa Code section 537.6203 and 61 IAC 22(537)</t>
  </si>
  <si>
    <t>Fees are used for 3.23 FTE positions including 1.41 attorney FTE's and 1.82 investigator FTE's.  Also includes misc. associated expenses.</t>
  </si>
  <si>
    <t>Professional Commercial Fundraisers (General Fund 0001)</t>
  </si>
  <si>
    <t>Professional commercial fundraiser registration permit fee</t>
  </si>
  <si>
    <t>Iowa Code chapter 13C and 61 IAC 24(13C)</t>
  </si>
  <si>
    <t>Money deposited into State General Fund.</t>
  </si>
  <si>
    <t>Emergency Response Fund (0330)</t>
  </si>
  <si>
    <t>*</t>
  </si>
  <si>
    <t>Notes:</t>
  </si>
  <si>
    <t>Fines collected by the Judicial Branch are not considered fees for this summary.</t>
  </si>
  <si>
    <t>Registration Fee for Written Interpreter Examination</t>
  </si>
  <si>
    <t>Candidates to be Certified Court Interpreter</t>
  </si>
  <si>
    <t>Wireless cell phone subscriber</t>
  </si>
  <si>
    <t>Funds are used for Hazardous Materials Emergency Preparedness planning and training.  Additional information can be found within the DNR annual report.</t>
  </si>
  <si>
    <t>General Fund (0001)</t>
  </si>
  <si>
    <t>Professional commercial fundraisers as defined in Iowa Code Section 13C.1(4)</t>
  </si>
  <si>
    <t>Various - See comments for fees</t>
  </si>
  <si>
    <t xml:space="preserve">*  Section 537.6203, Code of Iowa, sets out a detailed formula for determining the amount per creditor or assignee employing a sliding scale.  Debt collectors must pay $10 annually.  </t>
  </si>
  <si>
    <t>Section 537.6203 sets out a detailed formula for determining the amount per creditor or assignee employing a sliding scale.  Debt collectors must pay $10 annually.</t>
  </si>
  <si>
    <t>150 (# of offenders)</t>
  </si>
  <si>
    <t>8,836  (# of transactions)</t>
  </si>
  <si>
    <t>Monthly flat fee</t>
  </si>
  <si>
    <t>5,436*</t>
  </si>
  <si>
    <t>July 2007</t>
  </si>
  <si>
    <t>January 2007</t>
  </si>
  <si>
    <t>correctional supervision.  Receipts per offender cross fiscal years.</t>
  </si>
  <si>
    <t>Some of the receipts generated from fees are recorded as expenditure offsets  (Urinalysis (UA) Re-Testing Fee) rather than a receipt.  For example, the UA test is charged when an offender claims</t>
  </si>
  <si>
    <t>Iowa Law Enforcement Academy (ILEA)</t>
  </si>
  <si>
    <t>Basic Level I Training School</t>
  </si>
  <si>
    <t>per person, per class</t>
  </si>
  <si>
    <t>ILEA</t>
  </si>
  <si>
    <t>Certification Through Examination</t>
  </si>
  <si>
    <t>Officers transferring in from another State</t>
  </si>
  <si>
    <t>City and county law enforcement, Departments of Transportation and Natural Resources</t>
  </si>
  <si>
    <t>Defensive Duty Officer Knife Instructor School</t>
  </si>
  <si>
    <t>Defensive Tactics Instructor Recertification School</t>
  </si>
  <si>
    <t>Firearms Instructor Recertification School</t>
  </si>
  <si>
    <t>Law Enforcement Open Sight Rifle Instructor Recertification School</t>
  </si>
  <si>
    <t>The agency the person works for</t>
  </si>
  <si>
    <t>Precision Driving Instructor Recertification School</t>
  </si>
  <si>
    <t>Sub-Gun Instructor Recertification School</t>
  </si>
  <si>
    <t>Taser Instructor Recertification School</t>
  </si>
  <si>
    <t>Advanced Collision Investigation School</t>
  </si>
  <si>
    <t>Bicycle Maintenance for the Bicycle Patrol Offier School</t>
  </si>
  <si>
    <t>Crime Scene Photography School</t>
  </si>
  <si>
    <t>Child Abduction Response and Search Protocols School</t>
  </si>
  <si>
    <t>Commercial Vehicle Awareness Course</t>
  </si>
  <si>
    <t>Post Blast Investigation School</t>
  </si>
  <si>
    <t>Second Gold-Star Leadership Conference</t>
  </si>
  <si>
    <t>Telecommunicator Advanced 24-Hour School</t>
  </si>
  <si>
    <t>Telecommunicator Basic 40-Hour School</t>
  </si>
  <si>
    <t>In-Service Telecommunicator School</t>
  </si>
  <si>
    <t>AED, CPR, and First Aid Classes</t>
  </si>
  <si>
    <t>Jail Basic 40-Hour School</t>
  </si>
  <si>
    <t>Jail Medication Management Schools</t>
  </si>
  <si>
    <t>Jail In-Service 5-Hour Temporary Holding Facility</t>
  </si>
  <si>
    <t>Jail In-Service 20-Hour School</t>
  </si>
  <si>
    <t>Reserve Officer Training Module A</t>
  </si>
  <si>
    <t>Reserve Officer Training Module F</t>
  </si>
  <si>
    <t xml:space="preserve">   * Office of Professional Regulation Registration Fee for Written Interpreter Exam - The first time the test is taken, the fee is $40.  If part of the exam is passed, the fee is $20 to re-take.</t>
  </si>
  <si>
    <t xml:space="preserve">   * Office of Professional Regulation Registration Fee for Oral Interpreter Exam - The first time the test is taken, the fee is $200.  Subsequent attempts is $150.  The non-resident fee is $300.</t>
  </si>
  <si>
    <t>that the test is inaccurate.   A sample is sent to a different lab; if the test result is the same as that of the original test, the offender is charged for the cost of the lab work.</t>
  </si>
  <si>
    <t>The * on the CBC pages represents the number of transactions rather than the number of offenders.</t>
  </si>
  <si>
    <t>The DOC and CBC District Departments are authorized by law to charge offenders for certain services.  Offenders are placed on a payment plan and receipts are collected while the offender is under</t>
  </si>
  <si>
    <t>The appropriate line item expenditure is credited when the offender pays the fee so that expenditures are not overstated.</t>
  </si>
  <si>
    <t>ILEA operating budget</t>
  </si>
  <si>
    <t>ILEA Operating Budget</t>
  </si>
  <si>
    <t>Total Revenues</t>
  </si>
  <si>
    <t>Number of FY 2011 Payors</t>
  </si>
  <si>
    <t>FY 2011 Total Revenue</t>
  </si>
  <si>
    <t>FY 2011 Total Net GF Revenue</t>
  </si>
  <si>
    <t>$100                  $190</t>
  </si>
  <si>
    <t>30                              6</t>
  </si>
  <si>
    <t>$270 FY10         $275 FY11</t>
  </si>
  <si>
    <t>$80 FY10        $90 FY11</t>
  </si>
  <si>
    <t>$135 FY10      $140 FY11</t>
  </si>
  <si>
    <t>$225 FY10       $250 FY11</t>
  </si>
  <si>
    <t>$70 FY10     $75FY11</t>
  </si>
  <si>
    <t>$140 FY10     $145 FY11</t>
  </si>
  <si>
    <t>ASP Baton Instructor School</t>
  </si>
  <si>
    <t>ASP Restraint Instructor School</t>
  </si>
  <si>
    <t>Bicycle Patrol Officer Instructor School</t>
  </si>
  <si>
    <t>Chemical Munitions Instructor School</t>
  </si>
  <si>
    <t>Defensive Flashlight Instructor School</t>
  </si>
  <si>
    <t>Defensive Tactics Instructor School</t>
  </si>
  <si>
    <t>Firearms Instructor School</t>
  </si>
  <si>
    <t>Law Enforcement Open Sight Rifle Instructor  School</t>
  </si>
  <si>
    <t>$275 FY11</t>
  </si>
  <si>
    <t>Less Lethal Munitions Instructor School</t>
  </si>
  <si>
    <t>Oleoresin Capsicum Instructor School</t>
  </si>
  <si>
    <t>PR-24 Baton Instructor School</t>
  </si>
  <si>
    <t>Precision Driving Instructor  School</t>
  </si>
  <si>
    <t>Radar/Lidar Instructor Course</t>
  </si>
  <si>
    <t>N/C</t>
  </si>
  <si>
    <t>Standardized Field Sobriety Testing Instructor Course</t>
  </si>
  <si>
    <t>$275 FY10      $15 FY11</t>
  </si>
  <si>
    <t>ASP Baton Instructor Recertification School</t>
  </si>
  <si>
    <t>ASP Restraint Instructor Recertification  School</t>
  </si>
  <si>
    <t>Bicycle Patrol Officer Instructor Recertification School</t>
  </si>
  <si>
    <t>Chemical Munitions Instructor Recertification School</t>
  </si>
  <si>
    <t>Defensive Flashlight Instructor Recertification School</t>
  </si>
  <si>
    <t>Defensive duty Officer Knife Instructor Recertification  School</t>
  </si>
  <si>
    <t>Less Lethal Munitions Instructor Recertification School</t>
  </si>
  <si>
    <t>Oleoresin Capsicum Instructor Recertification School</t>
  </si>
  <si>
    <t>PR-24 Baton Instructor  Recertification School</t>
  </si>
  <si>
    <t>Radar/Lidar Instructor  Recertification Course</t>
  </si>
  <si>
    <t>Standardized Field Sobriety Testing Instructor Recertification  Course</t>
  </si>
  <si>
    <t>Basic Criminal Investigation School</t>
  </si>
  <si>
    <t>The 6th Annual Iowa Police Bicycle Officers' Fall Training</t>
  </si>
  <si>
    <t>Bicycle Patrol Officer School</t>
  </si>
  <si>
    <t>N/C                 $180</t>
  </si>
  <si>
    <t>Court Security School (presented by Advanced Law Enforcement Readiness Training)</t>
  </si>
  <si>
    <t>First Gold Star Leadership Program</t>
  </si>
  <si>
    <t>First Line Supervision School</t>
  </si>
  <si>
    <t>Human Trafficking Investigations (Presented by the Department of Justice, Civil Rights Division)</t>
  </si>
  <si>
    <t>Horse Cruelty and Abuse Investigation School</t>
  </si>
  <si>
    <t>Instructor Development School</t>
  </si>
  <si>
    <t>Interviews and Interrogations School</t>
  </si>
  <si>
    <t>Investigation of Financial Crimes</t>
  </si>
  <si>
    <t>Media Relations for Law Enforcement School</t>
  </si>
  <si>
    <t>$60 FY10       $75 FY11</t>
  </si>
  <si>
    <t>Mental Illness Strategies: The Police Response</t>
  </si>
  <si>
    <t>$75 FY10     $85 FY11</t>
  </si>
  <si>
    <t>Police Training Officer School</t>
  </si>
  <si>
    <t>Proctoring of the MMPI-2 and Post Tests School</t>
  </si>
  <si>
    <t xml:space="preserve"> $595 FY11 ($400 paid to FBI)</t>
  </si>
  <si>
    <t xml:space="preserve">Sexual Deviance in the New Millennium  </t>
  </si>
  <si>
    <t xml:space="preserve"> Update School - Firearms Training</t>
  </si>
  <si>
    <t>Technical Collision Investigation School</t>
  </si>
  <si>
    <t>National Center for Missing and Exploited Children School</t>
  </si>
  <si>
    <t>Communications Supervisor Management School</t>
  </si>
  <si>
    <t>Communications Training Officer School</t>
  </si>
  <si>
    <t>per</t>
  </si>
  <si>
    <t>Telecommunicator Supervisor Management School</t>
  </si>
  <si>
    <t>Mental Health First Aid</t>
  </si>
  <si>
    <t>Jail Basic 10-Hour Temporary Holding Facility Schools</t>
  </si>
  <si>
    <t>$90 FY 10     $95 FY11</t>
  </si>
  <si>
    <t>Reserve Officer Training Module B</t>
  </si>
  <si>
    <t>Reserve Officer Training Module C</t>
  </si>
  <si>
    <t>Reserve Officer Training Module D</t>
  </si>
  <si>
    <t>Reserve Officer Training Module E</t>
  </si>
  <si>
    <t>$55 (one day)    $95 (two day)</t>
  </si>
  <si>
    <t xml:space="preserve">   * Board of Law Examiners Law Student Late Registration Fee - Fee is $75 or $150 depending on how late the fee is.  </t>
  </si>
  <si>
    <t>No  increase in fees since 1982.  The changes to Ch 724 created a 5 year fee with authority to carry forward unexpended balances.</t>
  </si>
  <si>
    <t>Included Above</t>
  </si>
  <si>
    <t>FY 2011 Total Local or Other Revenue</t>
  </si>
  <si>
    <t>9,323 (# of transactions</t>
  </si>
  <si>
    <t>293 (# of transactions</t>
  </si>
  <si>
    <t>52 (# of transactions</t>
  </si>
  <si>
    <t>Batterers' Education Program Fee / Moving On Group Fee</t>
  </si>
  <si>
    <t>BEP Clients / Women Clients</t>
  </si>
  <si>
    <t>Per Client Per 24 Week Session + Intake</t>
  </si>
  <si>
    <t>Funds are used to pay for District staff who coordinate and facilitate BEP/Moving On</t>
  </si>
  <si>
    <t>Per Client Per Week/Per Month</t>
  </si>
  <si>
    <t>CALM Group Fee</t>
  </si>
  <si>
    <t>Anger Management Clients</t>
  </si>
  <si>
    <t>Per Client Per Weekly Session</t>
  </si>
  <si>
    <t>Funds are used to pay for the operational support costs associated with this 24-session anger management program</t>
  </si>
  <si>
    <t>Sex Offender Treatment Program Materials Fee</t>
  </si>
  <si>
    <t>Fee covers the cost of purchasing and providing Sex Offender Treatment Program educational materials to all new SOTP clients</t>
  </si>
  <si>
    <t>All new Sex Offender Treatment Program clients are required to purchase the Program educational materials (workbooks), which are theirs then to keep throughout their Program participation and upon completion</t>
  </si>
  <si>
    <t>UA Confirmation Processing Fee - Deny Positive</t>
  </si>
  <si>
    <t>Any Client Who Denies A Positive UA Test &amp; Requests A Confirmation</t>
  </si>
  <si>
    <t>Fee covers the cost of an UA laboratory confirmation test</t>
  </si>
  <si>
    <t>Any client who tests positive for drug use during an in-house UA test, but denies those test results may request a professional laboratory confirmation AND will be required to pay for the cost of that lab confirmation</t>
  </si>
  <si>
    <t>482 Transactions</t>
  </si>
  <si>
    <t>Paid to Provider</t>
  </si>
  <si>
    <t>17,467 (# of transactions)</t>
  </si>
  <si>
    <t>712 (# of transactions)</t>
  </si>
  <si>
    <t>7,433 (# of transactions)</t>
  </si>
  <si>
    <t>251 (# of transactions)</t>
  </si>
  <si>
    <t>89 (# of transactions)</t>
  </si>
  <si>
    <t>498 (# of transactions)</t>
  </si>
  <si>
    <t>44 (# of transactions)</t>
  </si>
  <si>
    <t>5,967 (# of transactions)</t>
  </si>
  <si>
    <t>299 (# of transactions)</t>
  </si>
  <si>
    <t>347 (# of transactions)</t>
  </si>
  <si>
    <t>2,470 (# of transactions)</t>
  </si>
  <si>
    <t>221 (# of transactions)</t>
  </si>
  <si>
    <t>113 (# of transactions)</t>
  </si>
  <si>
    <t>322 (# of transactions)</t>
  </si>
  <si>
    <t>29 (# of transactions)</t>
  </si>
  <si>
    <t>Offenders &amp; Offender's Family &amp; Friends</t>
  </si>
  <si>
    <t>per email</t>
  </si>
  <si>
    <t>$3.00 Per Office Visit</t>
  </si>
  <si>
    <t>Per Visit</t>
  </si>
  <si>
    <t>Fee for purchase of Debitek card to use in vending machines on site.  No net receipts in FY11 due to refunds made to inmates charged incorrectly.</t>
  </si>
  <si>
    <t>Pay to Stay is a direct offset to GF expenditures; 6% charged for offender store orders (e.g.; personal clothing, commissary, etc.).</t>
  </si>
  <si>
    <t>O-Mail</t>
  </si>
  <si>
    <r>
      <t>Pay to Stay is a direct offset to GF expenditures</t>
    </r>
    <r>
      <rPr>
        <sz val="8"/>
        <rFont val="Arial"/>
        <family val="2"/>
      </rPr>
      <t>; 6% charged for offender store orders (e.g.; personal clothing, commissary, etc.).</t>
    </r>
  </si>
  <si>
    <r>
      <t xml:space="preserve">Medical Co-Pays </t>
    </r>
    <r>
      <rPr>
        <sz val="8"/>
        <rFont val="Arial"/>
        <family val="2"/>
      </rPr>
      <t>are a direct offset to GF expense</t>
    </r>
  </si>
  <si>
    <t>$.15 per copy</t>
  </si>
  <si>
    <t>sliding fee scale $25 - $15 per group</t>
  </si>
  <si>
    <t>$4,000 FY10      $4,606 FY11</t>
  </si>
  <si>
    <t>$850 FY10                 $500 FY11         $850 FY11</t>
  </si>
  <si>
    <t>Number of FY 2012 Payors</t>
  </si>
  <si>
    <t>FY 2012 Total Revenue</t>
  </si>
  <si>
    <t>Number of FY 2013 Payors</t>
  </si>
  <si>
    <t>FY 2013 Total Revenue</t>
  </si>
  <si>
    <t>Number of FY 2014 Payors</t>
  </si>
  <si>
    <t>FY 2014 Total Revenue</t>
  </si>
  <si>
    <t>FY 2012 Total Local or Other Revenue</t>
  </si>
  <si>
    <t>FY 2013 Total Net GF Revenue</t>
  </si>
  <si>
    <t>FY 2013 Total Local or Other Revenue</t>
  </si>
  <si>
    <t>FY 2014 Total Net GF Revenue</t>
  </si>
  <si>
    <t>FY 2014 Total Local or Other Revenue</t>
  </si>
  <si>
    <t xml:space="preserve">$1.00 per wireless phone, per month </t>
  </si>
  <si>
    <t>88 (# of transactions)</t>
  </si>
  <si>
    <t>6804 (# of transactions)</t>
  </si>
  <si>
    <t>439 (# of transactions)</t>
  </si>
  <si>
    <t>301 (# of transactions)</t>
  </si>
  <si>
    <t>2937 (# of transactions)</t>
  </si>
  <si>
    <t>238 (# of transactions)</t>
  </si>
  <si>
    <t>142 (# of transactions)</t>
  </si>
  <si>
    <t>414 (# of transactions)</t>
  </si>
  <si>
    <t>18 (# of transactions)</t>
  </si>
  <si>
    <t>18243 (# of transactions</t>
  </si>
  <si>
    <t>746*</t>
  </si>
  <si>
    <t>1296*</t>
  </si>
  <si>
    <t>716*</t>
  </si>
  <si>
    <t>291*</t>
  </si>
  <si>
    <t>6*</t>
  </si>
  <si>
    <t>409*</t>
  </si>
  <si>
    <t>1220*</t>
  </si>
  <si>
    <t>.</t>
  </si>
  <si>
    <t>106846 messages</t>
  </si>
  <si>
    <t>NC</t>
  </si>
  <si>
    <t>Fitness Specialist Training (Cooper Institute)</t>
  </si>
  <si>
    <t>TASER  Instructor School</t>
  </si>
  <si>
    <t>TASER Instructor School (Models covered X2, X26</t>
  </si>
  <si>
    <t>5-Star Innovation Leadership</t>
  </si>
  <si>
    <t>Sniper-Observer School</t>
  </si>
  <si>
    <t>Force on Force Orientation</t>
  </si>
  <si>
    <t>Mental Health In-Service</t>
  </si>
  <si>
    <t>Fees pay for 36 FTE and the associated support costs of maintaining the computerized criminal history database.</t>
  </si>
  <si>
    <t>Fees are charged to cover 107 FTE and associated support costs of regulating the gaming industry.</t>
  </si>
  <si>
    <t>Fees are used for 6.0 FTE positions including three clerks and three temporary persons.  Also includes printer for licenses and file cabinets for paperwork.</t>
  </si>
  <si>
    <t>Fees are used for 20.0 FTE positions including 18 full-time inspectors and two supervisors.  Also includes a computer for each inspector.</t>
  </si>
  <si>
    <t>Biennial</t>
  </si>
  <si>
    <t>§101; 661-224.4(2) &amp; H.F. 640</t>
  </si>
  <si>
    <t>Aboveground storage tank registration plan review</t>
  </si>
  <si>
    <t>§101; 661-221.3(3)</t>
  </si>
  <si>
    <t>Aboveground storage tank registration plan review fee per tank</t>
  </si>
  <si>
    <t>3 Year Term</t>
  </si>
  <si>
    <t>§101A &amp; HF 223</t>
  </si>
  <si>
    <t>Individual Blaster Licenses</t>
  </si>
  <si>
    <t>Fire extinguishing System Contractor additional endorsements</t>
  </si>
  <si>
    <t>Fire extinguishing System Installer</t>
  </si>
  <si>
    <t>Licensee</t>
  </si>
  <si>
    <t>2 Year Term</t>
  </si>
  <si>
    <t>§100C; 661-276.4</t>
  </si>
  <si>
    <t>Fire extinguishing System Installer amended certification</t>
  </si>
  <si>
    <t>Fire extinguishing System Installer additional endorsements</t>
  </si>
  <si>
    <t>Fire extinguishing System Installer trainee</t>
  </si>
  <si>
    <t>Fire extinguishing System Installer temporary</t>
  </si>
  <si>
    <t>§100C; 661-276.3(5) &amp; 661-276.4</t>
  </si>
  <si>
    <t>Alarm System Contractor certification</t>
  </si>
  <si>
    <t>2013</t>
  </si>
  <si>
    <t>§100C; 661-277</t>
  </si>
  <si>
    <t>Alarm System Contractor-certification of additional "Responsible Managing Employees"</t>
  </si>
  <si>
    <t>Alarm System Contractor amended certification</t>
  </si>
  <si>
    <t>Alarm System Contractor additional endorsements</t>
  </si>
  <si>
    <t>Alarm System Installer certification</t>
  </si>
  <si>
    <t>Alarm System Installer amended certification</t>
  </si>
  <si>
    <t>Alarm System Installer additional endorsements</t>
  </si>
  <si>
    <t>Alarm System Installer Assistant</t>
  </si>
  <si>
    <t>Fire suppression system plan review - up to and including $5,000</t>
  </si>
  <si>
    <t>Fire suppression system plan review - more than $5,000 up to and including $20,000</t>
  </si>
  <si>
    <t>Fire alarm system plan review - up to and including $5,000</t>
  </si>
  <si>
    <t>Fire alarm system plan review - more than $5,000 and up to and including $20,000</t>
  </si>
  <si>
    <t>3 Year</t>
  </si>
  <si>
    <t>Signs/Special</t>
  </si>
  <si>
    <t>Permits - Statewide inspection program began March 1, 2009.</t>
  </si>
  <si>
    <t>Information as submitted by the Department on November 14, 2014.</t>
  </si>
  <si>
    <t>Information as provided by the Judicial Branch on November 14, 2014.</t>
  </si>
  <si>
    <t>Information as provided by the Department on November 14, 2014.</t>
  </si>
  <si>
    <t>Air Conditioning Disconnect/Reconnect</t>
  </si>
  <si>
    <t>Iowa Code section 80B.11B</t>
  </si>
  <si>
    <t>802                             (# of offenders)</t>
  </si>
  <si>
    <t>All Residential Center clients upon arrival at one of our facilities is required to purchase a new set of bed linens, which is theirs to keep when they leave the facility.  Fee increased from $15 to $25 in FY2014</t>
  </si>
  <si>
    <t>**3,006</t>
  </si>
  <si>
    <t xml:space="preserve">**48 </t>
  </si>
  <si>
    <t>**292</t>
  </si>
  <si>
    <t>Fee for BEP</t>
  </si>
  <si>
    <t>**422</t>
  </si>
  <si>
    <t>**81</t>
  </si>
  <si>
    <t>810*</t>
  </si>
  <si>
    <t>660*</t>
  </si>
  <si>
    <t>827*</t>
  </si>
  <si>
    <t>Direct offset to GF expenditures</t>
  </si>
  <si>
    <t>214196 messages</t>
  </si>
  <si>
    <t>300636 messages</t>
  </si>
  <si>
    <t>Direct offsets to GF expenditures</t>
  </si>
  <si>
    <t>Unless otherwise stated, all Prison and CBC Local Other Revenues are offset by GF or Other Operating Expenses.</t>
  </si>
  <si>
    <t>per occurrence</t>
  </si>
  <si>
    <t>A= Sixth District Fee System Data Base
B= Converted to state-wide fee system on Dec. 2, 2013</t>
  </si>
  <si>
    <t>Fee for Sex Offenders to pay for their programming</t>
  </si>
  <si>
    <t>Clients normally make weekly payments causing a high degree of overlap in the two data fee systems used in 2014 during the transition.
A= Sixth District Fee System Data Base
B= Converted to state-wide fee system on Dec. 2, 2013</t>
  </si>
  <si>
    <t>Daily rent fee residential with OWI programming</t>
  </si>
  <si>
    <t>Incoming and Outgoing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</si>
</sst>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quot;$&quot;#,##0"/>
    <numFmt numFmtId="165" formatCode="&quot;$&quot;* #,##0"/>
    <numFmt numFmtId="166" formatCode="&quot;$&quot;#,##0.0_);[Red]\(&quot;$&quot;#,##0.0\)"/>
  </numFmts>
  <fonts count="22" x14ac:knownFonts="1">
    <font>
      <sz val="10"/>
      <name val="Arial"/>
    </font>
    <font>
      <sz val="11"/>
      <color theme="1"/>
      <name val="Calibri"/>
      <family val="2"/>
      <scheme val="minor"/>
    </font>
    <font>
      <sz val="10"/>
      <name val="Arial"/>
      <family val="2"/>
    </font>
    <font>
      <sz val="8"/>
      <name val="Arial"/>
      <family val="2"/>
    </font>
    <font>
      <sz val="10"/>
      <name val="Arial"/>
      <family val="2"/>
    </font>
    <font>
      <b/>
      <sz val="10"/>
      <color indexed="81"/>
      <name val="Tahoma"/>
      <family val="2"/>
    </font>
    <font>
      <sz val="10"/>
      <color indexed="81"/>
      <name val="Tahoma"/>
      <family val="2"/>
    </font>
    <font>
      <b/>
      <sz val="9"/>
      <name val="Arial"/>
      <family val="2"/>
    </font>
    <font>
      <sz val="9"/>
      <color indexed="8"/>
      <name val="Calibri"/>
      <family val="2"/>
    </font>
    <font>
      <sz val="9"/>
      <color indexed="8"/>
      <name val="Arial"/>
      <family val="2"/>
    </font>
    <font>
      <sz val="8"/>
      <color indexed="8"/>
      <name val="Arial"/>
      <family val="2"/>
    </font>
    <font>
      <b/>
      <sz val="8"/>
      <name val="Arial"/>
      <family val="2"/>
    </font>
    <font>
      <b/>
      <sz val="8"/>
      <color indexed="8"/>
      <name val="Arial"/>
      <family val="2"/>
    </font>
    <font>
      <sz val="9"/>
      <name val="Arial"/>
      <family val="2"/>
    </font>
    <font>
      <b/>
      <sz val="11"/>
      <name val="Arial"/>
      <family val="2"/>
    </font>
    <font>
      <sz val="11"/>
      <color indexed="8"/>
      <name val="Arial"/>
      <family val="2"/>
    </font>
    <font>
      <sz val="12"/>
      <color indexed="8"/>
      <name val="Arial"/>
      <family val="2"/>
    </font>
    <font>
      <b/>
      <sz val="9"/>
      <color indexed="8"/>
      <name val="Calibri"/>
      <family val="2"/>
    </font>
    <font>
      <b/>
      <sz val="9"/>
      <color indexed="8"/>
      <name val="Arial"/>
      <family val="2"/>
    </font>
    <font>
      <sz val="9"/>
      <color rgb="FFFF0000"/>
      <name val="Arial"/>
      <family val="2"/>
    </font>
    <font>
      <sz val="8"/>
      <color rgb="FFFF0000"/>
      <name val="Arial"/>
      <family val="2"/>
    </font>
    <font>
      <b/>
      <sz val="8"/>
      <color theme="3" tint="-0.499984740745262"/>
      <name val="Arial"/>
      <family val="2"/>
    </font>
  </fonts>
  <fills count="3">
    <fill>
      <patternFill patternType="none"/>
    </fill>
    <fill>
      <patternFill patternType="gray125"/>
    </fill>
    <fill>
      <patternFill patternType="solid">
        <fgColor rgb="FFCCFFCC"/>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xf numFmtId="44"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xf numFmtId="0" fontId="2" fillId="0" borderId="0"/>
  </cellStyleXfs>
  <cellXfs count="351">
    <xf numFmtId="0" fontId="0" fillId="0" borderId="0" xfId="0"/>
    <xf numFmtId="0" fontId="7" fillId="0" borderId="0" xfId="0" applyFont="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left" wrapText="1"/>
    </xf>
    <xf numFmtId="164" fontId="7" fillId="0" borderId="1" xfId="0" applyNumberFormat="1" applyFont="1" applyBorder="1" applyAlignment="1">
      <alignment horizontal="center" wrapText="1"/>
    </xf>
    <xf numFmtId="3" fontId="7" fillId="0" borderId="1" xfId="0" applyNumberFormat="1" applyFont="1" applyBorder="1" applyAlignment="1">
      <alignment horizontal="center" wrapText="1"/>
    </xf>
    <xf numFmtId="0" fontId="8" fillId="0" borderId="0" xfId="0" applyFont="1"/>
    <xf numFmtId="0" fontId="8" fillId="0" borderId="2" xfId="0" applyFont="1" applyBorder="1" applyAlignment="1">
      <alignment vertical="top"/>
    </xf>
    <xf numFmtId="0" fontId="8" fillId="0" borderId="2" xfId="0" applyFont="1" applyBorder="1" applyAlignment="1">
      <alignment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horizontal="center" vertical="top"/>
    </xf>
    <xf numFmtId="0" fontId="8" fillId="0" borderId="2" xfId="0" applyFont="1" applyFill="1" applyBorder="1" applyAlignment="1">
      <alignment horizontal="left" vertical="top" wrapText="1"/>
    </xf>
    <xf numFmtId="0" fontId="8" fillId="0" borderId="0" xfId="0" applyFont="1" applyAlignment="1">
      <alignment vertical="top"/>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8" fillId="0" borderId="0" xfId="0" applyFont="1" applyFill="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wrapText="1"/>
    </xf>
    <xf numFmtId="0" fontId="8" fillId="0" borderId="0" xfId="0" applyFont="1" applyAlignment="1">
      <alignment horizontal="center"/>
    </xf>
    <xf numFmtId="0" fontId="8" fillId="0" borderId="0" xfId="0" applyFont="1" applyAlignment="1">
      <alignment wrapText="1"/>
    </xf>
    <xf numFmtId="0" fontId="9" fillId="0" borderId="0" xfId="0" applyFont="1"/>
    <xf numFmtId="0" fontId="9" fillId="0" borderId="0" xfId="0" applyFont="1" applyAlignment="1">
      <alignment vertical="top"/>
    </xf>
    <xf numFmtId="0" fontId="9" fillId="0" borderId="0" xfId="0" applyFont="1" applyFill="1" applyAlignment="1">
      <alignment horizontal="center" vertical="top" wrapText="1"/>
    </xf>
    <xf numFmtId="0" fontId="9" fillId="0" borderId="0" xfId="0" applyFont="1" applyFill="1" applyAlignment="1">
      <alignment horizontal="left" vertical="top" wrapText="1"/>
    </xf>
    <xf numFmtId="0" fontId="9" fillId="0" borderId="2" xfId="0" applyFont="1" applyBorder="1" applyAlignment="1">
      <alignment vertical="top"/>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0" xfId="0" applyFont="1" applyBorder="1"/>
    <xf numFmtId="0" fontId="9" fillId="0" borderId="0" xfId="0" applyFont="1" applyFill="1" applyBorder="1" applyAlignment="1">
      <alignment vertical="top"/>
    </xf>
    <xf numFmtId="0" fontId="9" fillId="0" borderId="0" xfId="0" applyFont="1" applyFill="1" applyBorder="1"/>
    <xf numFmtId="0" fontId="9" fillId="0" borderId="0" xfId="0" applyFont="1" applyBorder="1" applyAlignment="1">
      <alignment horizontal="center" vertical="top"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center"/>
    </xf>
    <xf numFmtId="0" fontId="9" fillId="0" borderId="0" xfId="0" applyFont="1" applyAlignment="1">
      <alignment horizontal="center" vertical="top" wrapText="1"/>
    </xf>
    <xf numFmtId="0" fontId="9" fillId="0" borderId="0" xfId="0" applyFont="1" applyAlignment="1">
      <alignment horizontal="left" wrapText="1"/>
    </xf>
    <xf numFmtId="0" fontId="9" fillId="0" borderId="0" xfId="0" applyFont="1" applyAlignment="1">
      <alignment vertical="top" wrapText="1"/>
    </xf>
    <xf numFmtId="0" fontId="9" fillId="0" borderId="0" xfId="0" applyFont="1" applyAlignment="1">
      <alignment horizontal="center" wrapText="1"/>
    </xf>
    <xf numFmtId="0" fontId="9" fillId="0" borderId="0" xfId="0" applyFont="1" applyAlignment="1">
      <alignment horizontal="center"/>
    </xf>
    <xf numFmtId="0" fontId="9" fillId="0" borderId="0" xfId="0" applyFont="1" applyAlignment="1">
      <alignment wrapText="1"/>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0" fontId="8" fillId="0" borderId="0" xfId="0" applyFont="1" applyBorder="1"/>
    <xf numFmtId="0" fontId="8" fillId="0" borderId="0" xfId="0" applyFont="1" applyFill="1" applyBorder="1" applyAlignment="1">
      <alignment vertical="top"/>
    </xf>
    <xf numFmtId="0" fontId="8" fillId="0" borderId="0" xfId="0" applyFont="1" applyFill="1" applyBorder="1"/>
    <xf numFmtId="0" fontId="8" fillId="0" borderId="0" xfId="0" applyFont="1" applyBorder="1" applyAlignment="1">
      <alignment horizontal="center" vertical="top"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center"/>
    </xf>
    <xf numFmtId="0" fontId="9" fillId="0" borderId="0" xfId="0" applyFont="1" applyFill="1"/>
    <xf numFmtId="0" fontId="9" fillId="0" borderId="0" xfId="0" applyFont="1" applyAlignment="1"/>
    <xf numFmtId="0" fontId="9" fillId="0" borderId="0" xfId="0" applyFont="1" applyFill="1" applyAlignment="1">
      <alignment vertical="top"/>
    </xf>
    <xf numFmtId="165" fontId="9" fillId="0" borderId="2" xfId="1" applyNumberFormat="1" applyFont="1" applyFill="1" applyBorder="1" applyAlignment="1">
      <alignment horizontal="center" vertical="top"/>
    </xf>
    <xf numFmtId="165" fontId="7" fillId="0" borderId="1" xfId="0" applyNumberFormat="1" applyFont="1" applyBorder="1" applyAlignment="1">
      <alignment horizontal="center" wrapText="1"/>
    </xf>
    <xf numFmtId="165" fontId="8" fillId="0" borderId="0" xfId="1" applyNumberFormat="1" applyFont="1" applyFill="1" applyAlignment="1">
      <alignment horizontal="center" vertical="top" wrapText="1"/>
    </xf>
    <xf numFmtId="165" fontId="8" fillId="0" borderId="2" xfId="1" applyNumberFormat="1" applyFont="1" applyFill="1" applyBorder="1" applyAlignment="1">
      <alignment horizontal="center" vertical="top" wrapText="1"/>
    </xf>
    <xf numFmtId="165" fontId="8" fillId="0" borderId="0" xfId="1" applyNumberFormat="1" applyFont="1" applyFill="1" applyBorder="1" applyAlignment="1">
      <alignment horizontal="center" vertical="top" wrapText="1"/>
    </xf>
    <xf numFmtId="165" fontId="8" fillId="0" borderId="0" xfId="0" applyNumberFormat="1" applyFont="1" applyBorder="1" applyAlignment="1">
      <alignment horizontal="center" wrapText="1"/>
    </xf>
    <xf numFmtId="165" fontId="8" fillId="0" borderId="0" xfId="0" applyNumberFormat="1" applyFont="1" applyAlignment="1">
      <alignment horizontal="center" wrapText="1"/>
    </xf>
    <xf numFmtId="165" fontId="8" fillId="0" borderId="0" xfId="0" applyNumberFormat="1" applyFont="1" applyAlignment="1">
      <alignment wrapText="1"/>
    </xf>
    <xf numFmtId="165" fontId="9" fillId="0" borderId="0" xfId="1" applyNumberFormat="1" applyFont="1" applyFill="1" applyBorder="1" applyAlignment="1">
      <alignment horizontal="center" vertical="top"/>
    </xf>
    <xf numFmtId="165" fontId="9" fillId="0" borderId="0" xfId="0" applyNumberFormat="1" applyFont="1" applyBorder="1" applyAlignment="1">
      <alignment horizontal="center"/>
    </xf>
    <xf numFmtId="165" fontId="9" fillId="0" borderId="0" xfId="0" applyNumberFormat="1" applyFont="1" applyAlignment="1">
      <alignment horizontal="center"/>
    </xf>
    <xf numFmtId="165" fontId="9" fillId="0" borderId="0" xfId="0" applyNumberFormat="1" applyFont="1"/>
    <xf numFmtId="164" fontId="9" fillId="0" borderId="0" xfId="1" applyNumberFormat="1" applyFont="1" applyFill="1" applyBorder="1" applyAlignment="1">
      <alignment horizontal="center" vertical="top"/>
    </xf>
    <xf numFmtId="164" fontId="9" fillId="0" borderId="0" xfId="0" applyNumberFormat="1" applyFont="1" applyBorder="1" applyAlignment="1">
      <alignment horizontal="center"/>
    </xf>
    <xf numFmtId="164" fontId="9" fillId="0" borderId="0" xfId="0" applyNumberFormat="1" applyFont="1" applyAlignment="1">
      <alignment horizontal="center"/>
    </xf>
    <xf numFmtId="164" fontId="9" fillId="0" borderId="0" xfId="0" applyNumberFormat="1" applyFont="1"/>
    <xf numFmtId="0" fontId="9" fillId="0" borderId="0" xfId="0" applyFont="1" applyBorder="1" applyAlignment="1">
      <alignment wrapText="1"/>
    </xf>
    <xf numFmtId="165" fontId="9" fillId="0" borderId="0" xfId="1" applyNumberFormat="1" applyFont="1" applyFill="1" applyBorder="1" applyAlignment="1">
      <alignment horizontal="center"/>
    </xf>
    <xf numFmtId="37" fontId="8" fillId="0" borderId="0" xfId="0" applyNumberFormat="1" applyFont="1" applyFill="1" applyAlignment="1">
      <alignment horizontal="center" vertical="top"/>
    </xf>
    <xf numFmtId="0" fontId="10" fillId="0" borderId="0" xfId="0" applyFont="1" applyAlignment="1">
      <alignment horizontal="center" vertical="top" wrapText="1"/>
    </xf>
    <xf numFmtId="0" fontId="10" fillId="0" borderId="0" xfId="0" applyFont="1" applyAlignment="1">
      <alignment horizontal="left" vertical="top" wrapText="1"/>
    </xf>
    <xf numFmtId="0" fontId="10" fillId="0" borderId="0" xfId="0" applyFont="1" applyAlignment="1">
      <alignment vertical="top" wrapText="1"/>
    </xf>
    <xf numFmtId="0" fontId="10" fillId="0" borderId="0" xfId="0" applyFont="1"/>
    <xf numFmtId="3" fontId="7" fillId="0" borderId="1" xfId="0" applyNumberFormat="1" applyFont="1" applyFill="1" applyBorder="1" applyAlignment="1">
      <alignment horizontal="center" wrapText="1"/>
    </xf>
    <xf numFmtId="0" fontId="9" fillId="0" borderId="0" xfId="0" applyFont="1" applyFill="1" applyBorder="1" applyAlignment="1">
      <alignment horizontal="center"/>
    </xf>
    <xf numFmtId="0" fontId="9"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Fill="1" applyAlignment="1">
      <alignment horizontal="center"/>
    </xf>
    <xf numFmtId="0" fontId="8" fillId="0" borderId="0" xfId="0" applyFont="1" applyFill="1"/>
    <xf numFmtId="165" fontId="7" fillId="0" borderId="1" xfId="0" applyNumberFormat="1" applyFont="1" applyFill="1" applyBorder="1" applyAlignment="1">
      <alignment horizontal="center" wrapText="1"/>
    </xf>
    <xf numFmtId="0" fontId="9" fillId="0" borderId="0" xfId="0" applyFont="1" applyFill="1" applyAlignment="1"/>
    <xf numFmtId="0" fontId="9" fillId="0" borderId="0" xfId="0" applyFont="1" applyFill="1" applyAlignment="1">
      <alignment vertical="top" wrapText="1"/>
    </xf>
    <xf numFmtId="165" fontId="9" fillId="0" borderId="0" xfId="0" applyNumberFormat="1" applyFont="1" applyFill="1" applyAlignment="1">
      <alignment vertical="top"/>
    </xf>
    <xf numFmtId="165" fontId="10" fillId="0" borderId="0" xfId="0" applyNumberFormat="1" applyFont="1" applyAlignment="1">
      <alignment horizontal="center" vertical="top" wrapText="1"/>
    </xf>
    <xf numFmtId="0" fontId="10" fillId="0" borderId="0" xfId="0" applyFont="1" applyFill="1" applyAlignment="1">
      <alignment horizontal="center" vertical="top" wrapText="1"/>
    </xf>
    <xf numFmtId="0" fontId="10" fillId="0" borderId="0" xfId="0" applyFont="1" applyFill="1" applyAlignment="1">
      <alignment vertical="top" wrapText="1"/>
    </xf>
    <xf numFmtId="164" fontId="9" fillId="0" borderId="0" xfId="0" applyNumberFormat="1" applyFont="1" applyFill="1" applyBorder="1" applyAlignment="1">
      <alignment horizontal="center"/>
    </xf>
    <xf numFmtId="164" fontId="9" fillId="0" borderId="0" xfId="0" applyNumberFormat="1" applyFont="1" applyFill="1" applyAlignment="1">
      <alignment horizontal="center"/>
    </xf>
    <xf numFmtId="164" fontId="9" fillId="0" borderId="0" xfId="0" applyNumberFormat="1" applyFont="1" applyFill="1"/>
    <xf numFmtId="0" fontId="11" fillId="0" borderId="0" xfId="0" applyFont="1" applyAlignment="1">
      <alignment horizontal="center" wrapText="1"/>
    </xf>
    <xf numFmtId="0" fontId="11" fillId="0" borderId="0" xfId="0" applyFont="1" applyBorder="1" applyAlignment="1">
      <alignment horizontal="center" wrapText="1"/>
    </xf>
    <xf numFmtId="0" fontId="11" fillId="0" borderId="0" xfId="0" applyFont="1" applyBorder="1" applyAlignment="1">
      <alignment horizontal="left" wrapText="1"/>
    </xf>
    <xf numFmtId="3" fontId="11" fillId="0" borderId="0" xfId="0" applyNumberFormat="1" applyFont="1" applyBorder="1" applyAlignment="1">
      <alignment horizontal="center" wrapText="1"/>
    </xf>
    <xf numFmtId="165" fontId="11" fillId="0" borderId="0" xfId="0" applyNumberFormat="1" applyFont="1" applyBorder="1" applyAlignment="1">
      <alignment horizontal="center" wrapText="1"/>
    </xf>
    <xf numFmtId="3" fontId="11" fillId="0" borderId="0" xfId="0" applyNumberFormat="1" applyFont="1" applyFill="1" applyBorder="1" applyAlignment="1">
      <alignment horizontal="center" wrapText="1"/>
    </xf>
    <xf numFmtId="165" fontId="11" fillId="0" borderId="0" xfId="0" applyNumberFormat="1" applyFont="1" applyFill="1" applyBorder="1" applyAlignment="1">
      <alignment horizontal="center" wrapText="1"/>
    </xf>
    <xf numFmtId="0" fontId="11" fillId="0" borderId="1" xfId="0" applyFont="1" applyBorder="1" applyAlignment="1">
      <alignment horizontal="center" wrapText="1"/>
    </xf>
    <xf numFmtId="0" fontId="10" fillId="0" borderId="0" xfId="0" applyFont="1" applyAlignment="1"/>
    <xf numFmtId="0" fontId="10" fillId="0" borderId="2" xfId="0" applyFont="1" applyFill="1" applyBorder="1" applyAlignment="1">
      <alignment horizontal="center" vertical="top" wrapText="1"/>
    </xf>
    <xf numFmtId="0" fontId="10" fillId="0" borderId="2" xfId="0" applyFont="1" applyFill="1" applyBorder="1" applyAlignment="1">
      <alignment horizontal="left" vertical="top" wrapText="1"/>
    </xf>
    <xf numFmtId="44" fontId="10" fillId="0" borderId="2" xfId="1" applyFont="1" applyFill="1" applyBorder="1" applyAlignment="1">
      <alignment horizontal="center" vertical="top" wrapText="1"/>
    </xf>
    <xf numFmtId="165" fontId="10" fillId="0" borderId="2" xfId="0" applyNumberFormat="1" applyFont="1" applyFill="1" applyBorder="1" applyAlignment="1">
      <alignment horizontal="center" vertical="top" wrapText="1"/>
    </xf>
    <xf numFmtId="14" fontId="10" fillId="0" borderId="2" xfId="0" applyNumberFormat="1" applyFont="1" applyBorder="1" applyAlignment="1">
      <alignment vertical="top" wrapText="1"/>
    </xf>
    <xf numFmtId="0" fontId="10" fillId="0" borderId="2" xfId="0" applyFont="1" applyFill="1" applyBorder="1" applyAlignment="1">
      <alignment vertical="top" wrapText="1"/>
    </xf>
    <xf numFmtId="0" fontId="10" fillId="0" borderId="0" xfId="0" applyFont="1" applyFill="1"/>
    <xf numFmtId="3" fontId="10" fillId="0" borderId="2" xfId="0" applyNumberFormat="1" applyFont="1" applyFill="1" applyBorder="1" applyAlignment="1">
      <alignment horizontal="center" vertical="top" wrapText="1"/>
    </xf>
    <xf numFmtId="0" fontId="10" fillId="0" borderId="2" xfId="0" applyFont="1" applyBorder="1" applyAlignment="1">
      <alignment horizontal="center" vertical="top" wrapText="1"/>
    </xf>
    <xf numFmtId="0" fontId="10" fillId="0" borderId="2" xfId="0" applyFont="1" applyBorder="1" applyAlignment="1">
      <alignment horizontal="left" vertical="top" wrapText="1"/>
    </xf>
    <xf numFmtId="165" fontId="10" fillId="0" borderId="2" xfId="0" applyNumberFormat="1" applyFont="1" applyBorder="1" applyAlignment="1">
      <alignment horizontal="center" vertical="top" wrapText="1"/>
    </xf>
    <xf numFmtId="3" fontId="10" fillId="0" borderId="2" xfId="0" applyNumberFormat="1" applyFont="1" applyBorder="1" applyAlignment="1">
      <alignment horizontal="center" vertical="top" wrapText="1"/>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165" fontId="10" fillId="0" borderId="0" xfId="0" applyNumberFormat="1" applyFont="1" applyBorder="1" applyAlignment="1">
      <alignment horizontal="center" vertical="top" wrapText="1"/>
    </xf>
    <xf numFmtId="0" fontId="10" fillId="0" borderId="0" xfId="0" applyFont="1" applyFill="1" applyBorder="1" applyAlignment="1">
      <alignment horizontal="center" vertical="top" wrapText="1"/>
    </xf>
    <xf numFmtId="0" fontId="12" fillId="0" borderId="0" xfId="0" applyFont="1" applyAlignment="1">
      <alignment vertical="top"/>
    </xf>
    <xf numFmtId="0" fontId="10" fillId="0" borderId="0" xfId="0" applyFont="1" applyAlignment="1">
      <alignment vertical="top"/>
    </xf>
    <xf numFmtId="0" fontId="10" fillId="0" borderId="0" xfId="0"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0" fontId="10" fillId="0" borderId="0" xfId="0" applyFont="1" applyFill="1" applyAlignment="1">
      <alignment horizontal="center" vertical="top"/>
    </xf>
    <xf numFmtId="165" fontId="10" fillId="0" borderId="0" xfId="0" applyNumberFormat="1" applyFont="1" applyAlignment="1">
      <alignment vertical="top"/>
    </xf>
    <xf numFmtId="0" fontId="10" fillId="0" borderId="0" xfId="0" applyFont="1" applyFill="1" applyAlignment="1">
      <alignment vertical="top"/>
    </xf>
    <xf numFmtId="0" fontId="9" fillId="0" borderId="0" xfId="0" applyFont="1" applyBorder="1" applyAlignment="1">
      <alignment vertical="center"/>
    </xf>
    <xf numFmtId="0" fontId="13" fillId="0" borderId="0" xfId="0" applyFont="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44" fontId="9" fillId="0" borderId="0" xfId="24" applyFont="1" applyFill="1" applyBorder="1" applyAlignment="1">
      <alignment horizontal="center" vertical="center"/>
    </xf>
    <xf numFmtId="164" fontId="9" fillId="0" borderId="2" xfId="0" applyNumberFormat="1" applyFont="1" applyFill="1" applyBorder="1" applyAlignment="1">
      <alignment horizontal="center" vertical="top" wrapText="1"/>
    </xf>
    <xf numFmtId="164" fontId="8" fillId="0" borderId="2" xfId="0" applyNumberFormat="1" applyFont="1" applyFill="1" applyBorder="1" applyAlignment="1">
      <alignment horizontal="left" vertical="top" wrapText="1"/>
    </xf>
    <xf numFmtId="0" fontId="9" fillId="0" borderId="2" xfId="0" applyFont="1" applyBorder="1" applyAlignment="1">
      <alignment wrapText="1"/>
    </xf>
    <xf numFmtId="0" fontId="0" fillId="0" borderId="2" xfId="0" applyBorder="1" applyAlignment="1"/>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Fill="1" applyBorder="1" applyAlignment="1">
      <alignment wrapText="1"/>
    </xf>
    <xf numFmtId="0" fontId="8" fillId="0" borderId="0" xfId="0" applyFont="1" applyBorder="1" applyAlignment="1">
      <alignment wrapText="1"/>
    </xf>
    <xf numFmtId="0" fontId="9" fillId="0" borderId="0" xfId="0" applyFont="1" applyFill="1" applyAlignment="1">
      <alignment wrapText="1"/>
    </xf>
    <xf numFmtId="165" fontId="10" fillId="0" borderId="0" xfId="0" applyNumberFormat="1" applyFont="1" applyFill="1" applyAlignment="1">
      <alignment horizontal="center" vertical="top" wrapText="1"/>
    </xf>
    <xf numFmtId="0" fontId="9" fillId="0" borderId="0" xfId="0" applyFont="1" applyAlignment="1">
      <alignment vertical="top"/>
    </xf>
    <xf numFmtId="0" fontId="9" fillId="0" borderId="0" xfId="0" applyFont="1" applyAlignment="1">
      <alignment horizontal="center" vertical="top" wrapText="1"/>
    </xf>
    <xf numFmtId="0" fontId="9" fillId="0" borderId="0" xfId="0" applyFont="1" applyAlignment="1">
      <alignment horizontal="left" wrapText="1"/>
    </xf>
    <xf numFmtId="0" fontId="9" fillId="0" borderId="0" xfId="0" applyFont="1" applyAlignment="1">
      <alignment vertical="top" wrapText="1"/>
    </xf>
    <xf numFmtId="0" fontId="7" fillId="0" borderId="0" xfId="0" applyFont="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left" wrapText="1"/>
    </xf>
    <xf numFmtId="164" fontId="7" fillId="0" borderId="1" xfId="0" applyNumberFormat="1" applyFont="1" applyBorder="1" applyAlignment="1">
      <alignment horizontal="center" wrapText="1"/>
    </xf>
    <xf numFmtId="3" fontId="7" fillId="0" borderId="1" xfId="0" applyNumberFormat="1" applyFont="1" applyBorder="1" applyAlignment="1">
      <alignment horizontal="center" wrapText="1"/>
    </xf>
    <xf numFmtId="0" fontId="9" fillId="0" borderId="2" xfId="0" applyFont="1" applyBorder="1" applyAlignment="1">
      <alignment vertical="top" wrapText="1"/>
    </xf>
    <xf numFmtId="0" fontId="9" fillId="0" borderId="2" xfId="0" applyFont="1" applyBorder="1" applyAlignment="1">
      <alignment vertical="top"/>
    </xf>
    <xf numFmtId="0" fontId="9" fillId="0" borderId="2" xfId="0" applyFont="1" applyFill="1" applyBorder="1" applyAlignment="1">
      <alignment horizontal="center" vertical="top" wrapText="1"/>
    </xf>
    <xf numFmtId="0" fontId="9" fillId="0" borderId="2" xfId="0" applyFont="1" applyFill="1" applyBorder="1" applyAlignment="1">
      <alignment horizontal="left" vertical="top" wrapText="1"/>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Border="1" applyAlignment="1">
      <alignment horizontal="center" vertical="top"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xf>
    <xf numFmtId="164" fontId="9" fillId="0" borderId="0" xfId="1" applyNumberFormat="1" applyFont="1" applyFill="1" applyBorder="1" applyAlignment="1">
      <alignment horizontal="center" vertical="top"/>
    </xf>
    <xf numFmtId="164" fontId="9" fillId="0" borderId="0" xfId="0" applyNumberFormat="1" applyFont="1" applyBorder="1" applyAlignment="1">
      <alignment horizontal="center"/>
    </xf>
    <xf numFmtId="164" fontId="9" fillId="0" borderId="0" xfId="0" applyNumberFormat="1" applyFont="1" applyAlignment="1">
      <alignment horizontal="center"/>
    </xf>
    <xf numFmtId="165" fontId="9" fillId="0" borderId="0" xfId="1" applyNumberFormat="1" applyFont="1" applyFill="1" applyAlignment="1">
      <alignment horizontal="right" vertical="top"/>
    </xf>
    <xf numFmtId="165" fontId="9" fillId="0" borderId="2" xfId="1" applyNumberFormat="1" applyFont="1" applyFill="1" applyBorder="1" applyAlignment="1">
      <alignment horizontal="right" vertical="top"/>
    </xf>
    <xf numFmtId="0" fontId="9" fillId="0" borderId="2" xfId="0" applyFont="1" applyBorder="1" applyAlignment="1"/>
    <xf numFmtId="0" fontId="9" fillId="0" borderId="2" xfId="0" applyFont="1" applyFill="1" applyBorder="1" applyAlignment="1">
      <alignment horizontal="center"/>
    </xf>
    <xf numFmtId="0" fontId="9" fillId="0" borderId="2" xfId="0" applyFont="1" applyFill="1" applyBorder="1" applyAlignment="1">
      <alignment horizontal="left" wrapText="1"/>
    </xf>
    <xf numFmtId="0" fontId="9" fillId="0" borderId="2" xfId="0" applyFont="1" applyFill="1" applyBorder="1" applyAlignment="1">
      <alignment horizontal="center" wrapText="1"/>
    </xf>
    <xf numFmtId="165" fontId="9" fillId="0" borderId="2" xfId="1" applyNumberFormat="1" applyFont="1" applyFill="1" applyBorder="1" applyAlignment="1">
      <alignment horizontal="right"/>
    </xf>
    <xf numFmtId="6" fontId="9" fillId="0" borderId="0" xfId="0" applyNumberFormat="1" applyFont="1" applyFill="1" applyAlignment="1">
      <alignment horizontal="center" vertical="top" wrapText="1"/>
    </xf>
    <xf numFmtId="6" fontId="9" fillId="0" borderId="2" xfId="0" applyNumberFormat="1" applyFont="1" applyFill="1" applyBorder="1" applyAlignment="1">
      <alignment horizontal="center" vertical="top" wrapText="1"/>
    </xf>
    <xf numFmtId="6" fontId="9" fillId="0" borderId="2" xfId="0" applyNumberFormat="1" applyFont="1" applyFill="1" applyBorder="1" applyAlignment="1">
      <alignment horizontal="center" vertical="center" wrapText="1"/>
    </xf>
    <xf numFmtId="165" fontId="9" fillId="0" borderId="2" xfId="1" applyNumberFormat="1" applyFont="1" applyFill="1" applyBorder="1" applyAlignment="1">
      <alignment horizontal="right" vertical="top" wrapText="1"/>
    </xf>
    <xf numFmtId="3" fontId="7" fillId="0" borderId="1" xfId="0" applyNumberFormat="1" applyFont="1" applyFill="1" applyBorder="1" applyAlignment="1">
      <alignment horizont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xf>
    <xf numFmtId="0" fontId="9" fillId="0" borderId="0" xfId="0" applyFont="1" applyFill="1" applyAlignment="1">
      <alignment horizontal="center"/>
    </xf>
    <xf numFmtId="164" fontId="7" fillId="0" borderId="1" xfId="0" applyNumberFormat="1" applyFont="1" applyFill="1" applyBorder="1" applyAlignment="1">
      <alignment horizontal="center" wrapText="1"/>
    </xf>
    <xf numFmtId="165" fontId="9" fillId="0" borderId="2" xfId="1" applyNumberFormat="1" applyFont="1" applyFill="1" applyBorder="1" applyAlignment="1">
      <alignment horizontal="right" vertical="center"/>
    </xf>
    <xf numFmtId="0" fontId="9" fillId="0" borderId="0" xfId="0" applyFont="1" applyFill="1" applyBorder="1" applyAlignment="1" applyProtection="1">
      <alignment horizontal="center" vertical="top"/>
      <protection locked="0"/>
    </xf>
    <xf numFmtId="0" fontId="9" fillId="0" borderId="0" xfId="0" applyFont="1" applyFill="1" applyBorder="1" applyAlignment="1" applyProtection="1">
      <alignment horizontal="center" vertical="center"/>
      <protection locked="0"/>
    </xf>
    <xf numFmtId="0" fontId="9" fillId="0" borderId="0" xfId="0" applyFont="1" applyFill="1"/>
    <xf numFmtId="0" fontId="0" fillId="0" borderId="0" xfId="0"/>
    <xf numFmtId="0" fontId="9" fillId="0" borderId="0" xfId="0" applyFont="1" applyFill="1" applyAlignment="1">
      <alignment horizontal="center" vertical="top" wrapText="1"/>
    </xf>
    <xf numFmtId="0" fontId="9" fillId="0" borderId="0" xfId="0" applyFont="1" applyFill="1" applyAlignment="1">
      <alignment horizontal="center" vertical="top"/>
    </xf>
    <xf numFmtId="0" fontId="9" fillId="0" borderId="0" xfId="0" applyFont="1" applyFill="1" applyAlignment="1">
      <alignment horizontal="left" vertical="top" wrapText="1"/>
    </xf>
    <xf numFmtId="0" fontId="9" fillId="0" borderId="2" xfId="0" applyFont="1" applyFill="1" applyBorder="1" applyAlignment="1">
      <alignment horizontal="center" vertical="top"/>
    </xf>
    <xf numFmtId="0" fontId="9" fillId="0" borderId="2" xfId="0" applyFont="1" applyFill="1" applyBorder="1" applyAlignment="1">
      <alignment vertical="top"/>
    </xf>
    <xf numFmtId="0" fontId="9" fillId="0" borderId="0" xfId="0" applyFont="1" applyFill="1"/>
    <xf numFmtId="0" fontId="9" fillId="0" borderId="0" xfId="0" applyFont="1" applyFill="1" applyAlignment="1">
      <alignment vertical="top"/>
    </xf>
    <xf numFmtId="0" fontId="9" fillId="0" borderId="2" xfId="0" applyFont="1" applyFill="1" applyBorder="1" applyAlignment="1">
      <alignment vertical="top" wrapText="1"/>
    </xf>
    <xf numFmtId="0" fontId="9" fillId="0" borderId="0" xfId="0" applyFont="1" applyFill="1" applyAlignment="1">
      <alignment vertical="top" wrapText="1"/>
    </xf>
    <xf numFmtId="165" fontId="9" fillId="0" borderId="0" xfId="0" applyNumberFormat="1" applyFont="1" applyFill="1" applyAlignment="1">
      <alignment horizontal="center" vertical="top"/>
    </xf>
    <xf numFmtId="0" fontId="9" fillId="0" borderId="0" xfId="0" applyFont="1" applyBorder="1" applyAlignment="1">
      <alignment vertical="center"/>
    </xf>
    <xf numFmtId="0" fontId="13" fillId="0" borderId="0" xfId="0" applyFont="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44" fontId="9" fillId="0" borderId="0" xfId="24" applyFont="1" applyFill="1" applyBorder="1" applyAlignment="1">
      <alignment horizontal="center" vertical="center"/>
    </xf>
    <xf numFmtId="0" fontId="9" fillId="0" borderId="0" xfId="0" applyFont="1" applyFill="1" applyAlignment="1">
      <alignment wrapText="1"/>
    </xf>
    <xf numFmtId="0" fontId="9" fillId="0" borderId="0" xfId="0" applyFont="1" applyBorder="1" applyAlignment="1">
      <alignment vertical="center" wrapText="1"/>
    </xf>
    <xf numFmtId="0" fontId="15" fillId="0" borderId="2" xfId="0" applyFont="1" applyFill="1" applyBorder="1" applyAlignment="1">
      <alignment vertical="top"/>
    </xf>
    <xf numFmtId="0" fontId="9" fillId="0" borderId="1" xfId="0" applyFont="1" applyFill="1" applyBorder="1" applyAlignment="1">
      <alignment vertical="top"/>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xf>
    <xf numFmtId="0" fontId="9" fillId="0" borderId="3" xfId="0" applyFont="1" applyFill="1" applyBorder="1" applyAlignment="1">
      <alignment vertical="top"/>
    </xf>
    <xf numFmtId="0" fontId="9" fillId="0" borderId="3" xfId="0" applyFont="1" applyFill="1" applyBorder="1" applyAlignment="1">
      <alignment vertical="top" wrapText="1"/>
    </xf>
    <xf numFmtId="0" fontId="9" fillId="0" borderId="3" xfId="0" applyFont="1" applyFill="1" applyBorder="1" applyAlignment="1">
      <alignment horizontal="center" vertical="top" wrapText="1"/>
    </xf>
    <xf numFmtId="0" fontId="9" fillId="0" borderId="3" xfId="0" applyFont="1" applyFill="1" applyBorder="1" applyAlignment="1">
      <alignment horizontal="center" vertical="top"/>
    </xf>
    <xf numFmtId="0" fontId="9" fillId="0" borderId="3" xfId="0" applyFont="1" applyFill="1" applyBorder="1" applyAlignment="1">
      <alignment horizontal="left" vertical="top" wrapText="1"/>
    </xf>
    <xf numFmtId="164" fontId="9" fillId="0" borderId="3" xfId="0" applyNumberFormat="1" applyFont="1" applyFill="1" applyBorder="1" applyAlignment="1">
      <alignment horizontal="center" vertical="top" wrapText="1"/>
    </xf>
    <xf numFmtId="0" fontId="9" fillId="0" borderId="3" xfId="0" applyFont="1" applyFill="1" applyBorder="1" applyAlignment="1">
      <alignment wrapText="1"/>
    </xf>
    <xf numFmtId="165" fontId="9" fillId="0" borderId="3" xfId="1" applyNumberFormat="1" applyFont="1" applyFill="1" applyBorder="1" applyAlignment="1">
      <alignment horizontal="center" vertical="top"/>
    </xf>
    <xf numFmtId="49" fontId="9" fillId="0" borderId="3" xfId="0" applyNumberFormat="1" applyFont="1" applyFill="1" applyBorder="1" applyAlignment="1">
      <alignment horizontal="center" vertical="top" wrapText="1"/>
    </xf>
    <xf numFmtId="165" fontId="9" fillId="0" borderId="3" xfId="0" applyNumberFormat="1" applyFont="1" applyFill="1" applyBorder="1" applyAlignment="1">
      <alignment horizontal="center" vertical="top"/>
    </xf>
    <xf numFmtId="166" fontId="9" fillId="0" borderId="3" xfId="0" applyNumberFormat="1" applyFont="1" applyFill="1" applyBorder="1" applyAlignment="1">
      <alignment horizontal="center" vertical="top" wrapText="1"/>
    </xf>
    <xf numFmtId="0" fontId="0" fillId="0" borderId="0" xfId="0" applyFill="1"/>
    <xf numFmtId="0" fontId="9" fillId="0" borderId="3" xfId="47" applyFont="1" applyFill="1" applyBorder="1" applyAlignment="1">
      <alignment horizontal="left" vertical="top" wrapText="1"/>
    </xf>
    <xf numFmtId="6" fontId="9" fillId="0" borderId="3" xfId="0" applyNumberFormat="1" applyFont="1" applyFill="1" applyBorder="1" applyAlignment="1">
      <alignment horizontal="center" vertical="top" wrapText="1"/>
    </xf>
    <xf numFmtId="0" fontId="13" fillId="0" borderId="0" xfId="0" applyFont="1"/>
    <xf numFmtId="0" fontId="9" fillId="0" borderId="3" xfId="47" applyFont="1" applyFill="1" applyBorder="1" applyAlignment="1">
      <alignment vertical="top" wrapText="1"/>
    </xf>
    <xf numFmtId="0" fontId="9" fillId="0" borderId="3" xfId="47" applyFont="1" applyFill="1" applyBorder="1" applyAlignment="1">
      <alignment horizontal="center" vertical="top" wrapText="1"/>
    </xf>
    <xf numFmtId="164" fontId="9" fillId="0" borderId="3" xfId="47" applyNumberFormat="1" applyFont="1" applyFill="1" applyBorder="1" applyAlignment="1">
      <alignment horizontal="center" vertical="top" wrapText="1"/>
    </xf>
    <xf numFmtId="49" fontId="9" fillId="0" borderId="3" xfId="47" applyNumberFormat="1" applyFont="1" applyFill="1" applyBorder="1" applyAlignment="1">
      <alignment horizontal="center" vertical="top" wrapText="1"/>
    </xf>
    <xf numFmtId="0" fontId="9" fillId="0" borderId="3" xfId="47" applyFont="1" applyFill="1" applyBorder="1" applyAlignment="1">
      <alignment wrapText="1"/>
    </xf>
    <xf numFmtId="165" fontId="9" fillId="0" borderId="3" xfId="48" applyNumberFormat="1" applyFont="1" applyFill="1" applyBorder="1" applyAlignment="1">
      <alignment horizontal="center" vertical="top" wrapText="1"/>
    </xf>
    <xf numFmtId="165" fontId="13" fillId="0" borderId="3" xfId="48" applyNumberFormat="1" applyFont="1" applyFill="1" applyBorder="1" applyAlignment="1">
      <alignment horizontal="center" vertical="top" wrapText="1"/>
    </xf>
    <xf numFmtId="0" fontId="9" fillId="0" borderId="3" xfId="47" applyNumberFormat="1" applyFont="1" applyFill="1" applyBorder="1" applyAlignment="1">
      <alignment horizontal="center" vertical="top" wrapText="1"/>
    </xf>
    <xf numFmtId="0" fontId="14" fillId="0" borderId="5" xfId="0" applyFont="1" applyFill="1" applyBorder="1" applyAlignment="1">
      <alignment horizontal="center" wrapText="1"/>
    </xf>
    <xf numFmtId="0" fontId="9" fillId="0" borderId="5" xfId="0" applyFont="1" applyFill="1" applyBorder="1" applyAlignment="1">
      <alignment vertical="top"/>
    </xf>
    <xf numFmtId="0" fontId="0" fillId="0" borderId="3" xfId="0" applyBorder="1"/>
    <xf numFmtId="0" fontId="9" fillId="0" borderId="3" xfId="0" applyFont="1" applyFill="1" applyBorder="1"/>
    <xf numFmtId="0" fontId="13" fillId="0" borderId="3" xfId="0" applyFont="1" applyBorder="1"/>
    <xf numFmtId="0" fontId="16" fillId="0" borderId="3" xfId="0" applyFont="1" applyFill="1" applyBorder="1"/>
    <xf numFmtId="0" fontId="7" fillId="0" borderId="3" xfId="0" applyFont="1" applyFill="1" applyBorder="1" applyAlignment="1">
      <alignment horizontal="center" wrapText="1"/>
    </xf>
    <xf numFmtId="0" fontId="7" fillId="0" borderId="3" xfId="0" applyFont="1" applyFill="1" applyBorder="1" applyAlignment="1">
      <alignment horizontal="left" wrapText="1"/>
    </xf>
    <xf numFmtId="164" fontId="7" fillId="0" borderId="3" xfId="0" applyNumberFormat="1" applyFont="1" applyFill="1" applyBorder="1" applyAlignment="1">
      <alignment horizontal="center" wrapText="1"/>
    </xf>
    <xf numFmtId="3" fontId="7" fillId="0" borderId="3" xfId="0" applyNumberFormat="1" applyFont="1" applyFill="1" applyBorder="1" applyAlignment="1">
      <alignment horizontal="center" wrapText="1"/>
    </xf>
    <xf numFmtId="165" fontId="7" fillId="0" borderId="3" xfId="0" applyNumberFormat="1" applyFont="1" applyFill="1" applyBorder="1" applyAlignment="1">
      <alignment horizontal="center" wrapText="1"/>
    </xf>
    <xf numFmtId="0" fontId="9" fillId="0" borderId="3" xfId="0" applyFont="1" applyFill="1" applyBorder="1" applyAlignment="1"/>
    <xf numFmtId="0" fontId="9" fillId="0" borderId="4" xfId="0" applyFont="1" applyFill="1" applyBorder="1" applyAlignment="1">
      <alignment vertical="top" wrapText="1"/>
    </xf>
    <xf numFmtId="3" fontId="9" fillId="0" borderId="1" xfId="0" applyNumberFormat="1" applyFont="1" applyFill="1" applyBorder="1" applyAlignment="1">
      <alignment horizontal="center"/>
    </xf>
    <xf numFmtId="3" fontId="9" fillId="0" borderId="3" xfId="0" applyNumberFormat="1" applyFont="1" applyBorder="1" applyAlignment="1">
      <alignment horizontal="center" vertical="top"/>
    </xf>
    <xf numFmtId="0" fontId="9" fillId="0" borderId="3" xfId="0" applyFont="1" applyBorder="1" applyAlignment="1">
      <alignment horizontal="center" vertical="top"/>
    </xf>
    <xf numFmtId="165" fontId="9" fillId="0" borderId="3" xfId="24" applyNumberFormat="1" applyFont="1" applyFill="1" applyBorder="1" applyAlignment="1">
      <alignment horizontal="center" vertical="top"/>
    </xf>
    <xf numFmtId="3" fontId="9" fillId="0" borderId="3" xfId="0" applyNumberFormat="1" applyFont="1" applyFill="1" applyBorder="1" applyAlignment="1">
      <alignment horizontal="center" vertical="top"/>
    </xf>
    <xf numFmtId="165" fontId="9" fillId="0" borderId="3" xfId="0" applyNumberFormat="1" applyFont="1" applyBorder="1" applyAlignment="1">
      <alignment horizontal="center" vertical="top"/>
    </xf>
    <xf numFmtId="14" fontId="9" fillId="0" borderId="3" xfId="0" applyNumberFormat="1" applyFont="1" applyFill="1" applyBorder="1" applyAlignment="1">
      <alignment horizontal="center" vertical="top" wrapText="1"/>
    </xf>
    <xf numFmtId="0" fontId="13" fillId="0" borderId="0" xfId="0" applyFont="1" applyFill="1"/>
    <xf numFmtId="0" fontId="0" fillId="0" borderId="6" xfId="0" applyBorder="1"/>
    <xf numFmtId="0" fontId="9" fillId="0" borderId="2" xfId="0" applyFont="1" applyBorder="1" applyAlignment="1">
      <alignment wrapText="1"/>
    </xf>
    <xf numFmtId="0" fontId="9" fillId="0" borderId="1" xfId="0" applyFont="1" applyBorder="1" applyAlignment="1">
      <alignment vertical="top" wrapText="1"/>
    </xf>
    <xf numFmtId="0" fontId="7" fillId="0" borderId="0" xfId="0" applyFont="1" applyBorder="1" applyAlignment="1">
      <alignment horizontal="center" wrapText="1"/>
    </xf>
    <xf numFmtId="0" fontId="7" fillId="0" borderId="0" xfId="0" applyFont="1" applyBorder="1" applyAlignment="1">
      <alignment horizontal="left" wrapText="1"/>
    </xf>
    <xf numFmtId="164" fontId="7" fillId="0" borderId="0" xfId="0" applyNumberFormat="1" applyFont="1" applyBorder="1" applyAlignment="1">
      <alignment horizontal="center" wrapText="1"/>
    </xf>
    <xf numFmtId="3" fontId="7" fillId="0" borderId="0" xfId="0" applyNumberFormat="1" applyFont="1" applyBorder="1" applyAlignment="1">
      <alignment horizontal="center" wrapText="1"/>
    </xf>
    <xf numFmtId="3" fontId="7" fillId="0" borderId="0" xfId="0" applyNumberFormat="1" applyFont="1" applyFill="1" applyBorder="1" applyAlignment="1">
      <alignment horizontal="center" wrapText="1"/>
    </xf>
    <xf numFmtId="164" fontId="7" fillId="0" borderId="0" xfId="0" applyNumberFormat="1" applyFont="1" applyFill="1" applyBorder="1" applyAlignment="1">
      <alignment horizontal="center" wrapText="1"/>
    </xf>
    <xf numFmtId="0" fontId="7" fillId="0" borderId="0" xfId="0" applyFont="1" applyFill="1" applyAlignment="1">
      <alignment horizontal="center" wrapText="1"/>
    </xf>
    <xf numFmtId="0" fontId="9" fillId="0" borderId="4" xfId="0" applyFont="1" applyBorder="1" applyAlignment="1">
      <alignment vertical="top" wrapText="1"/>
    </xf>
    <xf numFmtId="0" fontId="9" fillId="0" borderId="4" xfId="0" applyFont="1" applyBorder="1" applyAlignment="1">
      <alignment vertical="top"/>
    </xf>
    <xf numFmtId="0" fontId="9" fillId="0" borderId="4" xfId="0" applyFont="1" applyFill="1" applyBorder="1" applyAlignment="1">
      <alignment horizontal="center" vertical="top" wrapText="1"/>
    </xf>
    <xf numFmtId="0" fontId="9" fillId="0" borderId="4" xfId="0" applyFont="1" applyFill="1" applyBorder="1" applyAlignment="1">
      <alignment horizontal="center" vertical="top"/>
    </xf>
    <xf numFmtId="0" fontId="9" fillId="0" borderId="4" xfId="0" applyFont="1" applyFill="1" applyBorder="1" applyAlignment="1">
      <alignment horizontal="left" vertical="top" wrapText="1"/>
    </xf>
    <xf numFmtId="165" fontId="9" fillId="0" borderId="4" xfId="1" applyNumberFormat="1" applyFont="1" applyFill="1" applyBorder="1" applyAlignment="1">
      <alignment horizontal="right" vertical="top"/>
    </xf>
    <xf numFmtId="0" fontId="9" fillId="0" borderId="0" xfId="0" applyFont="1" applyFill="1" applyBorder="1" applyAlignment="1">
      <alignment horizontal="left" vertical="top"/>
    </xf>
    <xf numFmtId="165" fontId="9" fillId="0" borderId="1" xfId="1" applyNumberFormat="1" applyFont="1" applyFill="1" applyBorder="1" applyAlignment="1">
      <alignment horizontal="center" vertical="top"/>
    </xf>
    <xf numFmtId="164" fontId="9" fillId="0" borderId="4" xfId="0" applyNumberFormat="1" applyFont="1" applyFill="1" applyBorder="1" applyAlignment="1">
      <alignment horizontal="center" vertical="top" wrapText="1"/>
    </xf>
    <xf numFmtId="0" fontId="9" fillId="0" borderId="4" xfId="0" applyFont="1" applyBorder="1" applyAlignment="1">
      <alignment wrapText="1"/>
    </xf>
    <xf numFmtId="165" fontId="9" fillId="0" borderId="4" xfId="1" applyNumberFormat="1" applyFont="1" applyFill="1" applyBorder="1" applyAlignment="1">
      <alignment horizontal="center" vertical="top"/>
    </xf>
    <xf numFmtId="0" fontId="9" fillId="0" borderId="1" xfId="0" applyFont="1" applyBorder="1" applyAlignment="1">
      <alignment wrapText="1"/>
    </xf>
    <xf numFmtId="0" fontId="0" fillId="0" borderId="1" xfId="0" applyBorder="1" applyAlignment="1"/>
    <xf numFmtId="165" fontId="9" fillId="0" borderId="1" xfId="1" applyNumberFormat="1" applyFont="1" applyFill="1" applyBorder="1" applyAlignment="1">
      <alignment horizontal="center"/>
    </xf>
    <xf numFmtId="0" fontId="9" fillId="0" borderId="4" xfId="0" applyFont="1" applyBorder="1"/>
    <xf numFmtId="164" fontId="9" fillId="0" borderId="0" xfId="0" applyNumberFormat="1" applyFont="1" applyFill="1" applyBorder="1" applyAlignment="1">
      <alignment horizontal="center" vertical="top" wrapText="1"/>
    </xf>
    <xf numFmtId="0" fontId="9" fillId="0" borderId="1" xfId="0" applyFont="1" applyBorder="1"/>
    <xf numFmtId="37" fontId="8" fillId="0" borderId="2" xfId="0" applyNumberFormat="1" applyFont="1" applyFill="1" applyBorder="1" applyAlignment="1">
      <alignment horizontal="center" vertical="top"/>
    </xf>
    <xf numFmtId="165" fontId="17" fillId="0" borderId="2" xfId="1" applyNumberFormat="1" applyFont="1" applyFill="1" applyBorder="1" applyAlignment="1">
      <alignment horizontal="center" vertical="top" wrapText="1"/>
    </xf>
    <xf numFmtId="3" fontId="9" fillId="0" borderId="0" xfId="0" applyNumberFormat="1" applyFont="1" applyFill="1" applyBorder="1" applyAlignment="1">
      <alignment horizontal="center"/>
    </xf>
    <xf numFmtId="165" fontId="9" fillId="0" borderId="4" xfId="0" applyNumberFormat="1" applyFont="1" applyFill="1" applyBorder="1" applyAlignment="1">
      <alignment horizontal="center"/>
    </xf>
    <xf numFmtId="3" fontId="9" fillId="0" borderId="4" xfId="0" applyNumberFormat="1" applyFont="1" applyFill="1" applyBorder="1" applyAlignment="1">
      <alignment horizontal="center"/>
    </xf>
    <xf numFmtId="0" fontId="9" fillId="0" borderId="2" xfId="0" applyFont="1" applyFill="1" applyBorder="1" applyAlignment="1">
      <alignment wrapText="1"/>
    </xf>
    <xf numFmtId="0" fontId="0" fillId="0" borderId="2" xfId="0" applyBorder="1"/>
    <xf numFmtId="0" fontId="7" fillId="0" borderId="1" xfId="0" applyFont="1" applyFill="1" applyBorder="1" applyAlignment="1">
      <alignment horizontal="center" wrapText="1"/>
    </xf>
    <xf numFmtId="3" fontId="7" fillId="0" borderId="1" xfId="0" applyNumberFormat="1" applyFont="1" applyFill="1" applyBorder="1" applyAlignment="1" applyProtection="1">
      <alignment horizontal="center" wrapText="1"/>
      <protection locked="0"/>
    </xf>
    <xf numFmtId="0" fontId="9" fillId="0" borderId="2" xfId="0" applyFont="1" applyFill="1" applyBorder="1" applyAlignment="1" applyProtection="1">
      <alignment horizontal="center" vertical="top" wrapText="1"/>
    </xf>
    <xf numFmtId="0" fontId="9" fillId="0" borderId="2" xfId="0" applyFont="1" applyFill="1" applyBorder="1" applyAlignment="1" applyProtection="1">
      <alignment horizontal="center" vertical="top"/>
      <protection locked="0"/>
    </xf>
    <xf numFmtId="0" fontId="9" fillId="0" borderId="2"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protection locked="0"/>
    </xf>
    <xf numFmtId="0" fontId="9" fillId="0" borderId="0" xfId="0" applyFont="1" applyFill="1" applyAlignment="1" applyProtection="1">
      <alignment horizontal="center"/>
      <protection locked="0"/>
    </xf>
    <xf numFmtId="0" fontId="10" fillId="0" borderId="2" xfId="0" applyFont="1" applyBorder="1" applyAlignment="1">
      <alignment vertical="top" wrapText="1"/>
    </xf>
    <xf numFmtId="165" fontId="18" fillId="0" borderId="0" xfId="0" applyNumberFormat="1" applyFont="1"/>
    <xf numFmtId="1" fontId="0" fillId="0" borderId="2" xfId="0" applyNumberFormat="1" applyFill="1" applyBorder="1" applyAlignment="1" applyProtection="1">
      <alignment horizontal="center" vertical="top"/>
      <protection locked="0"/>
    </xf>
    <xf numFmtId="0" fontId="19" fillId="0" borderId="2" xfId="0" applyFont="1" applyFill="1" applyBorder="1" applyAlignment="1">
      <alignment horizontal="center" vertical="top"/>
    </xf>
    <xf numFmtId="164" fontId="9" fillId="0" borderId="2" xfId="0" applyNumberFormat="1" applyFont="1" applyFill="1" applyBorder="1" applyAlignment="1">
      <alignment horizontal="center"/>
    </xf>
    <xf numFmtId="164" fontId="11" fillId="0" borderId="0" xfId="0" applyNumberFormat="1" applyFont="1" applyBorder="1" applyAlignment="1">
      <alignment horizontal="center" wrapText="1"/>
    </xf>
    <xf numFmtId="0" fontId="11" fillId="0" borderId="0" xfId="0" applyFont="1" applyBorder="1" applyAlignment="1">
      <alignment wrapText="1"/>
    </xf>
    <xf numFmtId="0" fontId="11" fillId="0" borderId="0" xfId="0" applyFont="1" applyFill="1" applyAlignment="1">
      <alignment horizontal="center" wrapText="1"/>
    </xf>
    <xf numFmtId="0" fontId="10" fillId="0" borderId="0" xfId="0" applyFont="1" applyAlignment="1">
      <alignment wrapText="1"/>
    </xf>
    <xf numFmtId="164" fontId="10" fillId="0" borderId="2" xfId="0" applyNumberFormat="1" applyFont="1" applyFill="1" applyBorder="1" applyAlignment="1">
      <alignment horizontal="center" vertical="top" wrapText="1"/>
    </xf>
    <xf numFmtId="164" fontId="10" fillId="2" borderId="2" xfId="0" applyNumberFormat="1" applyFont="1" applyFill="1" applyBorder="1" applyAlignment="1">
      <alignment horizontal="center" vertical="top" wrapText="1"/>
    </xf>
    <xf numFmtId="0" fontId="10" fillId="2" borderId="0" xfId="0" applyFont="1" applyFill="1" applyAlignment="1">
      <alignment vertical="top" wrapText="1"/>
    </xf>
    <xf numFmtId="165" fontId="3" fillId="0" borderId="2" xfId="49" applyNumberFormat="1" applyFont="1" applyFill="1" applyBorder="1" applyAlignment="1">
      <alignment horizontal="center" vertical="top" wrapText="1"/>
    </xf>
    <xf numFmtId="0" fontId="10" fillId="0" borderId="2" xfId="49" applyFont="1" applyFill="1" applyBorder="1" applyAlignment="1">
      <alignment horizontal="center" vertical="top" wrapText="1"/>
    </xf>
    <xf numFmtId="0" fontId="3" fillId="0" borderId="2" xfId="49" applyFont="1" applyFill="1" applyBorder="1" applyAlignment="1">
      <alignment horizontal="center" vertical="top" wrapText="1"/>
    </xf>
    <xf numFmtId="0" fontId="10" fillId="0" borderId="0" xfId="0" applyFont="1" applyFill="1" applyAlignment="1">
      <alignment horizontal="left" vertical="top" wrapText="1"/>
    </xf>
    <xf numFmtId="165" fontId="10" fillId="0" borderId="2" xfId="49" applyNumberFormat="1" applyFont="1" applyFill="1" applyBorder="1" applyAlignment="1">
      <alignment horizontal="center" vertical="top" wrapText="1"/>
    </xf>
    <xf numFmtId="0" fontId="10" fillId="0" borderId="4" xfId="0" applyFont="1" applyFill="1" applyBorder="1" applyAlignment="1">
      <alignment horizontal="center" vertical="top" wrapText="1"/>
    </xf>
    <xf numFmtId="165" fontId="10" fillId="0" borderId="4" xfId="0" applyNumberFormat="1" applyFont="1" applyFill="1" applyBorder="1" applyAlignment="1">
      <alignment horizontal="center" vertical="top" wrapText="1"/>
    </xf>
    <xf numFmtId="37" fontId="10" fillId="0" borderId="2"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165" fontId="10" fillId="0" borderId="1" xfId="0" applyNumberFormat="1" applyFont="1" applyFill="1" applyBorder="1" applyAlignment="1">
      <alignment horizontal="center" vertical="top" wrapText="1"/>
    </xf>
    <xf numFmtId="165"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20" fillId="0" borderId="2" xfId="0" applyFont="1" applyBorder="1" applyAlignment="1">
      <alignment vertical="top" wrapText="1"/>
    </xf>
    <xf numFmtId="1" fontId="10" fillId="0" borderId="2" xfId="0" applyNumberFormat="1" applyFont="1" applyFill="1" applyBorder="1" applyAlignment="1">
      <alignment horizontal="center" vertical="top" wrapText="1"/>
    </xf>
    <xf numFmtId="165" fontId="21" fillId="0" borderId="2" xfId="49" applyNumberFormat="1" applyFont="1" applyFill="1" applyBorder="1" applyAlignment="1">
      <alignment horizontal="center" vertical="top" wrapText="1"/>
    </xf>
    <xf numFmtId="165" fontId="21" fillId="0" borderId="2" xfId="0" applyNumberFormat="1" applyFont="1" applyFill="1" applyBorder="1" applyAlignment="1">
      <alignment horizontal="center" vertical="top" wrapText="1"/>
    </xf>
    <xf numFmtId="0" fontId="3" fillId="0" borderId="0" xfId="0" applyFont="1" applyBorder="1" applyAlignment="1">
      <alignment vertical="top" wrapText="1"/>
    </xf>
    <xf numFmtId="165" fontId="10" fillId="0" borderId="0" xfId="0" applyNumberFormat="1" applyFont="1" applyFill="1" applyBorder="1" applyAlignment="1">
      <alignment horizontal="center" vertical="top" wrapText="1"/>
    </xf>
    <xf numFmtId="165" fontId="10" fillId="0" borderId="0" xfId="0" applyNumberFormat="1" applyFont="1" applyFill="1" applyAlignment="1">
      <alignment horizontal="center" vertical="top"/>
    </xf>
    <xf numFmtId="165" fontId="10" fillId="0" borderId="0" xfId="0" applyNumberFormat="1" applyFont="1" applyFill="1" applyAlignment="1">
      <alignment vertical="top"/>
    </xf>
    <xf numFmtId="0" fontId="9" fillId="0" borderId="2" xfId="0" applyFont="1" applyBorder="1" applyAlignment="1">
      <alignment wrapText="1"/>
    </xf>
    <xf numFmtId="0" fontId="0" fillId="0" borderId="2" xfId="0" applyBorder="1" applyAlignment="1"/>
    <xf numFmtId="0" fontId="9" fillId="0" borderId="0" xfId="0" applyFont="1" applyBorder="1" applyAlignment="1">
      <alignment horizontal="left" vertical="top" wrapText="1"/>
    </xf>
    <xf numFmtId="0" fontId="9" fillId="0" borderId="4" xfId="0" applyFont="1" applyBorder="1" applyAlignment="1">
      <alignment horizontal="left" wrapText="1"/>
    </xf>
    <xf numFmtId="0" fontId="8" fillId="0" borderId="4" xfId="0" applyFont="1" applyBorder="1" applyAlignment="1">
      <alignment horizontal="left" vertical="top" wrapText="1"/>
    </xf>
    <xf numFmtId="0" fontId="10" fillId="0" borderId="2" xfId="0" applyFont="1" applyBorder="1" applyAlignment="1">
      <alignment vertical="top" wrapText="1"/>
    </xf>
    <xf numFmtId="0" fontId="3" fillId="0" borderId="2" xfId="0" applyFont="1" applyBorder="1" applyAlignment="1">
      <alignment vertical="top" wrapText="1"/>
    </xf>
    <xf numFmtId="0" fontId="9" fillId="0" borderId="1" xfId="0" applyFont="1" applyFill="1" applyBorder="1" applyAlignment="1">
      <alignment wrapText="1"/>
    </xf>
    <xf numFmtId="0" fontId="0" fillId="0" borderId="1" xfId="0" applyFill="1" applyBorder="1" applyAlignment="1"/>
    <xf numFmtId="0" fontId="9" fillId="0" borderId="4" xfId="0" applyFont="1" applyBorder="1" applyAlignment="1">
      <alignment horizontal="left" vertical="top" wrapText="1"/>
    </xf>
  </cellXfs>
  <cellStyles count="50">
    <cellStyle name="Currency" xfId="1" builtinId="4"/>
    <cellStyle name="Currency 2" xfId="24"/>
    <cellStyle name="Currency 3" xfId="48"/>
    <cellStyle name="Normal" xfId="0" builtinId="0"/>
    <cellStyle name="Normal 16" xfId="2"/>
    <cellStyle name="Normal 16 2" xfId="25"/>
    <cellStyle name="Normal 17" xfId="3"/>
    <cellStyle name="Normal 17 2" xfId="26"/>
    <cellStyle name="Normal 18" xfId="4"/>
    <cellStyle name="Normal 18 2" xfId="27"/>
    <cellStyle name="Normal 2" xfId="5"/>
    <cellStyle name="Normal 2 2" xfId="28"/>
    <cellStyle name="Normal 20" xfId="6"/>
    <cellStyle name="Normal 20 2" xfId="29"/>
    <cellStyle name="Normal 21" xfId="7"/>
    <cellStyle name="Normal 21 2" xfId="30"/>
    <cellStyle name="Normal 23" xfId="8"/>
    <cellStyle name="Normal 23 2" xfId="31"/>
    <cellStyle name="Normal 24" xfId="9"/>
    <cellStyle name="Normal 24 2" xfId="32"/>
    <cellStyle name="Normal 25" xfId="10"/>
    <cellStyle name="Normal 25 2" xfId="33"/>
    <cellStyle name="Normal 26" xfId="11"/>
    <cellStyle name="Normal 26 2" xfId="34"/>
    <cellStyle name="Normal 27" xfId="12"/>
    <cellStyle name="Normal 27 2" xfId="35"/>
    <cellStyle name="Normal 28" xfId="13"/>
    <cellStyle name="Normal 28 2" xfId="36"/>
    <cellStyle name="Normal 29" xfId="14"/>
    <cellStyle name="Normal 29 2" xfId="37"/>
    <cellStyle name="Normal 3" xfId="15"/>
    <cellStyle name="Normal 3 2" xfId="38"/>
    <cellStyle name="Normal 30" xfId="16"/>
    <cellStyle name="Normal 30 2" xfId="39"/>
    <cellStyle name="Normal 31" xfId="17"/>
    <cellStyle name="Normal 31 2" xfId="40"/>
    <cellStyle name="Normal 32" xfId="18"/>
    <cellStyle name="Normal 32 2" xfId="41"/>
    <cellStyle name="Normal 33" xfId="19"/>
    <cellStyle name="Normal 33 2" xfId="42"/>
    <cellStyle name="Normal 34" xfId="20"/>
    <cellStyle name="Normal 34 2" xfId="43"/>
    <cellStyle name="Normal 35" xfId="21"/>
    <cellStyle name="Normal 35 2" xfId="44"/>
    <cellStyle name="Normal 36" xfId="22"/>
    <cellStyle name="Normal 36 2" xfId="45"/>
    <cellStyle name="Normal 4" xfId="47"/>
    <cellStyle name="Normal 4 2" xfId="49"/>
    <cellStyle name="Normal 7" xfId="23"/>
    <cellStyle name="Normal 7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20@%20160.00" TargetMode="External"/><Relationship Id="rId2" Type="http://schemas.openxmlformats.org/officeDocument/2006/relationships/hyperlink" Target="mailto:7@%20500.00%20%20%20%20%20%20%20%20%20%20%20%20%20%204%20@%20850.00%20%20%20%20%20%20%20%207%20@%20250.00" TargetMode="External"/><Relationship Id="rId1" Type="http://schemas.openxmlformats.org/officeDocument/2006/relationships/hyperlink" Target="mailto:158@5,000.00%20%20%20%20%20%20%20%201%20@%20275.00"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2"/>
  <sheetViews>
    <sheetView showGridLines="0" showRuler="0" zoomScale="70" zoomScaleNormal="70" workbookViewId="0">
      <selection activeCell="R1" sqref="R1:X1048576"/>
    </sheetView>
  </sheetViews>
  <sheetFormatPr defaultColWidth="9.109375" defaultRowHeight="11.4" x14ac:dyDescent="0.2"/>
  <cols>
    <col min="1" max="1" width="2.109375" style="23" customWidth="1"/>
    <col min="2" max="2" width="14" style="23" customWidth="1"/>
    <col min="3" max="3" width="0.6640625" style="23" customWidth="1"/>
    <col min="4" max="4" width="17.109375" style="39" customWidth="1"/>
    <col min="5" max="5" width="1.109375" style="23" customWidth="1"/>
    <col min="6" max="6" width="18.33203125" style="40" customWidth="1"/>
    <col min="7" max="7" width="1" style="41" customWidth="1"/>
    <col min="8" max="8" width="27.5546875" style="40" customWidth="1"/>
    <col min="9" max="9" width="1" style="41" customWidth="1"/>
    <col min="10" max="10" width="12.6640625" style="44" customWidth="1"/>
    <col min="11" max="11" width="1.33203125" style="22" customWidth="1"/>
    <col min="12" max="12" width="11.44140625" style="44" customWidth="1"/>
    <col min="13" max="13" width="1" style="22" customWidth="1"/>
    <col min="14" max="14" width="16" style="22" customWidth="1"/>
    <col min="15" max="15" width="0.5546875" style="22" customWidth="1"/>
    <col min="16" max="16" width="9.44140625" style="22" bestFit="1" customWidth="1"/>
    <col min="17" max="17" width="10.88671875" style="22" customWidth="1"/>
    <col min="18" max="18" width="10.44140625" style="22" hidden="1" customWidth="1"/>
    <col min="19" max="19" width="0.88671875" style="22" hidden="1" customWidth="1"/>
    <col min="20" max="20" width="14" style="75" hidden="1" customWidth="1"/>
    <col min="21" max="21" width="0.88671875" style="22" hidden="1" customWidth="1"/>
    <col min="22" max="22" width="10.44140625" style="57" hidden="1" customWidth="1"/>
    <col min="23" max="23" width="0.88671875" style="22" hidden="1" customWidth="1"/>
    <col min="24" max="24" width="14" style="98" hidden="1" customWidth="1"/>
    <col min="25" max="25" width="0.88671875" style="22" customWidth="1"/>
    <col min="26" max="26" width="10.44140625" style="205" customWidth="1"/>
    <col min="27" max="27" width="0.88671875" style="205" customWidth="1"/>
    <col min="28" max="28" width="14" style="98" customWidth="1"/>
    <col min="29" max="29" width="0.88671875" style="205" customWidth="1"/>
    <col min="30" max="30" width="10.44140625" style="205" customWidth="1"/>
    <col min="31" max="31" width="0.88671875" style="205" customWidth="1"/>
    <col min="32" max="32" width="14" style="98" customWidth="1"/>
    <col min="33" max="33" width="10.44140625" style="205" customWidth="1"/>
    <col min="34" max="34" width="0.88671875" style="205" customWidth="1"/>
    <col min="35" max="35" width="14" style="98" customWidth="1"/>
    <col min="36" max="264" width="9.109375" style="22"/>
    <col min="265" max="265" width="2.109375" style="22" customWidth="1"/>
    <col min="266" max="266" width="14" style="22" customWidth="1"/>
    <col min="267" max="267" width="0.6640625" style="22" customWidth="1"/>
    <col min="268" max="268" width="17.109375" style="22" customWidth="1"/>
    <col min="269" max="269" width="1.109375" style="22" customWidth="1"/>
    <col min="270" max="270" width="18.33203125" style="22" customWidth="1"/>
    <col min="271" max="271" width="1" style="22" customWidth="1"/>
    <col min="272" max="272" width="27.5546875" style="22" customWidth="1"/>
    <col min="273" max="273" width="1" style="22" customWidth="1"/>
    <col min="274" max="274" width="12.6640625" style="22" customWidth="1"/>
    <col min="275" max="275" width="1.33203125" style="22" customWidth="1"/>
    <col min="276" max="276" width="11.44140625" style="22" customWidth="1"/>
    <col min="277" max="277" width="1" style="22" customWidth="1"/>
    <col min="278" max="278" width="10.44140625" style="22" customWidth="1"/>
    <col min="279" max="279" width="0.88671875" style="22" customWidth="1"/>
    <col min="280" max="280" width="14" style="22" customWidth="1"/>
    <col min="281" max="281" width="0.88671875" style="22" customWidth="1"/>
    <col min="282" max="282" width="10.44140625" style="22" customWidth="1"/>
    <col min="283" max="283" width="0.88671875" style="22" customWidth="1"/>
    <col min="284" max="284" width="14" style="22" customWidth="1"/>
    <col min="285" max="285" width="0.88671875" style="22" customWidth="1"/>
    <col min="286" max="286" width="16" style="22" customWidth="1"/>
    <col min="287" max="287" width="0.5546875" style="22" customWidth="1"/>
    <col min="288" max="288" width="9.44140625" style="22" bestFit="1" customWidth="1"/>
    <col min="289" max="289" width="1.109375" style="22" customWidth="1"/>
    <col min="290" max="520" width="9.109375" style="22"/>
    <col min="521" max="521" width="2.109375" style="22" customWidth="1"/>
    <col min="522" max="522" width="14" style="22" customWidth="1"/>
    <col min="523" max="523" width="0.6640625" style="22" customWidth="1"/>
    <col min="524" max="524" width="17.109375" style="22" customWidth="1"/>
    <col min="525" max="525" width="1.109375" style="22" customWidth="1"/>
    <col min="526" max="526" width="18.33203125" style="22" customWidth="1"/>
    <col min="527" max="527" width="1" style="22" customWidth="1"/>
    <col min="528" max="528" width="27.5546875" style="22" customWidth="1"/>
    <col min="529" max="529" width="1" style="22" customWidth="1"/>
    <col min="530" max="530" width="12.6640625" style="22" customWidth="1"/>
    <col min="531" max="531" width="1.33203125" style="22" customWidth="1"/>
    <col min="532" max="532" width="11.44140625" style="22" customWidth="1"/>
    <col min="533" max="533" width="1" style="22" customWidth="1"/>
    <col min="534" max="534" width="10.44140625" style="22" customWidth="1"/>
    <col min="535" max="535" width="0.88671875" style="22" customWidth="1"/>
    <col min="536" max="536" width="14" style="22" customWidth="1"/>
    <col min="537" max="537" width="0.88671875" style="22" customWidth="1"/>
    <col min="538" max="538" width="10.44140625" style="22" customWidth="1"/>
    <col min="539" max="539" width="0.88671875" style="22" customWidth="1"/>
    <col min="540" max="540" width="14" style="22" customWidth="1"/>
    <col min="541" max="541" width="0.88671875" style="22" customWidth="1"/>
    <col min="542" max="542" width="16" style="22" customWidth="1"/>
    <col min="543" max="543" width="0.5546875" style="22" customWidth="1"/>
    <col min="544" max="544" width="9.44140625" style="22" bestFit="1" customWidth="1"/>
    <col min="545" max="545" width="1.109375" style="22" customWidth="1"/>
    <col min="546" max="776" width="9.109375" style="22"/>
    <col min="777" max="777" width="2.109375" style="22" customWidth="1"/>
    <col min="778" max="778" width="14" style="22" customWidth="1"/>
    <col min="779" max="779" width="0.6640625" style="22" customWidth="1"/>
    <col min="780" max="780" width="17.109375" style="22" customWidth="1"/>
    <col min="781" max="781" width="1.109375" style="22" customWidth="1"/>
    <col min="782" max="782" width="18.33203125" style="22" customWidth="1"/>
    <col min="783" max="783" width="1" style="22" customWidth="1"/>
    <col min="784" max="784" width="27.5546875" style="22" customWidth="1"/>
    <col min="785" max="785" width="1" style="22" customWidth="1"/>
    <col min="786" max="786" width="12.6640625" style="22" customWidth="1"/>
    <col min="787" max="787" width="1.33203125" style="22" customWidth="1"/>
    <col min="788" max="788" width="11.44140625" style="22" customWidth="1"/>
    <col min="789" max="789" width="1" style="22" customWidth="1"/>
    <col min="790" max="790" width="10.44140625" style="22" customWidth="1"/>
    <col min="791" max="791" width="0.88671875" style="22" customWidth="1"/>
    <col min="792" max="792" width="14" style="22" customWidth="1"/>
    <col min="793" max="793" width="0.88671875" style="22" customWidth="1"/>
    <col min="794" max="794" width="10.44140625" style="22" customWidth="1"/>
    <col min="795" max="795" width="0.88671875" style="22" customWidth="1"/>
    <col min="796" max="796" width="14" style="22" customWidth="1"/>
    <col min="797" max="797" width="0.88671875" style="22" customWidth="1"/>
    <col min="798" max="798" width="16" style="22" customWidth="1"/>
    <col min="799" max="799" width="0.5546875" style="22" customWidth="1"/>
    <col min="800" max="800" width="9.44140625" style="22" bestFit="1" customWidth="1"/>
    <col min="801" max="801" width="1.109375" style="22" customWidth="1"/>
    <col min="802" max="1032" width="9.109375" style="22"/>
    <col min="1033" max="1033" width="2.109375" style="22" customWidth="1"/>
    <col min="1034" max="1034" width="14" style="22" customWidth="1"/>
    <col min="1035" max="1035" width="0.6640625" style="22" customWidth="1"/>
    <col min="1036" max="1036" width="17.109375" style="22" customWidth="1"/>
    <col min="1037" max="1037" width="1.109375" style="22" customWidth="1"/>
    <col min="1038" max="1038" width="18.33203125" style="22" customWidth="1"/>
    <col min="1039" max="1039" width="1" style="22" customWidth="1"/>
    <col min="1040" max="1040" width="27.5546875" style="22" customWidth="1"/>
    <col min="1041" max="1041" width="1" style="22" customWidth="1"/>
    <col min="1042" max="1042" width="12.6640625" style="22" customWidth="1"/>
    <col min="1043" max="1043" width="1.33203125" style="22" customWidth="1"/>
    <col min="1044" max="1044" width="11.44140625" style="22" customWidth="1"/>
    <col min="1045" max="1045" width="1" style="22" customWidth="1"/>
    <col min="1046" max="1046" width="10.44140625" style="22" customWidth="1"/>
    <col min="1047" max="1047" width="0.88671875" style="22" customWidth="1"/>
    <col min="1048" max="1048" width="14" style="22" customWidth="1"/>
    <col min="1049" max="1049" width="0.88671875" style="22" customWidth="1"/>
    <col min="1050" max="1050" width="10.44140625" style="22" customWidth="1"/>
    <col min="1051" max="1051" width="0.88671875" style="22" customWidth="1"/>
    <col min="1052" max="1052" width="14" style="22" customWidth="1"/>
    <col min="1053" max="1053" width="0.88671875" style="22" customWidth="1"/>
    <col min="1054" max="1054" width="16" style="22" customWidth="1"/>
    <col min="1055" max="1055" width="0.5546875" style="22" customWidth="1"/>
    <col min="1056" max="1056" width="9.44140625" style="22" bestFit="1" customWidth="1"/>
    <col min="1057" max="1057" width="1.109375" style="22" customWidth="1"/>
    <col min="1058" max="1288" width="9.109375" style="22"/>
    <col min="1289" max="1289" width="2.109375" style="22" customWidth="1"/>
    <col min="1290" max="1290" width="14" style="22" customWidth="1"/>
    <col min="1291" max="1291" width="0.6640625" style="22" customWidth="1"/>
    <col min="1292" max="1292" width="17.109375" style="22" customWidth="1"/>
    <col min="1293" max="1293" width="1.109375" style="22" customWidth="1"/>
    <col min="1294" max="1294" width="18.33203125" style="22" customWidth="1"/>
    <col min="1295" max="1295" width="1" style="22" customWidth="1"/>
    <col min="1296" max="1296" width="27.5546875" style="22" customWidth="1"/>
    <col min="1297" max="1297" width="1" style="22" customWidth="1"/>
    <col min="1298" max="1298" width="12.6640625" style="22" customWidth="1"/>
    <col min="1299" max="1299" width="1.33203125" style="22" customWidth="1"/>
    <col min="1300" max="1300" width="11.44140625" style="22" customWidth="1"/>
    <col min="1301" max="1301" width="1" style="22" customWidth="1"/>
    <col min="1302" max="1302" width="10.44140625" style="22" customWidth="1"/>
    <col min="1303" max="1303" width="0.88671875" style="22" customWidth="1"/>
    <col min="1304" max="1304" width="14" style="22" customWidth="1"/>
    <col min="1305" max="1305" width="0.88671875" style="22" customWidth="1"/>
    <col min="1306" max="1306" width="10.44140625" style="22" customWidth="1"/>
    <col min="1307" max="1307" width="0.88671875" style="22" customWidth="1"/>
    <col min="1308" max="1308" width="14" style="22" customWidth="1"/>
    <col min="1309" max="1309" width="0.88671875" style="22" customWidth="1"/>
    <col min="1310" max="1310" width="16" style="22" customWidth="1"/>
    <col min="1311" max="1311" width="0.5546875" style="22" customWidth="1"/>
    <col min="1312" max="1312" width="9.44140625" style="22" bestFit="1" customWidth="1"/>
    <col min="1313" max="1313" width="1.109375" style="22" customWidth="1"/>
    <col min="1314" max="1544" width="9.109375" style="22"/>
    <col min="1545" max="1545" width="2.109375" style="22" customWidth="1"/>
    <col min="1546" max="1546" width="14" style="22" customWidth="1"/>
    <col min="1547" max="1547" width="0.6640625" style="22" customWidth="1"/>
    <col min="1548" max="1548" width="17.109375" style="22" customWidth="1"/>
    <col min="1549" max="1549" width="1.109375" style="22" customWidth="1"/>
    <col min="1550" max="1550" width="18.33203125" style="22" customWidth="1"/>
    <col min="1551" max="1551" width="1" style="22" customWidth="1"/>
    <col min="1552" max="1552" width="27.5546875" style="22" customWidth="1"/>
    <col min="1553" max="1553" width="1" style="22" customWidth="1"/>
    <col min="1554" max="1554" width="12.6640625" style="22" customWidth="1"/>
    <col min="1555" max="1555" width="1.33203125" style="22" customWidth="1"/>
    <col min="1556" max="1556" width="11.44140625" style="22" customWidth="1"/>
    <col min="1557" max="1557" width="1" style="22" customWidth="1"/>
    <col min="1558" max="1558" width="10.44140625" style="22" customWidth="1"/>
    <col min="1559" max="1559" width="0.88671875" style="22" customWidth="1"/>
    <col min="1560" max="1560" width="14" style="22" customWidth="1"/>
    <col min="1561" max="1561" width="0.88671875" style="22" customWidth="1"/>
    <col min="1562" max="1562" width="10.44140625" style="22" customWidth="1"/>
    <col min="1563" max="1563" width="0.88671875" style="22" customWidth="1"/>
    <col min="1564" max="1564" width="14" style="22" customWidth="1"/>
    <col min="1565" max="1565" width="0.88671875" style="22" customWidth="1"/>
    <col min="1566" max="1566" width="16" style="22" customWidth="1"/>
    <col min="1567" max="1567" width="0.5546875" style="22" customWidth="1"/>
    <col min="1568" max="1568" width="9.44140625" style="22" bestFit="1" customWidth="1"/>
    <col min="1569" max="1569" width="1.109375" style="22" customWidth="1"/>
    <col min="1570" max="1800" width="9.109375" style="22"/>
    <col min="1801" max="1801" width="2.109375" style="22" customWidth="1"/>
    <col min="1802" max="1802" width="14" style="22" customWidth="1"/>
    <col min="1803" max="1803" width="0.6640625" style="22" customWidth="1"/>
    <col min="1804" max="1804" width="17.109375" style="22" customWidth="1"/>
    <col min="1805" max="1805" width="1.109375" style="22" customWidth="1"/>
    <col min="1806" max="1806" width="18.33203125" style="22" customWidth="1"/>
    <col min="1807" max="1807" width="1" style="22" customWidth="1"/>
    <col min="1808" max="1808" width="27.5546875" style="22" customWidth="1"/>
    <col min="1809" max="1809" width="1" style="22" customWidth="1"/>
    <col min="1810" max="1810" width="12.6640625" style="22" customWidth="1"/>
    <col min="1811" max="1811" width="1.33203125" style="22" customWidth="1"/>
    <col min="1812" max="1812" width="11.44140625" style="22" customWidth="1"/>
    <col min="1813" max="1813" width="1" style="22" customWidth="1"/>
    <col min="1814" max="1814" width="10.44140625" style="22" customWidth="1"/>
    <col min="1815" max="1815" width="0.88671875" style="22" customWidth="1"/>
    <col min="1816" max="1816" width="14" style="22" customWidth="1"/>
    <col min="1817" max="1817" width="0.88671875" style="22" customWidth="1"/>
    <col min="1818" max="1818" width="10.44140625" style="22" customWidth="1"/>
    <col min="1819" max="1819" width="0.88671875" style="22" customWidth="1"/>
    <col min="1820" max="1820" width="14" style="22" customWidth="1"/>
    <col min="1821" max="1821" width="0.88671875" style="22" customWidth="1"/>
    <col min="1822" max="1822" width="16" style="22" customWidth="1"/>
    <col min="1823" max="1823" width="0.5546875" style="22" customWidth="1"/>
    <col min="1824" max="1824" width="9.44140625" style="22" bestFit="1" customWidth="1"/>
    <col min="1825" max="1825" width="1.109375" style="22" customWidth="1"/>
    <col min="1826" max="2056" width="9.109375" style="22"/>
    <col min="2057" max="2057" width="2.109375" style="22" customWidth="1"/>
    <col min="2058" max="2058" width="14" style="22" customWidth="1"/>
    <col min="2059" max="2059" width="0.6640625" style="22" customWidth="1"/>
    <col min="2060" max="2060" width="17.109375" style="22" customWidth="1"/>
    <col min="2061" max="2061" width="1.109375" style="22" customWidth="1"/>
    <col min="2062" max="2062" width="18.33203125" style="22" customWidth="1"/>
    <col min="2063" max="2063" width="1" style="22" customWidth="1"/>
    <col min="2064" max="2064" width="27.5546875" style="22" customWidth="1"/>
    <col min="2065" max="2065" width="1" style="22" customWidth="1"/>
    <col min="2066" max="2066" width="12.6640625" style="22" customWidth="1"/>
    <col min="2067" max="2067" width="1.33203125" style="22" customWidth="1"/>
    <col min="2068" max="2068" width="11.44140625" style="22" customWidth="1"/>
    <col min="2069" max="2069" width="1" style="22" customWidth="1"/>
    <col min="2070" max="2070" width="10.44140625" style="22" customWidth="1"/>
    <col min="2071" max="2071" width="0.88671875" style="22" customWidth="1"/>
    <col min="2072" max="2072" width="14" style="22" customWidth="1"/>
    <col min="2073" max="2073" width="0.88671875" style="22" customWidth="1"/>
    <col min="2074" max="2074" width="10.44140625" style="22" customWidth="1"/>
    <col min="2075" max="2075" width="0.88671875" style="22" customWidth="1"/>
    <col min="2076" max="2076" width="14" style="22" customWidth="1"/>
    <col min="2077" max="2077" width="0.88671875" style="22" customWidth="1"/>
    <col min="2078" max="2078" width="16" style="22" customWidth="1"/>
    <col min="2079" max="2079" width="0.5546875" style="22" customWidth="1"/>
    <col min="2080" max="2080" width="9.44140625" style="22" bestFit="1" customWidth="1"/>
    <col min="2081" max="2081" width="1.109375" style="22" customWidth="1"/>
    <col min="2082" max="2312" width="9.109375" style="22"/>
    <col min="2313" max="2313" width="2.109375" style="22" customWidth="1"/>
    <col min="2314" max="2314" width="14" style="22" customWidth="1"/>
    <col min="2315" max="2315" width="0.6640625" style="22" customWidth="1"/>
    <col min="2316" max="2316" width="17.109375" style="22" customWidth="1"/>
    <col min="2317" max="2317" width="1.109375" style="22" customWidth="1"/>
    <col min="2318" max="2318" width="18.33203125" style="22" customWidth="1"/>
    <col min="2319" max="2319" width="1" style="22" customWidth="1"/>
    <col min="2320" max="2320" width="27.5546875" style="22" customWidth="1"/>
    <col min="2321" max="2321" width="1" style="22" customWidth="1"/>
    <col min="2322" max="2322" width="12.6640625" style="22" customWidth="1"/>
    <col min="2323" max="2323" width="1.33203125" style="22" customWidth="1"/>
    <col min="2324" max="2324" width="11.44140625" style="22" customWidth="1"/>
    <col min="2325" max="2325" width="1" style="22" customWidth="1"/>
    <col min="2326" max="2326" width="10.44140625" style="22" customWidth="1"/>
    <col min="2327" max="2327" width="0.88671875" style="22" customWidth="1"/>
    <col min="2328" max="2328" width="14" style="22" customWidth="1"/>
    <col min="2329" max="2329" width="0.88671875" style="22" customWidth="1"/>
    <col min="2330" max="2330" width="10.44140625" style="22" customWidth="1"/>
    <col min="2331" max="2331" width="0.88671875" style="22" customWidth="1"/>
    <col min="2332" max="2332" width="14" style="22" customWidth="1"/>
    <col min="2333" max="2333" width="0.88671875" style="22" customWidth="1"/>
    <col min="2334" max="2334" width="16" style="22" customWidth="1"/>
    <col min="2335" max="2335" width="0.5546875" style="22" customWidth="1"/>
    <col min="2336" max="2336" width="9.44140625" style="22" bestFit="1" customWidth="1"/>
    <col min="2337" max="2337" width="1.109375" style="22" customWidth="1"/>
    <col min="2338" max="2568" width="9.109375" style="22"/>
    <col min="2569" max="2569" width="2.109375" style="22" customWidth="1"/>
    <col min="2570" max="2570" width="14" style="22" customWidth="1"/>
    <col min="2571" max="2571" width="0.6640625" style="22" customWidth="1"/>
    <col min="2572" max="2572" width="17.109375" style="22" customWidth="1"/>
    <col min="2573" max="2573" width="1.109375" style="22" customWidth="1"/>
    <col min="2574" max="2574" width="18.33203125" style="22" customWidth="1"/>
    <col min="2575" max="2575" width="1" style="22" customWidth="1"/>
    <col min="2576" max="2576" width="27.5546875" style="22" customWidth="1"/>
    <col min="2577" max="2577" width="1" style="22" customWidth="1"/>
    <col min="2578" max="2578" width="12.6640625" style="22" customWidth="1"/>
    <col min="2579" max="2579" width="1.33203125" style="22" customWidth="1"/>
    <col min="2580" max="2580" width="11.44140625" style="22" customWidth="1"/>
    <col min="2581" max="2581" width="1" style="22" customWidth="1"/>
    <col min="2582" max="2582" width="10.44140625" style="22" customWidth="1"/>
    <col min="2583" max="2583" width="0.88671875" style="22" customWidth="1"/>
    <col min="2584" max="2584" width="14" style="22" customWidth="1"/>
    <col min="2585" max="2585" width="0.88671875" style="22" customWidth="1"/>
    <col min="2586" max="2586" width="10.44140625" style="22" customWidth="1"/>
    <col min="2587" max="2587" width="0.88671875" style="22" customWidth="1"/>
    <col min="2588" max="2588" width="14" style="22" customWidth="1"/>
    <col min="2589" max="2589" width="0.88671875" style="22" customWidth="1"/>
    <col min="2590" max="2590" width="16" style="22" customWidth="1"/>
    <col min="2591" max="2591" width="0.5546875" style="22" customWidth="1"/>
    <col min="2592" max="2592" width="9.44140625" style="22" bestFit="1" customWidth="1"/>
    <col min="2593" max="2593" width="1.109375" style="22" customWidth="1"/>
    <col min="2594" max="2824" width="9.109375" style="22"/>
    <col min="2825" max="2825" width="2.109375" style="22" customWidth="1"/>
    <col min="2826" max="2826" width="14" style="22" customWidth="1"/>
    <col min="2827" max="2827" width="0.6640625" style="22" customWidth="1"/>
    <col min="2828" max="2828" width="17.109375" style="22" customWidth="1"/>
    <col min="2829" max="2829" width="1.109375" style="22" customWidth="1"/>
    <col min="2830" max="2830" width="18.33203125" style="22" customWidth="1"/>
    <col min="2831" max="2831" width="1" style="22" customWidth="1"/>
    <col min="2832" max="2832" width="27.5546875" style="22" customWidth="1"/>
    <col min="2833" max="2833" width="1" style="22" customWidth="1"/>
    <col min="2834" max="2834" width="12.6640625" style="22" customWidth="1"/>
    <col min="2835" max="2835" width="1.33203125" style="22" customWidth="1"/>
    <col min="2836" max="2836" width="11.44140625" style="22" customWidth="1"/>
    <col min="2837" max="2837" width="1" style="22" customWidth="1"/>
    <col min="2838" max="2838" width="10.44140625" style="22" customWidth="1"/>
    <col min="2839" max="2839" width="0.88671875" style="22" customWidth="1"/>
    <col min="2840" max="2840" width="14" style="22" customWidth="1"/>
    <col min="2841" max="2841" width="0.88671875" style="22" customWidth="1"/>
    <col min="2842" max="2842" width="10.44140625" style="22" customWidth="1"/>
    <col min="2843" max="2843" width="0.88671875" style="22" customWidth="1"/>
    <col min="2844" max="2844" width="14" style="22" customWidth="1"/>
    <col min="2845" max="2845" width="0.88671875" style="22" customWidth="1"/>
    <col min="2846" max="2846" width="16" style="22" customWidth="1"/>
    <col min="2847" max="2847" width="0.5546875" style="22" customWidth="1"/>
    <col min="2848" max="2848" width="9.44140625" style="22" bestFit="1" customWidth="1"/>
    <col min="2849" max="2849" width="1.109375" style="22" customWidth="1"/>
    <col min="2850" max="3080" width="9.109375" style="22"/>
    <col min="3081" max="3081" width="2.109375" style="22" customWidth="1"/>
    <col min="3082" max="3082" width="14" style="22" customWidth="1"/>
    <col min="3083" max="3083" width="0.6640625" style="22" customWidth="1"/>
    <col min="3084" max="3084" width="17.109375" style="22" customWidth="1"/>
    <col min="3085" max="3085" width="1.109375" style="22" customWidth="1"/>
    <col min="3086" max="3086" width="18.33203125" style="22" customWidth="1"/>
    <col min="3087" max="3087" width="1" style="22" customWidth="1"/>
    <col min="3088" max="3088" width="27.5546875" style="22" customWidth="1"/>
    <col min="3089" max="3089" width="1" style="22" customWidth="1"/>
    <col min="3090" max="3090" width="12.6640625" style="22" customWidth="1"/>
    <col min="3091" max="3091" width="1.33203125" style="22" customWidth="1"/>
    <col min="3092" max="3092" width="11.44140625" style="22" customWidth="1"/>
    <col min="3093" max="3093" width="1" style="22" customWidth="1"/>
    <col min="3094" max="3094" width="10.44140625" style="22" customWidth="1"/>
    <col min="3095" max="3095" width="0.88671875" style="22" customWidth="1"/>
    <col min="3096" max="3096" width="14" style="22" customWidth="1"/>
    <col min="3097" max="3097" width="0.88671875" style="22" customWidth="1"/>
    <col min="3098" max="3098" width="10.44140625" style="22" customWidth="1"/>
    <col min="3099" max="3099" width="0.88671875" style="22" customWidth="1"/>
    <col min="3100" max="3100" width="14" style="22" customWidth="1"/>
    <col min="3101" max="3101" width="0.88671875" style="22" customWidth="1"/>
    <col min="3102" max="3102" width="16" style="22" customWidth="1"/>
    <col min="3103" max="3103" width="0.5546875" style="22" customWidth="1"/>
    <col min="3104" max="3104" width="9.44140625" style="22" bestFit="1" customWidth="1"/>
    <col min="3105" max="3105" width="1.109375" style="22" customWidth="1"/>
    <col min="3106" max="3336" width="9.109375" style="22"/>
    <col min="3337" max="3337" width="2.109375" style="22" customWidth="1"/>
    <col min="3338" max="3338" width="14" style="22" customWidth="1"/>
    <col min="3339" max="3339" width="0.6640625" style="22" customWidth="1"/>
    <col min="3340" max="3340" width="17.109375" style="22" customWidth="1"/>
    <col min="3341" max="3341" width="1.109375" style="22" customWidth="1"/>
    <col min="3342" max="3342" width="18.33203125" style="22" customWidth="1"/>
    <col min="3343" max="3343" width="1" style="22" customWidth="1"/>
    <col min="3344" max="3344" width="27.5546875" style="22" customWidth="1"/>
    <col min="3345" max="3345" width="1" style="22" customWidth="1"/>
    <col min="3346" max="3346" width="12.6640625" style="22" customWidth="1"/>
    <col min="3347" max="3347" width="1.33203125" style="22" customWidth="1"/>
    <col min="3348" max="3348" width="11.44140625" style="22" customWidth="1"/>
    <col min="3349" max="3349" width="1" style="22" customWidth="1"/>
    <col min="3350" max="3350" width="10.44140625" style="22" customWidth="1"/>
    <col min="3351" max="3351" width="0.88671875" style="22" customWidth="1"/>
    <col min="3352" max="3352" width="14" style="22" customWidth="1"/>
    <col min="3353" max="3353" width="0.88671875" style="22" customWidth="1"/>
    <col min="3354" max="3354" width="10.44140625" style="22" customWidth="1"/>
    <col min="3355" max="3355" width="0.88671875" style="22" customWidth="1"/>
    <col min="3356" max="3356" width="14" style="22" customWidth="1"/>
    <col min="3357" max="3357" width="0.88671875" style="22" customWidth="1"/>
    <col min="3358" max="3358" width="16" style="22" customWidth="1"/>
    <col min="3359" max="3359" width="0.5546875" style="22" customWidth="1"/>
    <col min="3360" max="3360" width="9.44140625" style="22" bestFit="1" customWidth="1"/>
    <col min="3361" max="3361" width="1.109375" style="22" customWidth="1"/>
    <col min="3362" max="3592" width="9.109375" style="22"/>
    <col min="3593" max="3593" width="2.109375" style="22" customWidth="1"/>
    <col min="3594" max="3594" width="14" style="22" customWidth="1"/>
    <col min="3595" max="3595" width="0.6640625" style="22" customWidth="1"/>
    <col min="3596" max="3596" width="17.109375" style="22" customWidth="1"/>
    <col min="3597" max="3597" width="1.109375" style="22" customWidth="1"/>
    <col min="3598" max="3598" width="18.33203125" style="22" customWidth="1"/>
    <col min="3599" max="3599" width="1" style="22" customWidth="1"/>
    <col min="3600" max="3600" width="27.5546875" style="22" customWidth="1"/>
    <col min="3601" max="3601" width="1" style="22" customWidth="1"/>
    <col min="3602" max="3602" width="12.6640625" style="22" customWidth="1"/>
    <col min="3603" max="3603" width="1.33203125" style="22" customWidth="1"/>
    <col min="3604" max="3604" width="11.44140625" style="22" customWidth="1"/>
    <col min="3605" max="3605" width="1" style="22" customWidth="1"/>
    <col min="3606" max="3606" width="10.44140625" style="22" customWidth="1"/>
    <col min="3607" max="3607" width="0.88671875" style="22" customWidth="1"/>
    <col min="3608" max="3608" width="14" style="22" customWidth="1"/>
    <col min="3609" max="3609" width="0.88671875" style="22" customWidth="1"/>
    <col min="3610" max="3610" width="10.44140625" style="22" customWidth="1"/>
    <col min="3611" max="3611" width="0.88671875" style="22" customWidth="1"/>
    <col min="3612" max="3612" width="14" style="22" customWidth="1"/>
    <col min="3613" max="3613" width="0.88671875" style="22" customWidth="1"/>
    <col min="3614" max="3614" width="16" style="22" customWidth="1"/>
    <col min="3615" max="3615" width="0.5546875" style="22" customWidth="1"/>
    <col min="3616" max="3616" width="9.44140625" style="22" bestFit="1" customWidth="1"/>
    <col min="3617" max="3617" width="1.109375" style="22" customWidth="1"/>
    <col min="3618" max="3848" width="9.109375" style="22"/>
    <col min="3849" max="3849" width="2.109375" style="22" customWidth="1"/>
    <col min="3850" max="3850" width="14" style="22" customWidth="1"/>
    <col min="3851" max="3851" width="0.6640625" style="22" customWidth="1"/>
    <col min="3852" max="3852" width="17.109375" style="22" customWidth="1"/>
    <col min="3853" max="3853" width="1.109375" style="22" customWidth="1"/>
    <col min="3854" max="3854" width="18.33203125" style="22" customWidth="1"/>
    <col min="3855" max="3855" width="1" style="22" customWidth="1"/>
    <col min="3856" max="3856" width="27.5546875" style="22" customWidth="1"/>
    <col min="3857" max="3857" width="1" style="22" customWidth="1"/>
    <col min="3858" max="3858" width="12.6640625" style="22" customWidth="1"/>
    <col min="3859" max="3859" width="1.33203125" style="22" customWidth="1"/>
    <col min="3860" max="3860" width="11.44140625" style="22" customWidth="1"/>
    <col min="3861" max="3861" width="1" style="22" customWidth="1"/>
    <col min="3862" max="3862" width="10.44140625" style="22" customWidth="1"/>
    <col min="3863" max="3863" width="0.88671875" style="22" customWidth="1"/>
    <col min="3864" max="3864" width="14" style="22" customWidth="1"/>
    <col min="3865" max="3865" width="0.88671875" style="22" customWidth="1"/>
    <col min="3866" max="3866" width="10.44140625" style="22" customWidth="1"/>
    <col min="3867" max="3867" width="0.88671875" style="22" customWidth="1"/>
    <col min="3868" max="3868" width="14" style="22" customWidth="1"/>
    <col min="3869" max="3869" width="0.88671875" style="22" customWidth="1"/>
    <col min="3870" max="3870" width="16" style="22" customWidth="1"/>
    <col min="3871" max="3871" width="0.5546875" style="22" customWidth="1"/>
    <col min="3872" max="3872" width="9.44140625" style="22" bestFit="1" customWidth="1"/>
    <col min="3873" max="3873" width="1.109375" style="22" customWidth="1"/>
    <col min="3874" max="4104" width="9.109375" style="22"/>
    <col min="4105" max="4105" width="2.109375" style="22" customWidth="1"/>
    <col min="4106" max="4106" width="14" style="22" customWidth="1"/>
    <col min="4107" max="4107" width="0.6640625" style="22" customWidth="1"/>
    <col min="4108" max="4108" width="17.109375" style="22" customWidth="1"/>
    <col min="4109" max="4109" width="1.109375" style="22" customWidth="1"/>
    <col min="4110" max="4110" width="18.33203125" style="22" customWidth="1"/>
    <col min="4111" max="4111" width="1" style="22" customWidth="1"/>
    <col min="4112" max="4112" width="27.5546875" style="22" customWidth="1"/>
    <col min="4113" max="4113" width="1" style="22" customWidth="1"/>
    <col min="4114" max="4114" width="12.6640625" style="22" customWidth="1"/>
    <col min="4115" max="4115" width="1.33203125" style="22" customWidth="1"/>
    <col min="4116" max="4116" width="11.44140625" style="22" customWidth="1"/>
    <col min="4117" max="4117" width="1" style="22" customWidth="1"/>
    <col min="4118" max="4118" width="10.44140625" style="22" customWidth="1"/>
    <col min="4119" max="4119" width="0.88671875" style="22" customWidth="1"/>
    <col min="4120" max="4120" width="14" style="22" customWidth="1"/>
    <col min="4121" max="4121" width="0.88671875" style="22" customWidth="1"/>
    <col min="4122" max="4122" width="10.44140625" style="22" customWidth="1"/>
    <col min="4123" max="4123" width="0.88671875" style="22" customWidth="1"/>
    <col min="4124" max="4124" width="14" style="22" customWidth="1"/>
    <col min="4125" max="4125" width="0.88671875" style="22" customWidth="1"/>
    <col min="4126" max="4126" width="16" style="22" customWidth="1"/>
    <col min="4127" max="4127" width="0.5546875" style="22" customWidth="1"/>
    <col min="4128" max="4128" width="9.44140625" style="22" bestFit="1" customWidth="1"/>
    <col min="4129" max="4129" width="1.109375" style="22" customWidth="1"/>
    <col min="4130" max="4360" width="9.109375" style="22"/>
    <col min="4361" max="4361" width="2.109375" style="22" customWidth="1"/>
    <col min="4362" max="4362" width="14" style="22" customWidth="1"/>
    <col min="4363" max="4363" width="0.6640625" style="22" customWidth="1"/>
    <col min="4364" max="4364" width="17.109375" style="22" customWidth="1"/>
    <col min="4365" max="4365" width="1.109375" style="22" customWidth="1"/>
    <col min="4366" max="4366" width="18.33203125" style="22" customWidth="1"/>
    <col min="4367" max="4367" width="1" style="22" customWidth="1"/>
    <col min="4368" max="4368" width="27.5546875" style="22" customWidth="1"/>
    <col min="4369" max="4369" width="1" style="22" customWidth="1"/>
    <col min="4370" max="4370" width="12.6640625" style="22" customWidth="1"/>
    <col min="4371" max="4371" width="1.33203125" style="22" customWidth="1"/>
    <col min="4372" max="4372" width="11.44140625" style="22" customWidth="1"/>
    <col min="4373" max="4373" width="1" style="22" customWidth="1"/>
    <col min="4374" max="4374" width="10.44140625" style="22" customWidth="1"/>
    <col min="4375" max="4375" width="0.88671875" style="22" customWidth="1"/>
    <col min="4376" max="4376" width="14" style="22" customWidth="1"/>
    <col min="4377" max="4377" width="0.88671875" style="22" customWidth="1"/>
    <col min="4378" max="4378" width="10.44140625" style="22" customWidth="1"/>
    <col min="4379" max="4379" width="0.88671875" style="22" customWidth="1"/>
    <col min="4380" max="4380" width="14" style="22" customWidth="1"/>
    <col min="4381" max="4381" width="0.88671875" style="22" customWidth="1"/>
    <col min="4382" max="4382" width="16" style="22" customWidth="1"/>
    <col min="4383" max="4383" width="0.5546875" style="22" customWidth="1"/>
    <col min="4384" max="4384" width="9.44140625" style="22" bestFit="1" customWidth="1"/>
    <col min="4385" max="4385" width="1.109375" style="22" customWidth="1"/>
    <col min="4386" max="4616" width="9.109375" style="22"/>
    <col min="4617" max="4617" width="2.109375" style="22" customWidth="1"/>
    <col min="4618" max="4618" width="14" style="22" customWidth="1"/>
    <col min="4619" max="4619" width="0.6640625" style="22" customWidth="1"/>
    <col min="4620" max="4620" width="17.109375" style="22" customWidth="1"/>
    <col min="4621" max="4621" width="1.109375" style="22" customWidth="1"/>
    <col min="4622" max="4622" width="18.33203125" style="22" customWidth="1"/>
    <col min="4623" max="4623" width="1" style="22" customWidth="1"/>
    <col min="4624" max="4624" width="27.5546875" style="22" customWidth="1"/>
    <col min="4625" max="4625" width="1" style="22" customWidth="1"/>
    <col min="4626" max="4626" width="12.6640625" style="22" customWidth="1"/>
    <col min="4627" max="4627" width="1.33203125" style="22" customWidth="1"/>
    <col min="4628" max="4628" width="11.44140625" style="22" customWidth="1"/>
    <col min="4629" max="4629" width="1" style="22" customWidth="1"/>
    <col min="4630" max="4630" width="10.44140625" style="22" customWidth="1"/>
    <col min="4631" max="4631" width="0.88671875" style="22" customWidth="1"/>
    <col min="4632" max="4632" width="14" style="22" customWidth="1"/>
    <col min="4633" max="4633" width="0.88671875" style="22" customWidth="1"/>
    <col min="4634" max="4634" width="10.44140625" style="22" customWidth="1"/>
    <col min="4635" max="4635" width="0.88671875" style="22" customWidth="1"/>
    <col min="4636" max="4636" width="14" style="22" customWidth="1"/>
    <col min="4637" max="4637" width="0.88671875" style="22" customWidth="1"/>
    <col min="4638" max="4638" width="16" style="22" customWidth="1"/>
    <col min="4639" max="4639" width="0.5546875" style="22" customWidth="1"/>
    <col min="4640" max="4640" width="9.44140625" style="22" bestFit="1" customWidth="1"/>
    <col min="4641" max="4641" width="1.109375" style="22" customWidth="1"/>
    <col min="4642" max="4872" width="9.109375" style="22"/>
    <col min="4873" max="4873" width="2.109375" style="22" customWidth="1"/>
    <col min="4874" max="4874" width="14" style="22" customWidth="1"/>
    <col min="4875" max="4875" width="0.6640625" style="22" customWidth="1"/>
    <col min="4876" max="4876" width="17.109375" style="22" customWidth="1"/>
    <col min="4877" max="4877" width="1.109375" style="22" customWidth="1"/>
    <col min="4878" max="4878" width="18.33203125" style="22" customWidth="1"/>
    <col min="4879" max="4879" width="1" style="22" customWidth="1"/>
    <col min="4880" max="4880" width="27.5546875" style="22" customWidth="1"/>
    <col min="4881" max="4881" width="1" style="22" customWidth="1"/>
    <col min="4882" max="4882" width="12.6640625" style="22" customWidth="1"/>
    <col min="4883" max="4883" width="1.33203125" style="22" customWidth="1"/>
    <col min="4884" max="4884" width="11.44140625" style="22" customWidth="1"/>
    <col min="4885" max="4885" width="1" style="22" customWidth="1"/>
    <col min="4886" max="4886" width="10.44140625" style="22" customWidth="1"/>
    <col min="4887" max="4887" width="0.88671875" style="22" customWidth="1"/>
    <col min="4888" max="4888" width="14" style="22" customWidth="1"/>
    <col min="4889" max="4889" width="0.88671875" style="22" customWidth="1"/>
    <col min="4890" max="4890" width="10.44140625" style="22" customWidth="1"/>
    <col min="4891" max="4891" width="0.88671875" style="22" customWidth="1"/>
    <col min="4892" max="4892" width="14" style="22" customWidth="1"/>
    <col min="4893" max="4893" width="0.88671875" style="22" customWidth="1"/>
    <col min="4894" max="4894" width="16" style="22" customWidth="1"/>
    <col min="4895" max="4895" width="0.5546875" style="22" customWidth="1"/>
    <col min="4896" max="4896" width="9.44140625" style="22" bestFit="1" customWidth="1"/>
    <col min="4897" max="4897" width="1.109375" style="22" customWidth="1"/>
    <col min="4898" max="5128" width="9.109375" style="22"/>
    <col min="5129" max="5129" width="2.109375" style="22" customWidth="1"/>
    <col min="5130" max="5130" width="14" style="22" customWidth="1"/>
    <col min="5131" max="5131" width="0.6640625" style="22" customWidth="1"/>
    <col min="5132" max="5132" width="17.109375" style="22" customWidth="1"/>
    <col min="5133" max="5133" width="1.109375" style="22" customWidth="1"/>
    <col min="5134" max="5134" width="18.33203125" style="22" customWidth="1"/>
    <col min="5135" max="5135" width="1" style="22" customWidth="1"/>
    <col min="5136" max="5136" width="27.5546875" style="22" customWidth="1"/>
    <col min="5137" max="5137" width="1" style="22" customWidth="1"/>
    <col min="5138" max="5138" width="12.6640625" style="22" customWidth="1"/>
    <col min="5139" max="5139" width="1.33203125" style="22" customWidth="1"/>
    <col min="5140" max="5140" width="11.44140625" style="22" customWidth="1"/>
    <col min="5141" max="5141" width="1" style="22" customWidth="1"/>
    <col min="5142" max="5142" width="10.44140625" style="22" customWidth="1"/>
    <col min="5143" max="5143" width="0.88671875" style="22" customWidth="1"/>
    <col min="5144" max="5144" width="14" style="22" customWidth="1"/>
    <col min="5145" max="5145" width="0.88671875" style="22" customWidth="1"/>
    <col min="5146" max="5146" width="10.44140625" style="22" customWidth="1"/>
    <col min="5147" max="5147" width="0.88671875" style="22" customWidth="1"/>
    <col min="5148" max="5148" width="14" style="22" customWidth="1"/>
    <col min="5149" max="5149" width="0.88671875" style="22" customWidth="1"/>
    <col min="5150" max="5150" width="16" style="22" customWidth="1"/>
    <col min="5151" max="5151" width="0.5546875" style="22" customWidth="1"/>
    <col min="5152" max="5152" width="9.44140625" style="22" bestFit="1" customWidth="1"/>
    <col min="5153" max="5153" width="1.109375" style="22" customWidth="1"/>
    <col min="5154" max="5384" width="9.109375" style="22"/>
    <col min="5385" max="5385" width="2.109375" style="22" customWidth="1"/>
    <col min="5386" max="5386" width="14" style="22" customWidth="1"/>
    <col min="5387" max="5387" width="0.6640625" style="22" customWidth="1"/>
    <col min="5388" max="5388" width="17.109375" style="22" customWidth="1"/>
    <col min="5389" max="5389" width="1.109375" style="22" customWidth="1"/>
    <col min="5390" max="5390" width="18.33203125" style="22" customWidth="1"/>
    <col min="5391" max="5391" width="1" style="22" customWidth="1"/>
    <col min="5392" max="5392" width="27.5546875" style="22" customWidth="1"/>
    <col min="5393" max="5393" width="1" style="22" customWidth="1"/>
    <col min="5394" max="5394" width="12.6640625" style="22" customWidth="1"/>
    <col min="5395" max="5395" width="1.33203125" style="22" customWidth="1"/>
    <col min="5396" max="5396" width="11.44140625" style="22" customWidth="1"/>
    <col min="5397" max="5397" width="1" style="22" customWidth="1"/>
    <col min="5398" max="5398" width="10.44140625" style="22" customWidth="1"/>
    <col min="5399" max="5399" width="0.88671875" style="22" customWidth="1"/>
    <col min="5400" max="5400" width="14" style="22" customWidth="1"/>
    <col min="5401" max="5401" width="0.88671875" style="22" customWidth="1"/>
    <col min="5402" max="5402" width="10.44140625" style="22" customWidth="1"/>
    <col min="5403" max="5403" width="0.88671875" style="22" customWidth="1"/>
    <col min="5404" max="5404" width="14" style="22" customWidth="1"/>
    <col min="5405" max="5405" width="0.88671875" style="22" customWidth="1"/>
    <col min="5406" max="5406" width="16" style="22" customWidth="1"/>
    <col min="5407" max="5407" width="0.5546875" style="22" customWidth="1"/>
    <col min="5408" max="5408" width="9.44140625" style="22" bestFit="1" customWidth="1"/>
    <col min="5409" max="5409" width="1.109375" style="22" customWidth="1"/>
    <col min="5410" max="5640" width="9.109375" style="22"/>
    <col min="5641" max="5641" width="2.109375" style="22" customWidth="1"/>
    <col min="5642" max="5642" width="14" style="22" customWidth="1"/>
    <col min="5643" max="5643" width="0.6640625" style="22" customWidth="1"/>
    <col min="5644" max="5644" width="17.109375" style="22" customWidth="1"/>
    <col min="5645" max="5645" width="1.109375" style="22" customWidth="1"/>
    <col min="5646" max="5646" width="18.33203125" style="22" customWidth="1"/>
    <col min="5647" max="5647" width="1" style="22" customWidth="1"/>
    <col min="5648" max="5648" width="27.5546875" style="22" customWidth="1"/>
    <col min="5649" max="5649" width="1" style="22" customWidth="1"/>
    <col min="5650" max="5650" width="12.6640625" style="22" customWidth="1"/>
    <col min="5651" max="5651" width="1.33203125" style="22" customWidth="1"/>
    <col min="5652" max="5652" width="11.44140625" style="22" customWidth="1"/>
    <col min="5653" max="5653" width="1" style="22" customWidth="1"/>
    <col min="5654" max="5654" width="10.44140625" style="22" customWidth="1"/>
    <col min="5655" max="5655" width="0.88671875" style="22" customWidth="1"/>
    <col min="5656" max="5656" width="14" style="22" customWidth="1"/>
    <col min="5657" max="5657" width="0.88671875" style="22" customWidth="1"/>
    <col min="5658" max="5658" width="10.44140625" style="22" customWidth="1"/>
    <col min="5659" max="5659" width="0.88671875" style="22" customWidth="1"/>
    <col min="5660" max="5660" width="14" style="22" customWidth="1"/>
    <col min="5661" max="5661" width="0.88671875" style="22" customWidth="1"/>
    <col min="5662" max="5662" width="16" style="22" customWidth="1"/>
    <col min="5663" max="5663" width="0.5546875" style="22" customWidth="1"/>
    <col min="5664" max="5664" width="9.44140625" style="22" bestFit="1" customWidth="1"/>
    <col min="5665" max="5665" width="1.109375" style="22" customWidth="1"/>
    <col min="5666" max="5896" width="9.109375" style="22"/>
    <col min="5897" max="5897" width="2.109375" style="22" customWidth="1"/>
    <col min="5898" max="5898" width="14" style="22" customWidth="1"/>
    <col min="5899" max="5899" width="0.6640625" style="22" customWidth="1"/>
    <col min="5900" max="5900" width="17.109375" style="22" customWidth="1"/>
    <col min="5901" max="5901" width="1.109375" style="22" customWidth="1"/>
    <col min="5902" max="5902" width="18.33203125" style="22" customWidth="1"/>
    <col min="5903" max="5903" width="1" style="22" customWidth="1"/>
    <col min="5904" max="5904" width="27.5546875" style="22" customWidth="1"/>
    <col min="5905" max="5905" width="1" style="22" customWidth="1"/>
    <col min="5906" max="5906" width="12.6640625" style="22" customWidth="1"/>
    <col min="5907" max="5907" width="1.33203125" style="22" customWidth="1"/>
    <col min="5908" max="5908" width="11.44140625" style="22" customWidth="1"/>
    <col min="5909" max="5909" width="1" style="22" customWidth="1"/>
    <col min="5910" max="5910" width="10.44140625" style="22" customWidth="1"/>
    <col min="5911" max="5911" width="0.88671875" style="22" customWidth="1"/>
    <col min="5912" max="5912" width="14" style="22" customWidth="1"/>
    <col min="5913" max="5913" width="0.88671875" style="22" customWidth="1"/>
    <col min="5914" max="5914" width="10.44140625" style="22" customWidth="1"/>
    <col min="5915" max="5915" width="0.88671875" style="22" customWidth="1"/>
    <col min="5916" max="5916" width="14" style="22" customWidth="1"/>
    <col min="5917" max="5917" width="0.88671875" style="22" customWidth="1"/>
    <col min="5918" max="5918" width="16" style="22" customWidth="1"/>
    <col min="5919" max="5919" width="0.5546875" style="22" customWidth="1"/>
    <col min="5920" max="5920" width="9.44140625" style="22" bestFit="1" customWidth="1"/>
    <col min="5921" max="5921" width="1.109375" style="22" customWidth="1"/>
    <col min="5922" max="6152" width="9.109375" style="22"/>
    <col min="6153" max="6153" width="2.109375" style="22" customWidth="1"/>
    <col min="6154" max="6154" width="14" style="22" customWidth="1"/>
    <col min="6155" max="6155" width="0.6640625" style="22" customWidth="1"/>
    <col min="6156" max="6156" width="17.109375" style="22" customWidth="1"/>
    <col min="6157" max="6157" width="1.109375" style="22" customWidth="1"/>
    <col min="6158" max="6158" width="18.33203125" style="22" customWidth="1"/>
    <col min="6159" max="6159" width="1" style="22" customWidth="1"/>
    <col min="6160" max="6160" width="27.5546875" style="22" customWidth="1"/>
    <col min="6161" max="6161" width="1" style="22" customWidth="1"/>
    <col min="6162" max="6162" width="12.6640625" style="22" customWidth="1"/>
    <col min="6163" max="6163" width="1.33203125" style="22" customWidth="1"/>
    <col min="6164" max="6164" width="11.44140625" style="22" customWidth="1"/>
    <col min="6165" max="6165" width="1" style="22" customWidth="1"/>
    <col min="6166" max="6166" width="10.44140625" style="22" customWidth="1"/>
    <col min="6167" max="6167" width="0.88671875" style="22" customWidth="1"/>
    <col min="6168" max="6168" width="14" style="22" customWidth="1"/>
    <col min="6169" max="6169" width="0.88671875" style="22" customWidth="1"/>
    <col min="6170" max="6170" width="10.44140625" style="22" customWidth="1"/>
    <col min="6171" max="6171" width="0.88671875" style="22" customWidth="1"/>
    <col min="6172" max="6172" width="14" style="22" customWidth="1"/>
    <col min="6173" max="6173" width="0.88671875" style="22" customWidth="1"/>
    <col min="6174" max="6174" width="16" style="22" customWidth="1"/>
    <col min="6175" max="6175" width="0.5546875" style="22" customWidth="1"/>
    <col min="6176" max="6176" width="9.44140625" style="22" bestFit="1" customWidth="1"/>
    <col min="6177" max="6177" width="1.109375" style="22" customWidth="1"/>
    <col min="6178" max="6408" width="9.109375" style="22"/>
    <col min="6409" max="6409" width="2.109375" style="22" customWidth="1"/>
    <col min="6410" max="6410" width="14" style="22" customWidth="1"/>
    <col min="6411" max="6411" width="0.6640625" style="22" customWidth="1"/>
    <col min="6412" max="6412" width="17.109375" style="22" customWidth="1"/>
    <col min="6413" max="6413" width="1.109375" style="22" customWidth="1"/>
    <col min="6414" max="6414" width="18.33203125" style="22" customWidth="1"/>
    <col min="6415" max="6415" width="1" style="22" customWidth="1"/>
    <col min="6416" max="6416" width="27.5546875" style="22" customWidth="1"/>
    <col min="6417" max="6417" width="1" style="22" customWidth="1"/>
    <col min="6418" max="6418" width="12.6640625" style="22" customWidth="1"/>
    <col min="6419" max="6419" width="1.33203125" style="22" customWidth="1"/>
    <col min="6420" max="6420" width="11.44140625" style="22" customWidth="1"/>
    <col min="6421" max="6421" width="1" style="22" customWidth="1"/>
    <col min="6422" max="6422" width="10.44140625" style="22" customWidth="1"/>
    <col min="6423" max="6423" width="0.88671875" style="22" customWidth="1"/>
    <col min="6424" max="6424" width="14" style="22" customWidth="1"/>
    <col min="6425" max="6425" width="0.88671875" style="22" customWidth="1"/>
    <col min="6426" max="6426" width="10.44140625" style="22" customWidth="1"/>
    <col min="6427" max="6427" width="0.88671875" style="22" customWidth="1"/>
    <col min="6428" max="6428" width="14" style="22" customWidth="1"/>
    <col min="6429" max="6429" width="0.88671875" style="22" customWidth="1"/>
    <col min="6430" max="6430" width="16" style="22" customWidth="1"/>
    <col min="6431" max="6431" width="0.5546875" style="22" customWidth="1"/>
    <col min="6432" max="6432" width="9.44140625" style="22" bestFit="1" customWidth="1"/>
    <col min="6433" max="6433" width="1.109375" style="22" customWidth="1"/>
    <col min="6434" max="6664" width="9.109375" style="22"/>
    <col min="6665" max="6665" width="2.109375" style="22" customWidth="1"/>
    <col min="6666" max="6666" width="14" style="22" customWidth="1"/>
    <col min="6667" max="6667" width="0.6640625" style="22" customWidth="1"/>
    <col min="6668" max="6668" width="17.109375" style="22" customWidth="1"/>
    <col min="6669" max="6669" width="1.109375" style="22" customWidth="1"/>
    <col min="6670" max="6670" width="18.33203125" style="22" customWidth="1"/>
    <col min="6671" max="6671" width="1" style="22" customWidth="1"/>
    <col min="6672" max="6672" width="27.5546875" style="22" customWidth="1"/>
    <col min="6673" max="6673" width="1" style="22" customWidth="1"/>
    <col min="6674" max="6674" width="12.6640625" style="22" customWidth="1"/>
    <col min="6675" max="6675" width="1.33203125" style="22" customWidth="1"/>
    <col min="6676" max="6676" width="11.44140625" style="22" customWidth="1"/>
    <col min="6677" max="6677" width="1" style="22" customWidth="1"/>
    <col min="6678" max="6678" width="10.44140625" style="22" customWidth="1"/>
    <col min="6679" max="6679" width="0.88671875" style="22" customWidth="1"/>
    <col min="6680" max="6680" width="14" style="22" customWidth="1"/>
    <col min="6681" max="6681" width="0.88671875" style="22" customWidth="1"/>
    <col min="6682" max="6682" width="10.44140625" style="22" customWidth="1"/>
    <col min="6683" max="6683" width="0.88671875" style="22" customWidth="1"/>
    <col min="6684" max="6684" width="14" style="22" customWidth="1"/>
    <col min="6685" max="6685" width="0.88671875" style="22" customWidth="1"/>
    <col min="6686" max="6686" width="16" style="22" customWidth="1"/>
    <col min="6687" max="6687" width="0.5546875" style="22" customWidth="1"/>
    <col min="6688" max="6688" width="9.44140625" style="22" bestFit="1" customWidth="1"/>
    <col min="6689" max="6689" width="1.109375" style="22" customWidth="1"/>
    <col min="6690" max="6920" width="9.109375" style="22"/>
    <col min="6921" max="6921" width="2.109375" style="22" customWidth="1"/>
    <col min="6922" max="6922" width="14" style="22" customWidth="1"/>
    <col min="6923" max="6923" width="0.6640625" style="22" customWidth="1"/>
    <col min="6924" max="6924" width="17.109375" style="22" customWidth="1"/>
    <col min="6925" max="6925" width="1.109375" style="22" customWidth="1"/>
    <col min="6926" max="6926" width="18.33203125" style="22" customWidth="1"/>
    <col min="6927" max="6927" width="1" style="22" customWidth="1"/>
    <col min="6928" max="6928" width="27.5546875" style="22" customWidth="1"/>
    <col min="6929" max="6929" width="1" style="22" customWidth="1"/>
    <col min="6930" max="6930" width="12.6640625" style="22" customWidth="1"/>
    <col min="6931" max="6931" width="1.33203125" style="22" customWidth="1"/>
    <col min="6932" max="6932" width="11.44140625" style="22" customWidth="1"/>
    <col min="6933" max="6933" width="1" style="22" customWidth="1"/>
    <col min="6934" max="6934" width="10.44140625" style="22" customWidth="1"/>
    <col min="6935" max="6935" width="0.88671875" style="22" customWidth="1"/>
    <col min="6936" max="6936" width="14" style="22" customWidth="1"/>
    <col min="6937" max="6937" width="0.88671875" style="22" customWidth="1"/>
    <col min="6938" max="6938" width="10.44140625" style="22" customWidth="1"/>
    <col min="6939" max="6939" width="0.88671875" style="22" customWidth="1"/>
    <col min="6940" max="6940" width="14" style="22" customWidth="1"/>
    <col min="6941" max="6941" width="0.88671875" style="22" customWidth="1"/>
    <col min="6942" max="6942" width="16" style="22" customWidth="1"/>
    <col min="6943" max="6943" width="0.5546875" style="22" customWidth="1"/>
    <col min="6944" max="6944" width="9.44140625" style="22" bestFit="1" customWidth="1"/>
    <col min="6945" max="6945" width="1.109375" style="22" customWidth="1"/>
    <col min="6946" max="7176" width="9.109375" style="22"/>
    <col min="7177" max="7177" width="2.109375" style="22" customWidth="1"/>
    <col min="7178" max="7178" width="14" style="22" customWidth="1"/>
    <col min="7179" max="7179" width="0.6640625" style="22" customWidth="1"/>
    <col min="7180" max="7180" width="17.109375" style="22" customWidth="1"/>
    <col min="7181" max="7181" width="1.109375" style="22" customWidth="1"/>
    <col min="7182" max="7182" width="18.33203125" style="22" customWidth="1"/>
    <col min="7183" max="7183" width="1" style="22" customWidth="1"/>
    <col min="7184" max="7184" width="27.5546875" style="22" customWidth="1"/>
    <col min="7185" max="7185" width="1" style="22" customWidth="1"/>
    <col min="7186" max="7186" width="12.6640625" style="22" customWidth="1"/>
    <col min="7187" max="7187" width="1.33203125" style="22" customWidth="1"/>
    <col min="7188" max="7188" width="11.44140625" style="22" customWidth="1"/>
    <col min="7189" max="7189" width="1" style="22" customWidth="1"/>
    <col min="7190" max="7190" width="10.44140625" style="22" customWidth="1"/>
    <col min="7191" max="7191" width="0.88671875" style="22" customWidth="1"/>
    <col min="7192" max="7192" width="14" style="22" customWidth="1"/>
    <col min="7193" max="7193" width="0.88671875" style="22" customWidth="1"/>
    <col min="7194" max="7194" width="10.44140625" style="22" customWidth="1"/>
    <col min="7195" max="7195" width="0.88671875" style="22" customWidth="1"/>
    <col min="7196" max="7196" width="14" style="22" customWidth="1"/>
    <col min="7197" max="7197" width="0.88671875" style="22" customWidth="1"/>
    <col min="7198" max="7198" width="16" style="22" customWidth="1"/>
    <col min="7199" max="7199" width="0.5546875" style="22" customWidth="1"/>
    <col min="7200" max="7200" width="9.44140625" style="22" bestFit="1" customWidth="1"/>
    <col min="7201" max="7201" width="1.109375" style="22" customWidth="1"/>
    <col min="7202" max="7432" width="9.109375" style="22"/>
    <col min="7433" max="7433" width="2.109375" style="22" customWidth="1"/>
    <col min="7434" max="7434" width="14" style="22" customWidth="1"/>
    <col min="7435" max="7435" width="0.6640625" style="22" customWidth="1"/>
    <col min="7436" max="7436" width="17.109375" style="22" customWidth="1"/>
    <col min="7437" max="7437" width="1.109375" style="22" customWidth="1"/>
    <col min="7438" max="7438" width="18.33203125" style="22" customWidth="1"/>
    <col min="7439" max="7439" width="1" style="22" customWidth="1"/>
    <col min="7440" max="7440" width="27.5546875" style="22" customWidth="1"/>
    <col min="7441" max="7441" width="1" style="22" customWidth="1"/>
    <col min="7442" max="7442" width="12.6640625" style="22" customWidth="1"/>
    <col min="7443" max="7443" width="1.33203125" style="22" customWidth="1"/>
    <col min="7444" max="7444" width="11.44140625" style="22" customWidth="1"/>
    <col min="7445" max="7445" width="1" style="22" customWidth="1"/>
    <col min="7446" max="7446" width="10.44140625" style="22" customWidth="1"/>
    <col min="7447" max="7447" width="0.88671875" style="22" customWidth="1"/>
    <col min="7448" max="7448" width="14" style="22" customWidth="1"/>
    <col min="7449" max="7449" width="0.88671875" style="22" customWidth="1"/>
    <col min="7450" max="7450" width="10.44140625" style="22" customWidth="1"/>
    <col min="7451" max="7451" width="0.88671875" style="22" customWidth="1"/>
    <col min="7452" max="7452" width="14" style="22" customWidth="1"/>
    <col min="7453" max="7453" width="0.88671875" style="22" customWidth="1"/>
    <col min="7454" max="7454" width="16" style="22" customWidth="1"/>
    <col min="7455" max="7455" width="0.5546875" style="22" customWidth="1"/>
    <col min="7456" max="7456" width="9.44140625" style="22" bestFit="1" customWidth="1"/>
    <col min="7457" max="7457" width="1.109375" style="22" customWidth="1"/>
    <col min="7458" max="7688" width="9.109375" style="22"/>
    <col min="7689" max="7689" width="2.109375" style="22" customWidth="1"/>
    <col min="7690" max="7690" width="14" style="22" customWidth="1"/>
    <col min="7691" max="7691" width="0.6640625" style="22" customWidth="1"/>
    <col min="7692" max="7692" width="17.109375" style="22" customWidth="1"/>
    <col min="7693" max="7693" width="1.109375" style="22" customWidth="1"/>
    <col min="7694" max="7694" width="18.33203125" style="22" customWidth="1"/>
    <col min="7695" max="7695" width="1" style="22" customWidth="1"/>
    <col min="7696" max="7696" width="27.5546875" style="22" customWidth="1"/>
    <col min="7697" max="7697" width="1" style="22" customWidth="1"/>
    <col min="7698" max="7698" width="12.6640625" style="22" customWidth="1"/>
    <col min="7699" max="7699" width="1.33203125" style="22" customWidth="1"/>
    <col min="7700" max="7700" width="11.44140625" style="22" customWidth="1"/>
    <col min="7701" max="7701" width="1" style="22" customWidth="1"/>
    <col min="7702" max="7702" width="10.44140625" style="22" customWidth="1"/>
    <col min="7703" max="7703" width="0.88671875" style="22" customWidth="1"/>
    <col min="7704" max="7704" width="14" style="22" customWidth="1"/>
    <col min="7705" max="7705" width="0.88671875" style="22" customWidth="1"/>
    <col min="7706" max="7706" width="10.44140625" style="22" customWidth="1"/>
    <col min="7707" max="7707" width="0.88671875" style="22" customWidth="1"/>
    <col min="7708" max="7708" width="14" style="22" customWidth="1"/>
    <col min="7709" max="7709" width="0.88671875" style="22" customWidth="1"/>
    <col min="7710" max="7710" width="16" style="22" customWidth="1"/>
    <col min="7711" max="7711" width="0.5546875" style="22" customWidth="1"/>
    <col min="7712" max="7712" width="9.44140625" style="22" bestFit="1" customWidth="1"/>
    <col min="7713" max="7713" width="1.109375" style="22" customWidth="1"/>
    <col min="7714" max="7944" width="9.109375" style="22"/>
    <col min="7945" max="7945" width="2.109375" style="22" customWidth="1"/>
    <col min="7946" max="7946" width="14" style="22" customWidth="1"/>
    <col min="7947" max="7947" width="0.6640625" style="22" customWidth="1"/>
    <col min="7948" max="7948" width="17.109375" style="22" customWidth="1"/>
    <col min="7949" max="7949" width="1.109375" style="22" customWidth="1"/>
    <col min="7950" max="7950" width="18.33203125" style="22" customWidth="1"/>
    <col min="7951" max="7951" width="1" style="22" customWidth="1"/>
    <col min="7952" max="7952" width="27.5546875" style="22" customWidth="1"/>
    <col min="7953" max="7953" width="1" style="22" customWidth="1"/>
    <col min="7954" max="7954" width="12.6640625" style="22" customWidth="1"/>
    <col min="7955" max="7955" width="1.33203125" style="22" customWidth="1"/>
    <col min="7956" max="7956" width="11.44140625" style="22" customWidth="1"/>
    <col min="7957" max="7957" width="1" style="22" customWidth="1"/>
    <col min="7958" max="7958" width="10.44140625" style="22" customWidth="1"/>
    <col min="7959" max="7959" width="0.88671875" style="22" customWidth="1"/>
    <col min="7960" max="7960" width="14" style="22" customWidth="1"/>
    <col min="7961" max="7961" width="0.88671875" style="22" customWidth="1"/>
    <col min="7962" max="7962" width="10.44140625" style="22" customWidth="1"/>
    <col min="7963" max="7963" width="0.88671875" style="22" customWidth="1"/>
    <col min="7964" max="7964" width="14" style="22" customWidth="1"/>
    <col min="7965" max="7965" width="0.88671875" style="22" customWidth="1"/>
    <col min="7966" max="7966" width="16" style="22" customWidth="1"/>
    <col min="7967" max="7967" width="0.5546875" style="22" customWidth="1"/>
    <col min="7968" max="7968" width="9.44140625" style="22" bestFit="1" customWidth="1"/>
    <col min="7969" max="7969" width="1.109375" style="22" customWidth="1"/>
    <col min="7970" max="8200" width="9.109375" style="22"/>
    <col min="8201" max="8201" width="2.109375" style="22" customWidth="1"/>
    <col min="8202" max="8202" width="14" style="22" customWidth="1"/>
    <col min="8203" max="8203" width="0.6640625" style="22" customWidth="1"/>
    <col min="8204" max="8204" width="17.109375" style="22" customWidth="1"/>
    <col min="8205" max="8205" width="1.109375" style="22" customWidth="1"/>
    <col min="8206" max="8206" width="18.33203125" style="22" customWidth="1"/>
    <col min="8207" max="8207" width="1" style="22" customWidth="1"/>
    <col min="8208" max="8208" width="27.5546875" style="22" customWidth="1"/>
    <col min="8209" max="8209" width="1" style="22" customWidth="1"/>
    <col min="8210" max="8210" width="12.6640625" style="22" customWidth="1"/>
    <col min="8211" max="8211" width="1.33203125" style="22" customWidth="1"/>
    <col min="8212" max="8212" width="11.44140625" style="22" customWidth="1"/>
    <col min="8213" max="8213" width="1" style="22" customWidth="1"/>
    <col min="8214" max="8214" width="10.44140625" style="22" customWidth="1"/>
    <col min="8215" max="8215" width="0.88671875" style="22" customWidth="1"/>
    <col min="8216" max="8216" width="14" style="22" customWidth="1"/>
    <col min="8217" max="8217" width="0.88671875" style="22" customWidth="1"/>
    <col min="8218" max="8218" width="10.44140625" style="22" customWidth="1"/>
    <col min="8219" max="8219" width="0.88671875" style="22" customWidth="1"/>
    <col min="8220" max="8220" width="14" style="22" customWidth="1"/>
    <col min="8221" max="8221" width="0.88671875" style="22" customWidth="1"/>
    <col min="8222" max="8222" width="16" style="22" customWidth="1"/>
    <col min="8223" max="8223" width="0.5546875" style="22" customWidth="1"/>
    <col min="8224" max="8224" width="9.44140625" style="22" bestFit="1" customWidth="1"/>
    <col min="8225" max="8225" width="1.109375" style="22" customWidth="1"/>
    <col min="8226" max="8456" width="9.109375" style="22"/>
    <col min="8457" max="8457" width="2.109375" style="22" customWidth="1"/>
    <col min="8458" max="8458" width="14" style="22" customWidth="1"/>
    <col min="8459" max="8459" width="0.6640625" style="22" customWidth="1"/>
    <col min="8460" max="8460" width="17.109375" style="22" customWidth="1"/>
    <col min="8461" max="8461" width="1.109375" style="22" customWidth="1"/>
    <col min="8462" max="8462" width="18.33203125" style="22" customWidth="1"/>
    <col min="8463" max="8463" width="1" style="22" customWidth="1"/>
    <col min="8464" max="8464" width="27.5546875" style="22" customWidth="1"/>
    <col min="8465" max="8465" width="1" style="22" customWidth="1"/>
    <col min="8466" max="8466" width="12.6640625" style="22" customWidth="1"/>
    <col min="8467" max="8467" width="1.33203125" style="22" customWidth="1"/>
    <col min="8468" max="8468" width="11.44140625" style="22" customWidth="1"/>
    <col min="8469" max="8469" width="1" style="22" customWidth="1"/>
    <col min="8470" max="8470" width="10.44140625" style="22" customWidth="1"/>
    <col min="8471" max="8471" width="0.88671875" style="22" customWidth="1"/>
    <col min="8472" max="8472" width="14" style="22" customWidth="1"/>
    <col min="8473" max="8473" width="0.88671875" style="22" customWidth="1"/>
    <col min="8474" max="8474" width="10.44140625" style="22" customWidth="1"/>
    <col min="8475" max="8475" width="0.88671875" style="22" customWidth="1"/>
    <col min="8476" max="8476" width="14" style="22" customWidth="1"/>
    <col min="8477" max="8477" width="0.88671875" style="22" customWidth="1"/>
    <col min="8478" max="8478" width="16" style="22" customWidth="1"/>
    <col min="8479" max="8479" width="0.5546875" style="22" customWidth="1"/>
    <col min="8480" max="8480" width="9.44140625" style="22" bestFit="1" customWidth="1"/>
    <col min="8481" max="8481" width="1.109375" style="22" customWidth="1"/>
    <col min="8482" max="8712" width="9.109375" style="22"/>
    <col min="8713" max="8713" width="2.109375" style="22" customWidth="1"/>
    <col min="8714" max="8714" width="14" style="22" customWidth="1"/>
    <col min="8715" max="8715" width="0.6640625" style="22" customWidth="1"/>
    <col min="8716" max="8716" width="17.109375" style="22" customWidth="1"/>
    <col min="8717" max="8717" width="1.109375" style="22" customWidth="1"/>
    <col min="8718" max="8718" width="18.33203125" style="22" customWidth="1"/>
    <col min="8719" max="8719" width="1" style="22" customWidth="1"/>
    <col min="8720" max="8720" width="27.5546875" style="22" customWidth="1"/>
    <col min="8721" max="8721" width="1" style="22" customWidth="1"/>
    <col min="8722" max="8722" width="12.6640625" style="22" customWidth="1"/>
    <col min="8723" max="8723" width="1.33203125" style="22" customWidth="1"/>
    <col min="8724" max="8724" width="11.44140625" style="22" customWidth="1"/>
    <col min="8725" max="8725" width="1" style="22" customWidth="1"/>
    <col min="8726" max="8726" width="10.44140625" style="22" customWidth="1"/>
    <col min="8727" max="8727" width="0.88671875" style="22" customWidth="1"/>
    <col min="8728" max="8728" width="14" style="22" customWidth="1"/>
    <col min="8729" max="8729" width="0.88671875" style="22" customWidth="1"/>
    <col min="8730" max="8730" width="10.44140625" style="22" customWidth="1"/>
    <col min="8731" max="8731" width="0.88671875" style="22" customWidth="1"/>
    <col min="8732" max="8732" width="14" style="22" customWidth="1"/>
    <col min="8733" max="8733" width="0.88671875" style="22" customWidth="1"/>
    <col min="8734" max="8734" width="16" style="22" customWidth="1"/>
    <col min="8735" max="8735" width="0.5546875" style="22" customWidth="1"/>
    <col min="8736" max="8736" width="9.44140625" style="22" bestFit="1" customWidth="1"/>
    <col min="8737" max="8737" width="1.109375" style="22" customWidth="1"/>
    <col min="8738" max="8968" width="9.109375" style="22"/>
    <col min="8969" max="8969" width="2.109375" style="22" customWidth="1"/>
    <col min="8970" max="8970" width="14" style="22" customWidth="1"/>
    <col min="8971" max="8971" width="0.6640625" style="22" customWidth="1"/>
    <col min="8972" max="8972" width="17.109375" style="22" customWidth="1"/>
    <col min="8973" max="8973" width="1.109375" style="22" customWidth="1"/>
    <col min="8974" max="8974" width="18.33203125" style="22" customWidth="1"/>
    <col min="8975" max="8975" width="1" style="22" customWidth="1"/>
    <col min="8976" max="8976" width="27.5546875" style="22" customWidth="1"/>
    <col min="8977" max="8977" width="1" style="22" customWidth="1"/>
    <col min="8978" max="8978" width="12.6640625" style="22" customWidth="1"/>
    <col min="8979" max="8979" width="1.33203125" style="22" customWidth="1"/>
    <col min="8980" max="8980" width="11.44140625" style="22" customWidth="1"/>
    <col min="8981" max="8981" width="1" style="22" customWidth="1"/>
    <col min="8982" max="8982" width="10.44140625" style="22" customWidth="1"/>
    <col min="8983" max="8983" width="0.88671875" style="22" customWidth="1"/>
    <col min="8984" max="8984" width="14" style="22" customWidth="1"/>
    <col min="8985" max="8985" width="0.88671875" style="22" customWidth="1"/>
    <col min="8986" max="8986" width="10.44140625" style="22" customWidth="1"/>
    <col min="8987" max="8987" width="0.88671875" style="22" customWidth="1"/>
    <col min="8988" max="8988" width="14" style="22" customWidth="1"/>
    <col min="8989" max="8989" width="0.88671875" style="22" customWidth="1"/>
    <col min="8990" max="8990" width="16" style="22" customWidth="1"/>
    <col min="8991" max="8991" width="0.5546875" style="22" customWidth="1"/>
    <col min="8992" max="8992" width="9.44140625" style="22" bestFit="1" customWidth="1"/>
    <col min="8993" max="8993" width="1.109375" style="22" customWidth="1"/>
    <col min="8994" max="9224" width="9.109375" style="22"/>
    <col min="9225" max="9225" width="2.109375" style="22" customWidth="1"/>
    <col min="9226" max="9226" width="14" style="22" customWidth="1"/>
    <col min="9227" max="9227" width="0.6640625" style="22" customWidth="1"/>
    <col min="9228" max="9228" width="17.109375" style="22" customWidth="1"/>
    <col min="9229" max="9229" width="1.109375" style="22" customWidth="1"/>
    <col min="9230" max="9230" width="18.33203125" style="22" customWidth="1"/>
    <col min="9231" max="9231" width="1" style="22" customWidth="1"/>
    <col min="9232" max="9232" width="27.5546875" style="22" customWidth="1"/>
    <col min="9233" max="9233" width="1" style="22" customWidth="1"/>
    <col min="9234" max="9234" width="12.6640625" style="22" customWidth="1"/>
    <col min="9235" max="9235" width="1.33203125" style="22" customWidth="1"/>
    <col min="9236" max="9236" width="11.44140625" style="22" customWidth="1"/>
    <col min="9237" max="9237" width="1" style="22" customWidth="1"/>
    <col min="9238" max="9238" width="10.44140625" style="22" customWidth="1"/>
    <col min="9239" max="9239" width="0.88671875" style="22" customWidth="1"/>
    <col min="9240" max="9240" width="14" style="22" customWidth="1"/>
    <col min="9241" max="9241" width="0.88671875" style="22" customWidth="1"/>
    <col min="9242" max="9242" width="10.44140625" style="22" customWidth="1"/>
    <col min="9243" max="9243" width="0.88671875" style="22" customWidth="1"/>
    <col min="9244" max="9244" width="14" style="22" customWidth="1"/>
    <col min="9245" max="9245" width="0.88671875" style="22" customWidth="1"/>
    <col min="9246" max="9246" width="16" style="22" customWidth="1"/>
    <col min="9247" max="9247" width="0.5546875" style="22" customWidth="1"/>
    <col min="9248" max="9248" width="9.44140625" style="22" bestFit="1" customWidth="1"/>
    <col min="9249" max="9249" width="1.109375" style="22" customWidth="1"/>
    <col min="9250" max="9480" width="9.109375" style="22"/>
    <col min="9481" max="9481" width="2.109375" style="22" customWidth="1"/>
    <col min="9482" max="9482" width="14" style="22" customWidth="1"/>
    <col min="9483" max="9483" width="0.6640625" style="22" customWidth="1"/>
    <col min="9484" max="9484" width="17.109375" style="22" customWidth="1"/>
    <col min="9485" max="9485" width="1.109375" style="22" customWidth="1"/>
    <col min="9486" max="9486" width="18.33203125" style="22" customWidth="1"/>
    <col min="9487" max="9487" width="1" style="22" customWidth="1"/>
    <col min="9488" max="9488" width="27.5546875" style="22" customWidth="1"/>
    <col min="9489" max="9489" width="1" style="22" customWidth="1"/>
    <col min="9490" max="9490" width="12.6640625" style="22" customWidth="1"/>
    <col min="9491" max="9491" width="1.33203125" style="22" customWidth="1"/>
    <col min="9492" max="9492" width="11.44140625" style="22" customWidth="1"/>
    <col min="9493" max="9493" width="1" style="22" customWidth="1"/>
    <col min="9494" max="9494" width="10.44140625" style="22" customWidth="1"/>
    <col min="9495" max="9495" width="0.88671875" style="22" customWidth="1"/>
    <col min="9496" max="9496" width="14" style="22" customWidth="1"/>
    <col min="9497" max="9497" width="0.88671875" style="22" customWidth="1"/>
    <col min="9498" max="9498" width="10.44140625" style="22" customWidth="1"/>
    <col min="9499" max="9499" width="0.88671875" style="22" customWidth="1"/>
    <col min="9500" max="9500" width="14" style="22" customWidth="1"/>
    <col min="9501" max="9501" width="0.88671875" style="22" customWidth="1"/>
    <col min="9502" max="9502" width="16" style="22" customWidth="1"/>
    <col min="9503" max="9503" width="0.5546875" style="22" customWidth="1"/>
    <col min="9504" max="9504" width="9.44140625" style="22" bestFit="1" customWidth="1"/>
    <col min="9505" max="9505" width="1.109375" style="22" customWidth="1"/>
    <col min="9506" max="9736" width="9.109375" style="22"/>
    <col min="9737" max="9737" width="2.109375" style="22" customWidth="1"/>
    <col min="9738" max="9738" width="14" style="22" customWidth="1"/>
    <col min="9739" max="9739" width="0.6640625" style="22" customWidth="1"/>
    <col min="9740" max="9740" width="17.109375" style="22" customWidth="1"/>
    <col min="9741" max="9741" width="1.109375" style="22" customWidth="1"/>
    <col min="9742" max="9742" width="18.33203125" style="22" customWidth="1"/>
    <col min="9743" max="9743" width="1" style="22" customWidth="1"/>
    <col min="9744" max="9744" width="27.5546875" style="22" customWidth="1"/>
    <col min="9745" max="9745" width="1" style="22" customWidth="1"/>
    <col min="9746" max="9746" width="12.6640625" style="22" customWidth="1"/>
    <col min="9747" max="9747" width="1.33203125" style="22" customWidth="1"/>
    <col min="9748" max="9748" width="11.44140625" style="22" customWidth="1"/>
    <col min="9749" max="9749" width="1" style="22" customWidth="1"/>
    <col min="9750" max="9750" width="10.44140625" style="22" customWidth="1"/>
    <col min="9751" max="9751" width="0.88671875" style="22" customWidth="1"/>
    <col min="9752" max="9752" width="14" style="22" customWidth="1"/>
    <col min="9753" max="9753" width="0.88671875" style="22" customWidth="1"/>
    <col min="9754" max="9754" width="10.44140625" style="22" customWidth="1"/>
    <col min="9755" max="9755" width="0.88671875" style="22" customWidth="1"/>
    <col min="9756" max="9756" width="14" style="22" customWidth="1"/>
    <col min="9757" max="9757" width="0.88671875" style="22" customWidth="1"/>
    <col min="9758" max="9758" width="16" style="22" customWidth="1"/>
    <col min="9759" max="9759" width="0.5546875" style="22" customWidth="1"/>
    <col min="9760" max="9760" width="9.44140625" style="22" bestFit="1" customWidth="1"/>
    <col min="9761" max="9761" width="1.109375" style="22" customWidth="1"/>
    <col min="9762" max="9992" width="9.109375" style="22"/>
    <col min="9993" max="9993" width="2.109375" style="22" customWidth="1"/>
    <col min="9994" max="9994" width="14" style="22" customWidth="1"/>
    <col min="9995" max="9995" width="0.6640625" style="22" customWidth="1"/>
    <col min="9996" max="9996" width="17.109375" style="22" customWidth="1"/>
    <col min="9997" max="9997" width="1.109375" style="22" customWidth="1"/>
    <col min="9998" max="9998" width="18.33203125" style="22" customWidth="1"/>
    <col min="9999" max="9999" width="1" style="22" customWidth="1"/>
    <col min="10000" max="10000" width="27.5546875" style="22" customWidth="1"/>
    <col min="10001" max="10001" width="1" style="22" customWidth="1"/>
    <col min="10002" max="10002" width="12.6640625" style="22" customWidth="1"/>
    <col min="10003" max="10003" width="1.33203125" style="22" customWidth="1"/>
    <col min="10004" max="10004" width="11.44140625" style="22" customWidth="1"/>
    <col min="10005" max="10005" width="1" style="22" customWidth="1"/>
    <col min="10006" max="10006" width="10.44140625" style="22" customWidth="1"/>
    <col min="10007" max="10007" width="0.88671875" style="22" customWidth="1"/>
    <col min="10008" max="10008" width="14" style="22" customWidth="1"/>
    <col min="10009" max="10009" width="0.88671875" style="22" customWidth="1"/>
    <col min="10010" max="10010" width="10.44140625" style="22" customWidth="1"/>
    <col min="10011" max="10011" width="0.88671875" style="22" customWidth="1"/>
    <col min="10012" max="10012" width="14" style="22" customWidth="1"/>
    <col min="10013" max="10013" width="0.88671875" style="22" customWidth="1"/>
    <col min="10014" max="10014" width="16" style="22" customWidth="1"/>
    <col min="10015" max="10015" width="0.5546875" style="22" customWidth="1"/>
    <col min="10016" max="10016" width="9.44140625" style="22" bestFit="1" customWidth="1"/>
    <col min="10017" max="10017" width="1.109375" style="22" customWidth="1"/>
    <col min="10018" max="10248" width="9.109375" style="22"/>
    <col min="10249" max="10249" width="2.109375" style="22" customWidth="1"/>
    <col min="10250" max="10250" width="14" style="22" customWidth="1"/>
    <col min="10251" max="10251" width="0.6640625" style="22" customWidth="1"/>
    <col min="10252" max="10252" width="17.109375" style="22" customWidth="1"/>
    <col min="10253" max="10253" width="1.109375" style="22" customWidth="1"/>
    <col min="10254" max="10254" width="18.33203125" style="22" customWidth="1"/>
    <col min="10255" max="10255" width="1" style="22" customWidth="1"/>
    <col min="10256" max="10256" width="27.5546875" style="22" customWidth="1"/>
    <col min="10257" max="10257" width="1" style="22" customWidth="1"/>
    <col min="10258" max="10258" width="12.6640625" style="22" customWidth="1"/>
    <col min="10259" max="10259" width="1.33203125" style="22" customWidth="1"/>
    <col min="10260" max="10260" width="11.44140625" style="22" customWidth="1"/>
    <col min="10261" max="10261" width="1" style="22" customWidth="1"/>
    <col min="10262" max="10262" width="10.44140625" style="22" customWidth="1"/>
    <col min="10263" max="10263" width="0.88671875" style="22" customWidth="1"/>
    <col min="10264" max="10264" width="14" style="22" customWidth="1"/>
    <col min="10265" max="10265" width="0.88671875" style="22" customWidth="1"/>
    <col min="10266" max="10266" width="10.44140625" style="22" customWidth="1"/>
    <col min="10267" max="10267" width="0.88671875" style="22" customWidth="1"/>
    <col min="10268" max="10268" width="14" style="22" customWidth="1"/>
    <col min="10269" max="10269" width="0.88671875" style="22" customWidth="1"/>
    <col min="10270" max="10270" width="16" style="22" customWidth="1"/>
    <col min="10271" max="10271" width="0.5546875" style="22" customWidth="1"/>
    <col min="10272" max="10272" width="9.44140625" style="22" bestFit="1" customWidth="1"/>
    <col min="10273" max="10273" width="1.109375" style="22" customWidth="1"/>
    <col min="10274" max="10504" width="9.109375" style="22"/>
    <col min="10505" max="10505" width="2.109375" style="22" customWidth="1"/>
    <col min="10506" max="10506" width="14" style="22" customWidth="1"/>
    <col min="10507" max="10507" width="0.6640625" style="22" customWidth="1"/>
    <col min="10508" max="10508" width="17.109375" style="22" customWidth="1"/>
    <col min="10509" max="10509" width="1.109375" style="22" customWidth="1"/>
    <col min="10510" max="10510" width="18.33203125" style="22" customWidth="1"/>
    <col min="10511" max="10511" width="1" style="22" customWidth="1"/>
    <col min="10512" max="10512" width="27.5546875" style="22" customWidth="1"/>
    <col min="10513" max="10513" width="1" style="22" customWidth="1"/>
    <col min="10514" max="10514" width="12.6640625" style="22" customWidth="1"/>
    <col min="10515" max="10515" width="1.33203125" style="22" customWidth="1"/>
    <col min="10516" max="10516" width="11.44140625" style="22" customWidth="1"/>
    <col min="10517" max="10517" width="1" style="22" customWidth="1"/>
    <col min="10518" max="10518" width="10.44140625" style="22" customWidth="1"/>
    <col min="10519" max="10519" width="0.88671875" style="22" customWidth="1"/>
    <col min="10520" max="10520" width="14" style="22" customWidth="1"/>
    <col min="10521" max="10521" width="0.88671875" style="22" customWidth="1"/>
    <col min="10522" max="10522" width="10.44140625" style="22" customWidth="1"/>
    <col min="10523" max="10523" width="0.88671875" style="22" customWidth="1"/>
    <col min="10524" max="10524" width="14" style="22" customWidth="1"/>
    <col min="10525" max="10525" width="0.88671875" style="22" customWidth="1"/>
    <col min="10526" max="10526" width="16" style="22" customWidth="1"/>
    <col min="10527" max="10527" width="0.5546875" style="22" customWidth="1"/>
    <col min="10528" max="10528" width="9.44140625" style="22" bestFit="1" customWidth="1"/>
    <col min="10529" max="10529" width="1.109375" style="22" customWidth="1"/>
    <col min="10530" max="10760" width="9.109375" style="22"/>
    <col min="10761" max="10761" width="2.109375" style="22" customWidth="1"/>
    <col min="10762" max="10762" width="14" style="22" customWidth="1"/>
    <col min="10763" max="10763" width="0.6640625" style="22" customWidth="1"/>
    <col min="10764" max="10764" width="17.109375" style="22" customWidth="1"/>
    <col min="10765" max="10765" width="1.109375" style="22" customWidth="1"/>
    <col min="10766" max="10766" width="18.33203125" style="22" customWidth="1"/>
    <col min="10767" max="10767" width="1" style="22" customWidth="1"/>
    <col min="10768" max="10768" width="27.5546875" style="22" customWidth="1"/>
    <col min="10769" max="10769" width="1" style="22" customWidth="1"/>
    <col min="10770" max="10770" width="12.6640625" style="22" customWidth="1"/>
    <col min="10771" max="10771" width="1.33203125" style="22" customWidth="1"/>
    <col min="10772" max="10772" width="11.44140625" style="22" customWidth="1"/>
    <col min="10773" max="10773" width="1" style="22" customWidth="1"/>
    <col min="10774" max="10774" width="10.44140625" style="22" customWidth="1"/>
    <col min="10775" max="10775" width="0.88671875" style="22" customWidth="1"/>
    <col min="10776" max="10776" width="14" style="22" customWidth="1"/>
    <col min="10777" max="10777" width="0.88671875" style="22" customWidth="1"/>
    <col min="10778" max="10778" width="10.44140625" style="22" customWidth="1"/>
    <col min="10779" max="10779" width="0.88671875" style="22" customWidth="1"/>
    <col min="10780" max="10780" width="14" style="22" customWidth="1"/>
    <col min="10781" max="10781" width="0.88671875" style="22" customWidth="1"/>
    <col min="10782" max="10782" width="16" style="22" customWidth="1"/>
    <col min="10783" max="10783" width="0.5546875" style="22" customWidth="1"/>
    <col min="10784" max="10784" width="9.44140625" style="22" bestFit="1" customWidth="1"/>
    <col min="10785" max="10785" width="1.109375" style="22" customWidth="1"/>
    <col min="10786" max="11016" width="9.109375" style="22"/>
    <col min="11017" max="11017" width="2.109375" style="22" customWidth="1"/>
    <col min="11018" max="11018" width="14" style="22" customWidth="1"/>
    <col min="11019" max="11019" width="0.6640625" style="22" customWidth="1"/>
    <col min="11020" max="11020" width="17.109375" style="22" customWidth="1"/>
    <col min="11021" max="11021" width="1.109375" style="22" customWidth="1"/>
    <col min="11022" max="11022" width="18.33203125" style="22" customWidth="1"/>
    <col min="11023" max="11023" width="1" style="22" customWidth="1"/>
    <col min="11024" max="11024" width="27.5546875" style="22" customWidth="1"/>
    <col min="11025" max="11025" width="1" style="22" customWidth="1"/>
    <col min="11026" max="11026" width="12.6640625" style="22" customWidth="1"/>
    <col min="11027" max="11027" width="1.33203125" style="22" customWidth="1"/>
    <col min="11028" max="11028" width="11.44140625" style="22" customWidth="1"/>
    <col min="11029" max="11029" width="1" style="22" customWidth="1"/>
    <col min="11030" max="11030" width="10.44140625" style="22" customWidth="1"/>
    <col min="11031" max="11031" width="0.88671875" style="22" customWidth="1"/>
    <col min="11032" max="11032" width="14" style="22" customWidth="1"/>
    <col min="11033" max="11033" width="0.88671875" style="22" customWidth="1"/>
    <col min="11034" max="11034" width="10.44140625" style="22" customWidth="1"/>
    <col min="11035" max="11035" width="0.88671875" style="22" customWidth="1"/>
    <col min="11036" max="11036" width="14" style="22" customWidth="1"/>
    <col min="11037" max="11037" width="0.88671875" style="22" customWidth="1"/>
    <col min="11038" max="11038" width="16" style="22" customWidth="1"/>
    <col min="11039" max="11039" width="0.5546875" style="22" customWidth="1"/>
    <col min="11040" max="11040" width="9.44140625" style="22" bestFit="1" customWidth="1"/>
    <col min="11041" max="11041" width="1.109375" style="22" customWidth="1"/>
    <col min="11042" max="11272" width="9.109375" style="22"/>
    <col min="11273" max="11273" width="2.109375" style="22" customWidth="1"/>
    <col min="11274" max="11274" width="14" style="22" customWidth="1"/>
    <col min="11275" max="11275" width="0.6640625" style="22" customWidth="1"/>
    <col min="11276" max="11276" width="17.109375" style="22" customWidth="1"/>
    <col min="11277" max="11277" width="1.109375" style="22" customWidth="1"/>
    <col min="11278" max="11278" width="18.33203125" style="22" customWidth="1"/>
    <col min="11279" max="11279" width="1" style="22" customWidth="1"/>
    <col min="11280" max="11280" width="27.5546875" style="22" customWidth="1"/>
    <col min="11281" max="11281" width="1" style="22" customWidth="1"/>
    <col min="11282" max="11282" width="12.6640625" style="22" customWidth="1"/>
    <col min="11283" max="11283" width="1.33203125" style="22" customWidth="1"/>
    <col min="11284" max="11284" width="11.44140625" style="22" customWidth="1"/>
    <col min="11285" max="11285" width="1" style="22" customWidth="1"/>
    <col min="11286" max="11286" width="10.44140625" style="22" customWidth="1"/>
    <col min="11287" max="11287" width="0.88671875" style="22" customWidth="1"/>
    <col min="11288" max="11288" width="14" style="22" customWidth="1"/>
    <col min="11289" max="11289" width="0.88671875" style="22" customWidth="1"/>
    <col min="11290" max="11290" width="10.44140625" style="22" customWidth="1"/>
    <col min="11291" max="11291" width="0.88671875" style="22" customWidth="1"/>
    <col min="11292" max="11292" width="14" style="22" customWidth="1"/>
    <col min="11293" max="11293" width="0.88671875" style="22" customWidth="1"/>
    <col min="11294" max="11294" width="16" style="22" customWidth="1"/>
    <col min="11295" max="11295" width="0.5546875" style="22" customWidth="1"/>
    <col min="11296" max="11296" width="9.44140625" style="22" bestFit="1" customWidth="1"/>
    <col min="11297" max="11297" width="1.109375" style="22" customWidth="1"/>
    <col min="11298" max="11528" width="9.109375" style="22"/>
    <col min="11529" max="11529" width="2.109375" style="22" customWidth="1"/>
    <col min="11530" max="11530" width="14" style="22" customWidth="1"/>
    <col min="11531" max="11531" width="0.6640625" style="22" customWidth="1"/>
    <col min="11532" max="11532" width="17.109375" style="22" customWidth="1"/>
    <col min="11533" max="11533" width="1.109375" style="22" customWidth="1"/>
    <col min="11534" max="11534" width="18.33203125" style="22" customWidth="1"/>
    <col min="11535" max="11535" width="1" style="22" customWidth="1"/>
    <col min="11536" max="11536" width="27.5546875" style="22" customWidth="1"/>
    <col min="11537" max="11537" width="1" style="22" customWidth="1"/>
    <col min="11538" max="11538" width="12.6640625" style="22" customWidth="1"/>
    <col min="11539" max="11539" width="1.33203125" style="22" customWidth="1"/>
    <col min="11540" max="11540" width="11.44140625" style="22" customWidth="1"/>
    <col min="11541" max="11541" width="1" style="22" customWidth="1"/>
    <col min="11542" max="11542" width="10.44140625" style="22" customWidth="1"/>
    <col min="11543" max="11543" width="0.88671875" style="22" customWidth="1"/>
    <col min="11544" max="11544" width="14" style="22" customWidth="1"/>
    <col min="11545" max="11545" width="0.88671875" style="22" customWidth="1"/>
    <col min="11546" max="11546" width="10.44140625" style="22" customWidth="1"/>
    <col min="11547" max="11547" width="0.88671875" style="22" customWidth="1"/>
    <col min="11548" max="11548" width="14" style="22" customWidth="1"/>
    <col min="11549" max="11549" width="0.88671875" style="22" customWidth="1"/>
    <col min="11550" max="11550" width="16" style="22" customWidth="1"/>
    <col min="11551" max="11551" width="0.5546875" style="22" customWidth="1"/>
    <col min="11552" max="11552" width="9.44140625" style="22" bestFit="1" customWidth="1"/>
    <col min="11553" max="11553" width="1.109375" style="22" customWidth="1"/>
    <col min="11554" max="11784" width="9.109375" style="22"/>
    <col min="11785" max="11785" width="2.109375" style="22" customWidth="1"/>
    <col min="11786" max="11786" width="14" style="22" customWidth="1"/>
    <col min="11787" max="11787" width="0.6640625" style="22" customWidth="1"/>
    <col min="11788" max="11788" width="17.109375" style="22" customWidth="1"/>
    <col min="11789" max="11789" width="1.109375" style="22" customWidth="1"/>
    <col min="11790" max="11790" width="18.33203125" style="22" customWidth="1"/>
    <col min="11791" max="11791" width="1" style="22" customWidth="1"/>
    <col min="11792" max="11792" width="27.5546875" style="22" customWidth="1"/>
    <col min="11793" max="11793" width="1" style="22" customWidth="1"/>
    <col min="11794" max="11794" width="12.6640625" style="22" customWidth="1"/>
    <col min="11795" max="11795" width="1.33203125" style="22" customWidth="1"/>
    <col min="11796" max="11796" width="11.44140625" style="22" customWidth="1"/>
    <col min="11797" max="11797" width="1" style="22" customWidth="1"/>
    <col min="11798" max="11798" width="10.44140625" style="22" customWidth="1"/>
    <col min="11799" max="11799" width="0.88671875" style="22" customWidth="1"/>
    <col min="11800" max="11800" width="14" style="22" customWidth="1"/>
    <col min="11801" max="11801" width="0.88671875" style="22" customWidth="1"/>
    <col min="11802" max="11802" width="10.44140625" style="22" customWidth="1"/>
    <col min="11803" max="11803" width="0.88671875" style="22" customWidth="1"/>
    <col min="11804" max="11804" width="14" style="22" customWidth="1"/>
    <col min="11805" max="11805" width="0.88671875" style="22" customWidth="1"/>
    <col min="11806" max="11806" width="16" style="22" customWidth="1"/>
    <col min="11807" max="11807" width="0.5546875" style="22" customWidth="1"/>
    <col min="11808" max="11808" width="9.44140625" style="22" bestFit="1" customWidth="1"/>
    <col min="11809" max="11809" width="1.109375" style="22" customWidth="1"/>
    <col min="11810" max="12040" width="9.109375" style="22"/>
    <col min="12041" max="12041" width="2.109375" style="22" customWidth="1"/>
    <col min="12042" max="12042" width="14" style="22" customWidth="1"/>
    <col min="12043" max="12043" width="0.6640625" style="22" customWidth="1"/>
    <col min="12044" max="12044" width="17.109375" style="22" customWidth="1"/>
    <col min="12045" max="12045" width="1.109375" style="22" customWidth="1"/>
    <col min="12046" max="12046" width="18.33203125" style="22" customWidth="1"/>
    <col min="12047" max="12047" width="1" style="22" customWidth="1"/>
    <col min="12048" max="12048" width="27.5546875" style="22" customWidth="1"/>
    <col min="12049" max="12049" width="1" style="22" customWidth="1"/>
    <col min="12050" max="12050" width="12.6640625" style="22" customWidth="1"/>
    <col min="12051" max="12051" width="1.33203125" style="22" customWidth="1"/>
    <col min="12052" max="12052" width="11.44140625" style="22" customWidth="1"/>
    <col min="12053" max="12053" width="1" style="22" customWidth="1"/>
    <col min="12054" max="12054" width="10.44140625" style="22" customWidth="1"/>
    <col min="12055" max="12055" width="0.88671875" style="22" customWidth="1"/>
    <col min="12056" max="12056" width="14" style="22" customWidth="1"/>
    <col min="12057" max="12057" width="0.88671875" style="22" customWidth="1"/>
    <col min="12058" max="12058" width="10.44140625" style="22" customWidth="1"/>
    <col min="12059" max="12059" width="0.88671875" style="22" customWidth="1"/>
    <col min="12060" max="12060" width="14" style="22" customWidth="1"/>
    <col min="12061" max="12061" width="0.88671875" style="22" customWidth="1"/>
    <col min="12062" max="12062" width="16" style="22" customWidth="1"/>
    <col min="12063" max="12063" width="0.5546875" style="22" customWidth="1"/>
    <col min="12064" max="12064" width="9.44140625" style="22" bestFit="1" customWidth="1"/>
    <col min="12065" max="12065" width="1.109375" style="22" customWidth="1"/>
    <col min="12066" max="12296" width="9.109375" style="22"/>
    <col min="12297" max="12297" width="2.109375" style="22" customWidth="1"/>
    <col min="12298" max="12298" width="14" style="22" customWidth="1"/>
    <col min="12299" max="12299" width="0.6640625" style="22" customWidth="1"/>
    <col min="12300" max="12300" width="17.109375" style="22" customWidth="1"/>
    <col min="12301" max="12301" width="1.109375" style="22" customWidth="1"/>
    <col min="12302" max="12302" width="18.33203125" style="22" customWidth="1"/>
    <col min="12303" max="12303" width="1" style="22" customWidth="1"/>
    <col min="12304" max="12304" width="27.5546875" style="22" customWidth="1"/>
    <col min="12305" max="12305" width="1" style="22" customWidth="1"/>
    <col min="12306" max="12306" width="12.6640625" style="22" customWidth="1"/>
    <col min="12307" max="12307" width="1.33203125" style="22" customWidth="1"/>
    <col min="12308" max="12308" width="11.44140625" style="22" customWidth="1"/>
    <col min="12309" max="12309" width="1" style="22" customWidth="1"/>
    <col min="12310" max="12310" width="10.44140625" style="22" customWidth="1"/>
    <col min="12311" max="12311" width="0.88671875" style="22" customWidth="1"/>
    <col min="12312" max="12312" width="14" style="22" customWidth="1"/>
    <col min="12313" max="12313" width="0.88671875" style="22" customWidth="1"/>
    <col min="12314" max="12314" width="10.44140625" style="22" customWidth="1"/>
    <col min="12315" max="12315" width="0.88671875" style="22" customWidth="1"/>
    <col min="12316" max="12316" width="14" style="22" customWidth="1"/>
    <col min="12317" max="12317" width="0.88671875" style="22" customWidth="1"/>
    <col min="12318" max="12318" width="16" style="22" customWidth="1"/>
    <col min="12319" max="12319" width="0.5546875" style="22" customWidth="1"/>
    <col min="12320" max="12320" width="9.44140625" style="22" bestFit="1" customWidth="1"/>
    <col min="12321" max="12321" width="1.109375" style="22" customWidth="1"/>
    <col min="12322" max="12552" width="9.109375" style="22"/>
    <col min="12553" max="12553" width="2.109375" style="22" customWidth="1"/>
    <col min="12554" max="12554" width="14" style="22" customWidth="1"/>
    <col min="12555" max="12555" width="0.6640625" style="22" customWidth="1"/>
    <col min="12556" max="12556" width="17.109375" style="22" customWidth="1"/>
    <col min="12557" max="12557" width="1.109375" style="22" customWidth="1"/>
    <col min="12558" max="12558" width="18.33203125" style="22" customWidth="1"/>
    <col min="12559" max="12559" width="1" style="22" customWidth="1"/>
    <col min="12560" max="12560" width="27.5546875" style="22" customWidth="1"/>
    <col min="12561" max="12561" width="1" style="22" customWidth="1"/>
    <col min="12562" max="12562" width="12.6640625" style="22" customWidth="1"/>
    <col min="12563" max="12563" width="1.33203125" style="22" customWidth="1"/>
    <col min="12564" max="12564" width="11.44140625" style="22" customWidth="1"/>
    <col min="12565" max="12565" width="1" style="22" customWidth="1"/>
    <col min="12566" max="12566" width="10.44140625" style="22" customWidth="1"/>
    <col min="12567" max="12567" width="0.88671875" style="22" customWidth="1"/>
    <col min="12568" max="12568" width="14" style="22" customWidth="1"/>
    <col min="12569" max="12569" width="0.88671875" style="22" customWidth="1"/>
    <col min="12570" max="12570" width="10.44140625" style="22" customWidth="1"/>
    <col min="12571" max="12571" width="0.88671875" style="22" customWidth="1"/>
    <col min="12572" max="12572" width="14" style="22" customWidth="1"/>
    <col min="12573" max="12573" width="0.88671875" style="22" customWidth="1"/>
    <col min="12574" max="12574" width="16" style="22" customWidth="1"/>
    <col min="12575" max="12575" width="0.5546875" style="22" customWidth="1"/>
    <col min="12576" max="12576" width="9.44140625" style="22" bestFit="1" customWidth="1"/>
    <col min="12577" max="12577" width="1.109375" style="22" customWidth="1"/>
    <col min="12578" max="12808" width="9.109375" style="22"/>
    <col min="12809" max="12809" width="2.109375" style="22" customWidth="1"/>
    <col min="12810" max="12810" width="14" style="22" customWidth="1"/>
    <col min="12811" max="12811" width="0.6640625" style="22" customWidth="1"/>
    <col min="12812" max="12812" width="17.109375" style="22" customWidth="1"/>
    <col min="12813" max="12813" width="1.109375" style="22" customWidth="1"/>
    <col min="12814" max="12814" width="18.33203125" style="22" customWidth="1"/>
    <col min="12815" max="12815" width="1" style="22" customWidth="1"/>
    <col min="12816" max="12816" width="27.5546875" style="22" customWidth="1"/>
    <col min="12817" max="12817" width="1" style="22" customWidth="1"/>
    <col min="12818" max="12818" width="12.6640625" style="22" customWidth="1"/>
    <col min="12819" max="12819" width="1.33203125" style="22" customWidth="1"/>
    <col min="12820" max="12820" width="11.44140625" style="22" customWidth="1"/>
    <col min="12821" max="12821" width="1" style="22" customWidth="1"/>
    <col min="12822" max="12822" width="10.44140625" style="22" customWidth="1"/>
    <col min="12823" max="12823" width="0.88671875" style="22" customWidth="1"/>
    <col min="12824" max="12824" width="14" style="22" customWidth="1"/>
    <col min="12825" max="12825" width="0.88671875" style="22" customWidth="1"/>
    <col min="12826" max="12826" width="10.44140625" style="22" customWidth="1"/>
    <col min="12827" max="12827" width="0.88671875" style="22" customWidth="1"/>
    <col min="12828" max="12828" width="14" style="22" customWidth="1"/>
    <col min="12829" max="12829" width="0.88671875" style="22" customWidth="1"/>
    <col min="12830" max="12830" width="16" style="22" customWidth="1"/>
    <col min="12831" max="12831" width="0.5546875" style="22" customWidth="1"/>
    <col min="12832" max="12832" width="9.44140625" style="22" bestFit="1" customWidth="1"/>
    <col min="12833" max="12833" width="1.109375" style="22" customWidth="1"/>
    <col min="12834" max="13064" width="9.109375" style="22"/>
    <col min="13065" max="13065" width="2.109375" style="22" customWidth="1"/>
    <col min="13066" max="13066" width="14" style="22" customWidth="1"/>
    <col min="13067" max="13067" width="0.6640625" style="22" customWidth="1"/>
    <col min="13068" max="13068" width="17.109375" style="22" customWidth="1"/>
    <col min="13069" max="13069" width="1.109375" style="22" customWidth="1"/>
    <col min="13070" max="13070" width="18.33203125" style="22" customWidth="1"/>
    <col min="13071" max="13071" width="1" style="22" customWidth="1"/>
    <col min="13072" max="13072" width="27.5546875" style="22" customWidth="1"/>
    <col min="13073" max="13073" width="1" style="22" customWidth="1"/>
    <col min="13074" max="13074" width="12.6640625" style="22" customWidth="1"/>
    <col min="13075" max="13075" width="1.33203125" style="22" customWidth="1"/>
    <col min="13076" max="13076" width="11.44140625" style="22" customWidth="1"/>
    <col min="13077" max="13077" width="1" style="22" customWidth="1"/>
    <col min="13078" max="13078" width="10.44140625" style="22" customWidth="1"/>
    <col min="13079" max="13079" width="0.88671875" style="22" customWidth="1"/>
    <col min="13080" max="13080" width="14" style="22" customWidth="1"/>
    <col min="13081" max="13081" width="0.88671875" style="22" customWidth="1"/>
    <col min="13082" max="13082" width="10.44140625" style="22" customWidth="1"/>
    <col min="13083" max="13083" width="0.88671875" style="22" customWidth="1"/>
    <col min="13084" max="13084" width="14" style="22" customWidth="1"/>
    <col min="13085" max="13085" width="0.88671875" style="22" customWidth="1"/>
    <col min="13086" max="13086" width="16" style="22" customWidth="1"/>
    <col min="13087" max="13087" width="0.5546875" style="22" customWidth="1"/>
    <col min="13088" max="13088" width="9.44140625" style="22" bestFit="1" customWidth="1"/>
    <col min="13089" max="13089" width="1.109375" style="22" customWidth="1"/>
    <col min="13090" max="13320" width="9.109375" style="22"/>
    <col min="13321" max="13321" width="2.109375" style="22" customWidth="1"/>
    <col min="13322" max="13322" width="14" style="22" customWidth="1"/>
    <col min="13323" max="13323" width="0.6640625" style="22" customWidth="1"/>
    <col min="13324" max="13324" width="17.109375" style="22" customWidth="1"/>
    <col min="13325" max="13325" width="1.109375" style="22" customWidth="1"/>
    <col min="13326" max="13326" width="18.33203125" style="22" customWidth="1"/>
    <col min="13327" max="13327" width="1" style="22" customWidth="1"/>
    <col min="13328" max="13328" width="27.5546875" style="22" customWidth="1"/>
    <col min="13329" max="13329" width="1" style="22" customWidth="1"/>
    <col min="13330" max="13330" width="12.6640625" style="22" customWidth="1"/>
    <col min="13331" max="13331" width="1.33203125" style="22" customWidth="1"/>
    <col min="13332" max="13332" width="11.44140625" style="22" customWidth="1"/>
    <col min="13333" max="13333" width="1" style="22" customWidth="1"/>
    <col min="13334" max="13334" width="10.44140625" style="22" customWidth="1"/>
    <col min="13335" max="13335" width="0.88671875" style="22" customWidth="1"/>
    <col min="13336" max="13336" width="14" style="22" customWidth="1"/>
    <col min="13337" max="13337" width="0.88671875" style="22" customWidth="1"/>
    <col min="13338" max="13338" width="10.44140625" style="22" customWidth="1"/>
    <col min="13339" max="13339" width="0.88671875" style="22" customWidth="1"/>
    <col min="13340" max="13340" width="14" style="22" customWidth="1"/>
    <col min="13341" max="13341" width="0.88671875" style="22" customWidth="1"/>
    <col min="13342" max="13342" width="16" style="22" customWidth="1"/>
    <col min="13343" max="13343" width="0.5546875" style="22" customWidth="1"/>
    <col min="13344" max="13344" width="9.44140625" style="22" bestFit="1" customWidth="1"/>
    <col min="13345" max="13345" width="1.109375" style="22" customWidth="1"/>
    <col min="13346" max="13576" width="9.109375" style="22"/>
    <col min="13577" max="13577" width="2.109375" style="22" customWidth="1"/>
    <col min="13578" max="13578" width="14" style="22" customWidth="1"/>
    <col min="13579" max="13579" width="0.6640625" style="22" customWidth="1"/>
    <col min="13580" max="13580" width="17.109375" style="22" customWidth="1"/>
    <col min="13581" max="13581" width="1.109375" style="22" customWidth="1"/>
    <col min="13582" max="13582" width="18.33203125" style="22" customWidth="1"/>
    <col min="13583" max="13583" width="1" style="22" customWidth="1"/>
    <col min="13584" max="13584" width="27.5546875" style="22" customWidth="1"/>
    <col min="13585" max="13585" width="1" style="22" customWidth="1"/>
    <col min="13586" max="13586" width="12.6640625" style="22" customWidth="1"/>
    <col min="13587" max="13587" width="1.33203125" style="22" customWidth="1"/>
    <col min="13588" max="13588" width="11.44140625" style="22" customWidth="1"/>
    <col min="13589" max="13589" width="1" style="22" customWidth="1"/>
    <col min="13590" max="13590" width="10.44140625" style="22" customWidth="1"/>
    <col min="13591" max="13591" width="0.88671875" style="22" customWidth="1"/>
    <col min="13592" max="13592" width="14" style="22" customWidth="1"/>
    <col min="13593" max="13593" width="0.88671875" style="22" customWidth="1"/>
    <col min="13594" max="13594" width="10.44140625" style="22" customWidth="1"/>
    <col min="13595" max="13595" width="0.88671875" style="22" customWidth="1"/>
    <col min="13596" max="13596" width="14" style="22" customWidth="1"/>
    <col min="13597" max="13597" width="0.88671875" style="22" customWidth="1"/>
    <col min="13598" max="13598" width="16" style="22" customWidth="1"/>
    <col min="13599" max="13599" width="0.5546875" style="22" customWidth="1"/>
    <col min="13600" max="13600" width="9.44140625" style="22" bestFit="1" customWidth="1"/>
    <col min="13601" max="13601" width="1.109375" style="22" customWidth="1"/>
    <col min="13602" max="13832" width="9.109375" style="22"/>
    <col min="13833" max="13833" width="2.109375" style="22" customWidth="1"/>
    <col min="13834" max="13834" width="14" style="22" customWidth="1"/>
    <col min="13835" max="13835" width="0.6640625" style="22" customWidth="1"/>
    <col min="13836" max="13836" width="17.109375" style="22" customWidth="1"/>
    <col min="13837" max="13837" width="1.109375" style="22" customWidth="1"/>
    <col min="13838" max="13838" width="18.33203125" style="22" customWidth="1"/>
    <col min="13839" max="13839" width="1" style="22" customWidth="1"/>
    <col min="13840" max="13840" width="27.5546875" style="22" customWidth="1"/>
    <col min="13841" max="13841" width="1" style="22" customWidth="1"/>
    <col min="13842" max="13842" width="12.6640625" style="22" customWidth="1"/>
    <col min="13843" max="13843" width="1.33203125" style="22" customWidth="1"/>
    <col min="13844" max="13844" width="11.44140625" style="22" customWidth="1"/>
    <col min="13845" max="13845" width="1" style="22" customWidth="1"/>
    <col min="13846" max="13846" width="10.44140625" style="22" customWidth="1"/>
    <col min="13847" max="13847" width="0.88671875" style="22" customWidth="1"/>
    <col min="13848" max="13848" width="14" style="22" customWidth="1"/>
    <col min="13849" max="13849" width="0.88671875" style="22" customWidth="1"/>
    <col min="13850" max="13850" width="10.44140625" style="22" customWidth="1"/>
    <col min="13851" max="13851" width="0.88671875" style="22" customWidth="1"/>
    <col min="13852" max="13852" width="14" style="22" customWidth="1"/>
    <col min="13853" max="13853" width="0.88671875" style="22" customWidth="1"/>
    <col min="13854" max="13854" width="16" style="22" customWidth="1"/>
    <col min="13855" max="13855" width="0.5546875" style="22" customWidth="1"/>
    <col min="13856" max="13856" width="9.44140625" style="22" bestFit="1" customWidth="1"/>
    <col min="13857" max="13857" width="1.109375" style="22" customWidth="1"/>
    <col min="13858" max="14088" width="9.109375" style="22"/>
    <col min="14089" max="14089" width="2.109375" style="22" customWidth="1"/>
    <col min="14090" max="14090" width="14" style="22" customWidth="1"/>
    <col min="14091" max="14091" width="0.6640625" style="22" customWidth="1"/>
    <col min="14092" max="14092" width="17.109375" style="22" customWidth="1"/>
    <col min="14093" max="14093" width="1.109375" style="22" customWidth="1"/>
    <col min="14094" max="14094" width="18.33203125" style="22" customWidth="1"/>
    <col min="14095" max="14095" width="1" style="22" customWidth="1"/>
    <col min="14096" max="14096" width="27.5546875" style="22" customWidth="1"/>
    <col min="14097" max="14097" width="1" style="22" customWidth="1"/>
    <col min="14098" max="14098" width="12.6640625" style="22" customWidth="1"/>
    <col min="14099" max="14099" width="1.33203125" style="22" customWidth="1"/>
    <col min="14100" max="14100" width="11.44140625" style="22" customWidth="1"/>
    <col min="14101" max="14101" width="1" style="22" customWidth="1"/>
    <col min="14102" max="14102" width="10.44140625" style="22" customWidth="1"/>
    <col min="14103" max="14103" width="0.88671875" style="22" customWidth="1"/>
    <col min="14104" max="14104" width="14" style="22" customWidth="1"/>
    <col min="14105" max="14105" width="0.88671875" style="22" customWidth="1"/>
    <col min="14106" max="14106" width="10.44140625" style="22" customWidth="1"/>
    <col min="14107" max="14107" width="0.88671875" style="22" customWidth="1"/>
    <col min="14108" max="14108" width="14" style="22" customWidth="1"/>
    <col min="14109" max="14109" width="0.88671875" style="22" customWidth="1"/>
    <col min="14110" max="14110" width="16" style="22" customWidth="1"/>
    <col min="14111" max="14111" width="0.5546875" style="22" customWidth="1"/>
    <col min="14112" max="14112" width="9.44140625" style="22" bestFit="1" customWidth="1"/>
    <col min="14113" max="14113" width="1.109375" style="22" customWidth="1"/>
    <col min="14114" max="14344" width="9.109375" style="22"/>
    <col min="14345" max="14345" width="2.109375" style="22" customWidth="1"/>
    <col min="14346" max="14346" width="14" style="22" customWidth="1"/>
    <col min="14347" max="14347" width="0.6640625" style="22" customWidth="1"/>
    <col min="14348" max="14348" width="17.109375" style="22" customWidth="1"/>
    <col min="14349" max="14349" width="1.109375" style="22" customWidth="1"/>
    <col min="14350" max="14350" width="18.33203125" style="22" customWidth="1"/>
    <col min="14351" max="14351" width="1" style="22" customWidth="1"/>
    <col min="14352" max="14352" width="27.5546875" style="22" customWidth="1"/>
    <col min="14353" max="14353" width="1" style="22" customWidth="1"/>
    <col min="14354" max="14354" width="12.6640625" style="22" customWidth="1"/>
    <col min="14355" max="14355" width="1.33203125" style="22" customWidth="1"/>
    <col min="14356" max="14356" width="11.44140625" style="22" customWidth="1"/>
    <col min="14357" max="14357" width="1" style="22" customWidth="1"/>
    <col min="14358" max="14358" width="10.44140625" style="22" customWidth="1"/>
    <col min="14359" max="14359" width="0.88671875" style="22" customWidth="1"/>
    <col min="14360" max="14360" width="14" style="22" customWidth="1"/>
    <col min="14361" max="14361" width="0.88671875" style="22" customWidth="1"/>
    <col min="14362" max="14362" width="10.44140625" style="22" customWidth="1"/>
    <col min="14363" max="14363" width="0.88671875" style="22" customWidth="1"/>
    <col min="14364" max="14364" width="14" style="22" customWidth="1"/>
    <col min="14365" max="14365" width="0.88671875" style="22" customWidth="1"/>
    <col min="14366" max="14366" width="16" style="22" customWidth="1"/>
    <col min="14367" max="14367" width="0.5546875" style="22" customWidth="1"/>
    <col min="14368" max="14368" width="9.44140625" style="22" bestFit="1" customWidth="1"/>
    <col min="14369" max="14369" width="1.109375" style="22" customWidth="1"/>
    <col min="14370" max="14600" width="9.109375" style="22"/>
    <col min="14601" max="14601" width="2.109375" style="22" customWidth="1"/>
    <col min="14602" max="14602" width="14" style="22" customWidth="1"/>
    <col min="14603" max="14603" width="0.6640625" style="22" customWidth="1"/>
    <col min="14604" max="14604" width="17.109375" style="22" customWidth="1"/>
    <col min="14605" max="14605" width="1.109375" style="22" customWidth="1"/>
    <col min="14606" max="14606" width="18.33203125" style="22" customWidth="1"/>
    <col min="14607" max="14607" width="1" style="22" customWidth="1"/>
    <col min="14608" max="14608" width="27.5546875" style="22" customWidth="1"/>
    <col min="14609" max="14609" width="1" style="22" customWidth="1"/>
    <col min="14610" max="14610" width="12.6640625" style="22" customWidth="1"/>
    <col min="14611" max="14611" width="1.33203125" style="22" customWidth="1"/>
    <col min="14612" max="14612" width="11.44140625" style="22" customWidth="1"/>
    <col min="14613" max="14613" width="1" style="22" customWidth="1"/>
    <col min="14614" max="14614" width="10.44140625" style="22" customWidth="1"/>
    <col min="14615" max="14615" width="0.88671875" style="22" customWidth="1"/>
    <col min="14616" max="14616" width="14" style="22" customWidth="1"/>
    <col min="14617" max="14617" width="0.88671875" style="22" customWidth="1"/>
    <col min="14618" max="14618" width="10.44140625" style="22" customWidth="1"/>
    <col min="14619" max="14619" width="0.88671875" style="22" customWidth="1"/>
    <col min="14620" max="14620" width="14" style="22" customWidth="1"/>
    <col min="14621" max="14621" width="0.88671875" style="22" customWidth="1"/>
    <col min="14622" max="14622" width="16" style="22" customWidth="1"/>
    <col min="14623" max="14623" width="0.5546875" style="22" customWidth="1"/>
    <col min="14624" max="14624" width="9.44140625" style="22" bestFit="1" customWidth="1"/>
    <col min="14625" max="14625" width="1.109375" style="22" customWidth="1"/>
    <col min="14626" max="14856" width="9.109375" style="22"/>
    <col min="14857" max="14857" width="2.109375" style="22" customWidth="1"/>
    <col min="14858" max="14858" width="14" style="22" customWidth="1"/>
    <col min="14859" max="14859" width="0.6640625" style="22" customWidth="1"/>
    <col min="14860" max="14860" width="17.109375" style="22" customWidth="1"/>
    <col min="14861" max="14861" width="1.109375" style="22" customWidth="1"/>
    <col min="14862" max="14862" width="18.33203125" style="22" customWidth="1"/>
    <col min="14863" max="14863" width="1" style="22" customWidth="1"/>
    <col min="14864" max="14864" width="27.5546875" style="22" customWidth="1"/>
    <col min="14865" max="14865" width="1" style="22" customWidth="1"/>
    <col min="14866" max="14866" width="12.6640625" style="22" customWidth="1"/>
    <col min="14867" max="14867" width="1.33203125" style="22" customWidth="1"/>
    <col min="14868" max="14868" width="11.44140625" style="22" customWidth="1"/>
    <col min="14869" max="14869" width="1" style="22" customWidth="1"/>
    <col min="14870" max="14870" width="10.44140625" style="22" customWidth="1"/>
    <col min="14871" max="14871" width="0.88671875" style="22" customWidth="1"/>
    <col min="14872" max="14872" width="14" style="22" customWidth="1"/>
    <col min="14873" max="14873" width="0.88671875" style="22" customWidth="1"/>
    <col min="14874" max="14874" width="10.44140625" style="22" customWidth="1"/>
    <col min="14875" max="14875" width="0.88671875" style="22" customWidth="1"/>
    <col min="14876" max="14876" width="14" style="22" customWidth="1"/>
    <col min="14877" max="14877" width="0.88671875" style="22" customWidth="1"/>
    <col min="14878" max="14878" width="16" style="22" customWidth="1"/>
    <col min="14879" max="14879" width="0.5546875" style="22" customWidth="1"/>
    <col min="14880" max="14880" width="9.44140625" style="22" bestFit="1" customWidth="1"/>
    <col min="14881" max="14881" width="1.109375" style="22" customWidth="1"/>
    <col min="14882" max="15112" width="9.109375" style="22"/>
    <col min="15113" max="15113" width="2.109375" style="22" customWidth="1"/>
    <col min="15114" max="15114" width="14" style="22" customWidth="1"/>
    <col min="15115" max="15115" width="0.6640625" style="22" customWidth="1"/>
    <col min="15116" max="15116" width="17.109375" style="22" customWidth="1"/>
    <col min="15117" max="15117" width="1.109375" style="22" customWidth="1"/>
    <col min="15118" max="15118" width="18.33203125" style="22" customWidth="1"/>
    <col min="15119" max="15119" width="1" style="22" customWidth="1"/>
    <col min="15120" max="15120" width="27.5546875" style="22" customWidth="1"/>
    <col min="15121" max="15121" width="1" style="22" customWidth="1"/>
    <col min="15122" max="15122" width="12.6640625" style="22" customWidth="1"/>
    <col min="15123" max="15123" width="1.33203125" style="22" customWidth="1"/>
    <col min="15124" max="15124" width="11.44140625" style="22" customWidth="1"/>
    <col min="15125" max="15125" width="1" style="22" customWidth="1"/>
    <col min="15126" max="15126" width="10.44140625" style="22" customWidth="1"/>
    <col min="15127" max="15127" width="0.88671875" style="22" customWidth="1"/>
    <col min="15128" max="15128" width="14" style="22" customWidth="1"/>
    <col min="15129" max="15129" width="0.88671875" style="22" customWidth="1"/>
    <col min="15130" max="15130" width="10.44140625" style="22" customWidth="1"/>
    <col min="15131" max="15131" width="0.88671875" style="22" customWidth="1"/>
    <col min="15132" max="15132" width="14" style="22" customWidth="1"/>
    <col min="15133" max="15133" width="0.88671875" style="22" customWidth="1"/>
    <col min="15134" max="15134" width="16" style="22" customWidth="1"/>
    <col min="15135" max="15135" width="0.5546875" style="22" customWidth="1"/>
    <col min="15136" max="15136" width="9.44140625" style="22" bestFit="1" customWidth="1"/>
    <col min="15137" max="15137" width="1.109375" style="22" customWidth="1"/>
    <col min="15138" max="15368" width="9.109375" style="22"/>
    <col min="15369" max="15369" width="2.109375" style="22" customWidth="1"/>
    <col min="15370" max="15370" width="14" style="22" customWidth="1"/>
    <col min="15371" max="15371" width="0.6640625" style="22" customWidth="1"/>
    <col min="15372" max="15372" width="17.109375" style="22" customWidth="1"/>
    <col min="15373" max="15373" width="1.109375" style="22" customWidth="1"/>
    <col min="15374" max="15374" width="18.33203125" style="22" customWidth="1"/>
    <col min="15375" max="15375" width="1" style="22" customWidth="1"/>
    <col min="15376" max="15376" width="27.5546875" style="22" customWidth="1"/>
    <col min="15377" max="15377" width="1" style="22" customWidth="1"/>
    <col min="15378" max="15378" width="12.6640625" style="22" customWidth="1"/>
    <col min="15379" max="15379" width="1.33203125" style="22" customWidth="1"/>
    <col min="15380" max="15380" width="11.44140625" style="22" customWidth="1"/>
    <col min="15381" max="15381" width="1" style="22" customWidth="1"/>
    <col min="15382" max="15382" width="10.44140625" style="22" customWidth="1"/>
    <col min="15383" max="15383" width="0.88671875" style="22" customWidth="1"/>
    <col min="15384" max="15384" width="14" style="22" customWidth="1"/>
    <col min="15385" max="15385" width="0.88671875" style="22" customWidth="1"/>
    <col min="15386" max="15386" width="10.44140625" style="22" customWidth="1"/>
    <col min="15387" max="15387" width="0.88671875" style="22" customWidth="1"/>
    <col min="15388" max="15388" width="14" style="22" customWidth="1"/>
    <col min="15389" max="15389" width="0.88671875" style="22" customWidth="1"/>
    <col min="15390" max="15390" width="16" style="22" customWidth="1"/>
    <col min="15391" max="15391" width="0.5546875" style="22" customWidth="1"/>
    <col min="15392" max="15392" width="9.44140625" style="22" bestFit="1" customWidth="1"/>
    <col min="15393" max="15393" width="1.109375" style="22" customWidth="1"/>
    <col min="15394" max="15624" width="9.109375" style="22"/>
    <col min="15625" max="15625" width="2.109375" style="22" customWidth="1"/>
    <col min="15626" max="15626" width="14" style="22" customWidth="1"/>
    <col min="15627" max="15627" width="0.6640625" style="22" customWidth="1"/>
    <col min="15628" max="15628" width="17.109375" style="22" customWidth="1"/>
    <col min="15629" max="15629" width="1.109375" style="22" customWidth="1"/>
    <col min="15630" max="15630" width="18.33203125" style="22" customWidth="1"/>
    <col min="15631" max="15631" width="1" style="22" customWidth="1"/>
    <col min="15632" max="15632" width="27.5546875" style="22" customWidth="1"/>
    <col min="15633" max="15633" width="1" style="22" customWidth="1"/>
    <col min="15634" max="15634" width="12.6640625" style="22" customWidth="1"/>
    <col min="15635" max="15635" width="1.33203125" style="22" customWidth="1"/>
    <col min="15636" max="15636" width="11.44140625" style="22" customWidth="1"/>
    <col min="15637" max="15637" width="1" style="22" customWidth="1"/>
    <col min="15638" max="15638" width="10.44140625" style="22" customWidth="1"/>
    <col min="15639" max="15639" width="0.88671875" style="22" customWidth="1"/>
    <col min="15640" max="15640" width="14" style="22" customWidth="1"/>
    <col min="15641" max="15641" width="0.88671875" style="22" customWidth="1"/>
    <col min="15642" max="15642" width="10.44140625" style="22" customWidth="1"/>
    <col min="15643" max="15643" width="0.88671875" style="22" customWidth="1"/>
    <col min="15644" max="15644" width="14" style="22" customWidth="1"/>
    <col min="15645" max="15645" width="0.88671875" style="22" customWidth="1"/>
    <col min="15646" max="15646" width="16" style="22" customWidth="1"/>
    <col min="15647" max="15647" width="0.5546875" style="22" customWidth="1"/>
    <col min="15648" max="15648" width="9.44140625" style="22" bestFit="1" customWidth="1"/>
    <col min="15649" max="15649" width="1.109375" style="22" customWidth="1"/>
    <col min="15650" max="15880" width="9.109375" style="22"/>
    <col min="15881" max="15881" width="2.109375" style="22" customWidth="1"/>
    <col min="15882" max="15882" width="14" style="22" customWidth="1"/>
    <col min="15883" max="15883" width="0.6640625" style="22" customWidth="1"/>
    <col min="15884" max="15884" width="17.109375" style="22" customWidth="1"/>
    <col min="15885" max="15885" width="1.109375" style="22" customWidth="1"/>
    <col min="15886" max="15886" width="18.33203125" style="22" customWidth="1"/>
    <col min="15887" max="15887" width="1" style="22" customWidth="1"/>
    <col min="15888" max="15888" width="27.5546875" style="22" customWidth="1"/>
    <col min="15889" max="15889" width="1" style="22" customWidth="1"/>
    <col min="15890" max="15890" width="12.6640625" style="22" customWidth="1"/>
    <col min="15891" max="15891" width="1.33203125" style="22" customWidth="1"/>
    <col min="15892" max="15892" width="11.44140625" style="22" customWidth="1"/>
    <col min="15893" max="15893" width="1" style="22" customWidth="1"/>
    <col min="15894" max="15894" width="10.44140625" style="22" customWidth="1"/>
    <col min="15895" max="15895" width="0.88671875" style="22" customWidth="1"/>
    <col min="15896" max="15896" width="14" style="22" customWidth="1"/>
    <col min="15897" max="15897" width="0.88671875" style="22" customWidth="1"/>
    <col min="15898" max="15898" width="10.44140625" style="22" customWidth="1"/>
    <col min="15899" max="15899" width="0.88671875" style="22" customWidth="1"/>
    <col min="15900" max="15900" width="14" style="22" customWidth="1"/>
    <col min="15901" max="15901" width="0.88671875" style="22" customWidth="1"/>
    <col min="15902" max="15902" width="16" style="22" customWidth="1"/>
    <col min="15903" max="15903" width="0.5546875" style="22" customWidth="1"/>
    <col min="15904" max="15904" width="9.44140625" style="22" bestFit="1" customWidth="1"/>
    <col min="15905" max="15905" width="1.109375" style="22" customWidth="1"/>
    <col min="15906" max="16136" width="9.109375" style="22"/>
    <col min="16137" max="16137" width="2.109375" style="22" customWidth="1"/>
    <col min="16138" max="16138" width="14" style="22" customWidth="1"/>
    <col min="16139" max="16139" width="0.6640625" style="22" customWidth="1"/>
    <col min="16140" max="16140" width="17.109375" style="22" customWidth="1"/>
    <col min="16141" max="16141" width="1.109375" style="22" customWidth="1"/>
    <col min="16142" max="16142" width="18.33203125" style="22" customWidth="1"/>
    <col min="16143" max="16143" width="1" style="22" customWidth="1"/>
    <col min="16144" max="16144" width="27.5546875" style="22" customWidth="1"/>
    <col min="16145" max="16145" width="1" style="22" customWidth="1"/>
    <col min="16146" max="16146" width="12.6640625" style="22" customWidth="1"/>
    <col min="16147" max="16147" width="1.33203125" style="22" customWidth="1"/>
    <col min="16148" max="16148" width="11.44140625" style="22" customWidth="1"/>
    <col min="16149" max="16149" width="1" style="22" customWidth="1"/>
    <col min="16150" max="16150" width="10.44140625" style="22" customWidth="1"/>
    <col min="16151" max="16151" width="0.88671875" style="22" customWidth="1"/>
    <col min="16152" max="16152" width="14" style="22" customWidth="1"/>
    <col min="16153" max="16153" width="0.88671875" style="22" customWidth="1"/>
    <col min="16154" max="16154" width="10.44140625" style="22" customWidth="1"/>
    <col min="16155" max="16155" width="0.88671875" style="22" customWidth="1"/>
    <col min="16156" max="16156" width="14" style="22" customWidth="1"/>
    <col min="16157" max="16157" width="0.88671875" style="22" customWidth="1"/>
    <col min="16158" max="16158" width="16" style="22" customWidth="1"/>
    <col min="16159" max="16159" width="0.5546875" style="22" customWidth="1"/>
    <col min="16160" max="16160" width="9.44140625" style="22" bestFit="1" customWidth="1"/>
    <col min="16161" max="16161" width="1.109375" style="22" customWidth="1"/>
    <col min="16162" max="16384" width="9.109375" style="22"/>
  </cols>
  <sheetData>
    <row r="1" spans="1:38" ht="36" x14ac:dyDescent="0.25">
      <c r="A1" s="1"/>
      <c r="B1" s="271" t="s">
        <v>9</v>
      </c>
      <c r="C1" s="1"/>
      <c r="D1" s="271" t="s">
        <v>40</v>
      </c>
      <c r="E1" s="1"/>
      <c r="F1" s="272" t="s">
        <v>0</v>
      </c>
      <c r="G1" s="271"/>
      <c r="H1" s="272" t="s">
        <v>1</v>
      </c>
      <c r="I1" s="271"/>
      <c r="J1" s="273" t="s">
        <v>4</v>
      </c>
      <c r="K1" s="1"/>
      <c r="L1" s="271" t="s">
        <v>2</v>
      </c>
      <c r="M1" s="1"/>
      <c r="N1" s="271" t="s">
        <v>7</v>
      </c>
      <c r="O1" s="1"/>
      <c r="P1" s="271" t="s">
        <v>8</v>
      </c>
      <c r="Q1" s="271" t="s">
        <v>24</v>
      </c>
      <c r="R1" s="274" t="s">
        <v>5</v>
      </c>
      <c r="S1" s="1"/>
      <c r="T1" s="273" t="s">
        <v>6</v>
      </c>
      <c r="U1" s="1"/>
      <c r="V1" s="275" t="s">
        <v>592</v>
      </c>
      <c r="W1" s="1"/>
      <c r="X1" s="276" t="s">
        <v>593</v>
      </c>
      <c r="Y1" s="1"/>
      <c r="Z1" s="275" t="s">
        <v>719</v>
      </c>
      <c r="AA1" s="277"/>
      <c r="AB1" s="276" t="s">
        <v>720</v>
      </c>
      <c r="AC1" s="277"/>
      <c r="AD1" s="275" t="s">
        <v>721</v>
      </c>
      <c r="AE1" s="277"/>
      <c r="AF1" s="276" t="s">
        <v>722</v>
      </c>
      <c r="AG1" s="275" t="s">
        <v>723</v>
      </c>
      <c r="AH1" s="277"/>
      <c r="AI1" s="276" t="s">
        <v>724</v>
      </c>
      <c r="AJ1" s="22" t="s">
        <v>25</v>
      </c>
      <c r="AL1" s="22" t="s">
        <v>3</v>
      </c>
    </row>
    <row r="2" spans="1:38" ht="159.6" customHeight="1" x14ac:dyDescent="0.2">
      <c r="B2" s="159" t="s">
        <v>32</v>
      </c>
      <c r="C2" s="160"/>
      <c r="D2" s="161" t="s">
        <v>39</v>
      </c>
      <c r="E2" s="203"/>
      <c r="F2" s="162" t="s">
        <v>37</v>
      </c>
      <c r="G2" s="161"/>
      <c r="H2" s="162" t="s">
        <v>536</v>
      </c>
      <c r="I2" s="161"/>
      <c r="J2" s="161" t="s">
        <v>730</v>
      </c>
      <c r="K2" s="203"/>
      <c r="L2" s="161" t="s">
        <v>33</v>
      </c>
      <c r="M2" s="203"/>
      <c r="N2" s="161" t="s">
        <v>39</v>
      </c>
      <c r="O2" s="203"/>
      <c r="P2" s="203">
        <v>2004</v>
      </c>
      <c r="Q2" s="160" t="s">
        <v>34</v>
      </c>
      <c r="R2" s="179"/>
      <c r="S2" s="203"/>
      <c r="T2" s="179">
        <v>17000000</v>
      </c>
      <c r="U2" s="203"/>
      <c r="V2" s="203"/>
      <c r="W2" s="203"/>
      <c r="X2" s="179">
        <v>17194581</v>
      </c>
      <c r="Y2" s="203"/>
      <c r="Z2" s="179"/>
      <c r="AA2" s="203"/>
      <c r="AB2" s="179">
        <v>17443114.859999999</v>
      </c>
      <c r="AC2" s="203"/>
      <c r="AD2" s="203"/>
      <c r="AE2" s="203"/>
      <c r="AF2" s="179">
        <v>17319283.120000001</v>
      </c>
      <c r="AG2" s="203"/>
      <c r="AH2" s="203"/>
      <c r="AI2" s="179">
        <v>26166213</v>
      </c>
      <c r="AJ2" s="22" t="s">
        <v>36</v>
      </c>
      <c r="AL2" s="22" t="s">
        <v>35</v>
      </c>
    </row>
    <row r="3" spans="1:38" ht="111" customHeight="1" x14ac:dyDescent="0.2">
      <c r="A3" s="279"/>
      <c r="B3" s="278" t="s">
        <v>32</v>
      </c>
      <c r="C3" s="279"/>
      <c r="D3" s="280" t="s">
        <v>530</v>
      </c>
      <c r="E3" s="281"/>
      <c r="F3" s="282" t="s">
        <v>43</v>
      </c>
      <c r="G3" s="280"/>
      <c r="H3" s="282" t="s">
        <v>44</v>
      </c>
      <c r="I3" s="280"/>
      <c r="J3" s="280" t="s">
        <v>47</v>
      </c>
      <c r="K3" s="281"/>
      <c r="L3" s="280" t="s">
        <v>45</v>
      </c>
      <c r="M3" s="281"/>
      <c r="N3" s="280" t="s">
        <v>530</v>
      </c>
      <c r="O3" s="281"/>
      <c r="P3" s="281"/>
      <c r="Q3" s="279" t="s">
        <v>46</v>
      </c>
      <c r="R3" s="281">
        <v>1</v>
      </c>
      <c r="S3" s="281"/>
      <c r="T3" s="283">
        <v>220000</v>
      </c>
      <c r="U3" s="281"/>
      <c r="V3" s="281"/>
      <c r="W3" s="281"/>
      <c r="X3" s="283">
        <v>590452</v>
      </c>
      <c r="Y3" s="281"/>
      <c r="Z3" s="281"/>
      <c r="AA3" s="281"/>
      <c r="AB3" s="283"/>
      <c r="AC3" s="281"/>
      <c r="AD3" s="281"/>
      <c r="AE3" s="281"/>
      <c r="AF3" s="283"/>
      <c r="AG3" s="281"/>
      <c r="AH3" s="281"/>
      <c r="AI3" s="283"/>
      <c r="AJ3" s="22" t="s">
        <v>537</v>
      </c>
      <c r="AL3" s="22" t="s">
        <v>48</v>
      </c>
    </row>
    <row r="4" spans="1:38" s="58" customFormat="1" ht="24" customHeight="1" x14ac:dyDescent="0.25">
      <c r="A4" s="180"/>
      <c r="B4" s="341" t="s">
        <v>591</v>
      </c>
      <c r="C4" s="342"/>
      <c r="D4" s="342"/>
      <c r="E4" s="181"/>
      <c r="F4" s="182"/>
      <c r="G4" s="183"/>
      <c r="H4" s="182"/>
      <c r="I4" s="183"/>
      <c r="J4" s="183"/>
      <c r="K4" s="181"/>
      <c r="L4" s="183"/>
      <c r="M4" s="181"/>
      <c r="N4" s="181"/>
      <c r="O4" s="181"/>
      <c r="P4" s="181"/>
      <c r="Q4" s="180"/>
      <c r="R4" s="181"/>
      <c r="S4" s="181"/>
      <c r="T4" s="184">
        <f>SUM(T2:T3)</f>
        <v>17220000</v>
      </c>
      <c r="U4" s="181"/>
      <c r="V4" s="203"/>
      <c r="W4" s="181"/>
      <c r="X4" s="184">
        <f>SUM(X2:X3)</f>
        <v>17785033</v>
      </c>
      <c r="Y4" s="181"/>
      <c r="Z4" s="181"/>
      <c r="AA4" s="181"/>
      <c r="AB4" s="184">
        <f>AB2</f>
        <v>17443114.859999999</v>
      </c>
      <c r="AC4" s="181"/>
      <c r="AD4" s="203"/>
      <c r="AE4" s="181"/>
      <c r="AF4" s="184">
        <f>AF2</f>
        <v>17319283.120000001</v>
      </c>
      <c r="AG4" s="203"/>
      <c r="AH4" s="181"/>
      <c r="AI4" s="184">
        <f>SUM(AI2:AI3)</f>
        <v>26166213</v>
      </c>
    </row>
    <row r="5" spans="1:38" s="32" customFormat="1" ht="57.6" customHeight="1" x14ac:dyDescent="0.2">
      <c r="A5" s="27"/>
      <c r="B5" s="343" t="s">
        <v>797</v>
      </c>
      <c r="C5" s="343"/>
      <c r="D5" s="343"/>
      <c r="E5" s="343"/>
      <c r="F5" s="343"/>
      <c r="G5" s="343"/>
      <c r="H5" s="343"/>
      <c r="I5" s="29"/>
      <c r="J5" s="29"/>
      <c r="K5" s="30"/>
      <c r="L5" s="29"/>
      <c r="M5" s="30"/>
      <c r="N5" s="30"/>
      <c r="O5" s="30"/>
      <c r="P5" s="30"/>
      <c r="R5" s="30"/>
      <c r="S5" s="30"/>
      <c r="T5" s="72"/>
      <c r="U5" s="30"/>
      <c r="V5" s="30"/>
      <c r="W5" s="30"/>
      <c r="X5" s="72"/>
      <c r="Y5" s="30"/>
      <c r="Z5" s="166"/>
      <c r="AA5" s="166"/>
      <c r="AB5" s="175"/>
      <c r="AC5" s="166"/>
      <c r="AD5" s="166"/>
      <c r="AE5" s="166"/>
      <c r="AF5" s="175"/>
      <c r="AG5" s="166"/>
      <c r="AH5" s="166"/>
      <c r="AI5" s="175"/>
    </row>
    <row r="6" spans="1:38" s="133" customFormat="1" ht="19.8" customHeight="1" x14ac:dyDescent="0.25">
      <c r="B6" s="134"/>
      <c r="D6" s="135"/>
      <c r="E6" s="136"/>
      <c r="F6" s="137"/>
      <c r="G6" s="135"/>
      <c r="H6" s="137"/>
      <c r="I6" s="135"/>
      <c r="J6" s="135"/>
      <c r="K6" s="136"/>
      <c r="L6" s="136"/>
      <c r="M6" s="136"/>
      <c r="N6" s="136"/>
      <c r="O6" s="136"/>
      <c r="P6" s="136"/>
      <c r="R6" s="136"/>
      <c r="S6" s="136"/>
      <c r="T6" s="138"/>
      <c r="U6" s="136"/>
      <c r="V6" s="136"/>
      <c r="W6" s="136"/>
      <c r="X6" s="136"/>
      <c r="Y6" s="136"/>
      <c r="Z6" s="213"/>
      <c r="AA6" s="213"/>
      <c r="AB6" s="215"/>
      <c r="AC6" s="213"/>
      <c r="AD6" s="213"/>
      <c r="AE6" s="213"/>
      <c r="AF6" s="213"/>
      <c r="AG6" s="213"/>
      <c r="AH6" s="213"/>
      <c r="AI6" s="213"/>
    </row>
    <row r="7" spans="1:38" s="32" customFormat="1" x14ac:dyDescent="0.2">
      <c r="A7" s="27"/>
      <c r="B7" s="28"/>
      <c r="C7" s="27"/>
      <c r="D7" s="29"/>
      <c r="E7" s="30"/>
      <c r="F7" s="31"/>
      <c r="G7" s="29"/>
      <c r="H7" s="31"/>
      <c r="I7" s="29"/>
      <c r="J7" s="29"/>
      <c r="K7" s="30"/>
      <c r="L7" s="29"/>
      <c r="M7" s="30"/>
      <c r="N7" s="30"/>
      <c r="O7" s="30"/>
      <c r="P7" s="30"/>
      <c r="R7" s="30"/>
      <c r="S7" s="30"/>
      <c r="T7" s="72"/>
      <c r="U7" s="30"/>
      <c r="V7" s="30"/>
      <c r="W7" s="30"/>
      <c r="X7" s="72"/>
      <c r="Y7" s="30"/>
      <c r="Z7" s="166"/>
      <c r="AA7" s="166"/>
      <c r="AB7" s="175"/>
      <c r="AC7" s="166"/>
      <c r="AD7" s="166"/>
      <c r="AE7" s="166"/>
      <c r="AF7" s="175"/>
      <c r="AG7" s="166"/>
      <c r="AH7" s="166"/>
      <c r="AI7" s="175"/>
    </row>
    <row r="8" spans="1:38" s="32" customFormat="1" x14ac:dyDescent="0.2">
      <c r="A8" s="27"/>
      <c r="B8" s="28"/>
      <c r="C8" s="27"/>
      <c r="D8" s="29"/>
      <c r="E8" s="30"/>
      <c r="F8" s="31"/>
      <c r="G8" s="29"/>
      <c r="H8" s="31"/>
      <c r="I8" s="29"/>
      <c r="J8" s="29"/>
      <c r="K8" s="30"/>
      <c r="L8" s="29"/>
      <c r="M8" s="30"/>
      <c r="N8" s="29"/>
      <c r="O8" s="30"/>
      <c r="P8" s="30"/>
      <c r="R8" s="30"/>
      <c r="S8" s="30"/>
      <c r="T8" s="72"/>
      <c r="U8" s="30"/>
      <c r="V8" s="30"/>
      <c r="W8" s="30"/>
      <c r="X8" s="72"/>
      <c r="Y8" s="30"/>
      <c r="Z8" s="166"/>
      <c r="AA8" s="166"/>
      <c r="AB8" s="175"/>
      <c r="AC8" s="166"/>
      <c r="AD8" s="166"/>
      <c r="AE8" s="166"/>
      <c r="AF8" s="175"/>
      <c r="AG8" s="166"/>
      <c r="AH8" s="166"/>
      <c r="AI8" s="175"/>
    </row>
    <row r="9" spans="1:38" s="32" customFormat="1" x14ac:dyDescent="0.2">
      <c r="A9" s="27"/>
      <c r="B9" s="28"/>
      <c r="C9" s="27"/>
      <c r="D9" s="29"/>
      <c r="E9" s="30"/>
      <c r="F9" s="31"/>
      <c r="G9" s="29"/>
      <c r="H9" s="31"/>
      <c r="I9" s="29"/>
      <c r="J9" s="29"/>
      <c r="K9" s="30"/>
      <c r="L9" s="29"/>
      <c r="M9" s="30"/>
      <c r="N9" s="30"/>
      <c r="O9" s="30"/>
      <c r="P9" s="30"/>
      <c r="R9" s="30"/>
      <c r="S9" s="30"/>
      <c r="T9" s="72"/>
      <c r="U9" s="30"/>
      <c r="V9" s="30"/>
      <c r="W9" s="30"/>
      <c r="X9" s="72"/>
      <c r="Y9" s="30"/>
      <c r="Z9" s="166"/>
      <c r="AA9" s="166"/>
      <c r="AB9" s="175"/>
      <c r="AC9" s="166"/>
      <c r="AD9" s="166"/>
      <c r="AE9" s="166"/>
      <c r="AF9" s="175"/>
      <c r="AG9" s="166"/>
      <c r="AH9" s="166"/>
      <c r="AI9" s="175"/>
    </row>
    <row r="10" spans="1:38" s="32" customFormat="1" x14ac:dyDescent="0.2">
      <c r="A10" s="27"/>
      <c r="B10" s="28"/>
      <c r="C10" s="27"/>
      <c r="D10" s="29"/>
      <c r="E10" s="30"/>
      <c r="F10" s="31"/>
      <c r="G10" s="29"/>
      <c r="H10" s="31"/>
      <c r="I10" s="29"/>
      <c r="J10" s="29"/>
      <c r="K10" s="30"/>
      <c r="L10" s="29"/>
      <c r="M10" s="30"/>
      <c r="N10" s="30"/>
      <c r="O10" s="30"/>
      <c r="P10" s="30"/>
      <c r="R10" s="30"/>
      <c r="S10" s="30"/>
      <c r="T10" s="72"/>
      <c r="U10" s="30"/>
      <c r="V10" s="30"/>
      <c r="W10" s="30"/>
      <c r="X10" s="72"/>
      <c r="Y10" s="30"/>
      <c r="Z10" s="166"/>
      <c r="AA10" s="166"/>
      <c r="AB10" s="175"/>
      <c r="AC10" s="166"/>
      <c r="AD10" s="166"/>
      <c r="AE10" s="166"/>
      <c r="AF10" s="175"/>
      <c r="AG10" s="166"/>
      <c r="AH10" s="166"/>
      <c r="AI10" s="175"/>
    </row>
    <row r="11" spans="1:38" s="32" customFormat="1" x14ac:dyDescent="0.2">
      <c r="A11" s="27"/>
      <c r="B11" s="28"/>
      <c r="C11" s="27"/>
      <c r="D11" s="29"/>
      <c r="E11" s="30"/>
      <c r="F11" s="31"/>
      <c r="G11" s="29"/>
      <c r="H11" s="31"/>
      <c r="I11" s="29"/>
      <c r="J11" s="29"/>
      <c r="K11" s="30"/>
      <c r="L11" s="29"/>
      <c r="M11" s="30"/>
      <c r="N11" s="30"/>
      <c r="O11" s="30"/>
      <c r="P11" s="30"/>
      <c r="R11" s="30"/>
      <c r="S11" s="30"/>
      <c r="T11" s="72"/>
      <c r="U11" s="30"/>
      <c r="V11" s="30"/>
      <c r="W11" s="30"/>
      <c r="X11" s="72"/>
      <c r="Y11" s="30"/>
      <c r="Z11" s="166"/>
      <c r="AA11" s="166"/>
      <c r="AB11" s="175"/>
      <c r="AC11" s="166"/>
      <c r="AD11" s="166"/>
      <c r="AE11" s="166"/>
      <c r="AF11" s="175"/>
      <c r="AG11" s="166"/>
      <c r="AH11" s="166"/>
      <c r="AI11" s="175"/>
    </row>
    <row r="12" spans="1:38" s="32" customFormat="1" x14ac:dyDescent="0.2">
      <c r="A12" s="27"/>
      <c r="B12" s="28"/>
      <c r="C12" s="27"/>
      <c r="D12" s="29"/>
      <c r="E12" s="30"/>
      <c r="F12" s="31"/>
      <c r="G12" s="29"/>
      <c r="H12" s="31"/>
      <c r="I12" s="29"/>
      <c r="J12" s="29"/>
      <c r="K12" s="30"/>
      <c r="L12" s="29"/>
      <c r="M12" s="30"/>
      <c r="N12" s="30"/>
      <c r="O12" s="30"/>
      <c r="P12" s="30"/>
      <c r="R12" s="30"/>
      <c r="S12" s="30"/>
      <c r="T12" s="72"/>
      <c r="U12" s="30"/>
      <c r="V12" s="30"/>
      <c r="W12" s="30"/>
      <c r="X12" s="72"/>
      <c r="Y12" s="30"/>
      <c r="Z12" s="166"/>
      <c r="AA12" s="166"/>
      <c r="AB12" s="175"/>
      <c r="AC12" s="166"/>
      <c r="AD12" s="166"/>
      <c r="AE12" s="166"/>
      <c r="AF12" s="175"/>
      <c r="AG12" s="166"/>
      <c r="AH12" s="166"/>
      <c r="AI12" s="175"/>
    </row>
    <row r="13" spans="1:38" s="32" customFormat="1" x14ac:dyDescent="0.2">
      <c r="A13" s="27"/>
      <c r="B13" s="28"/>
      <c r="C13" s="27"/>
      <c r="D13" s="29"/>
      <c r="E13" s="30"/>
      <c r="F13" s="31"/>
      <c r="G13" s="29"/>
      <c r="H13" s="31"/>
      <c r="I13" s="29"/>
      <c r="J13" s="29"/>
      <c r="K13" s="30"/>
      <c r="L13" s="29"/>
      <c r="M13" s="30"/>
      <c r="N13" s="30"/>
      <c r="O13" s="30"/>
      <c r="P13" s="30"/>
      <c r="R13" s="30"/>
      <c r="S13" s="30"/>
      <c r="T13" s="72"/>
      <c r="U13" s="30"/>
      <c r="V13" s="30"/>
      <c r="W13" s="30"/>
      <c r="X13" s="72"/>
      <c r="Y13" s="30"/>
      <c r="Z13" s="166"/>
      <c r="AA13" s="166"/>
      <c r="AB13" s="175"/>
      <c r="AC13" s="166"/>
      <c r="AD13" s="166"/>
      <c r="AE13" s="166"/>
      <c r="AF13" s="175"/>
      <c r="AG13" s="166"/>
      <c r="AH13" s="166"/>
      <c r="AI13" s="175"/>
    </row>
    <row r="14" spans="1:38" s="32" customFormat="1" x14ac:dyDescent="0.2">
      <c r="A14" s="27"/>
      <c r="B14" s="28"/>
      <c r="C14" s="27"/>
      <c r="D14" s="29"/>
      <c r="E14" s="30"/>
      <c r="F14" s="31"/>
      <c r="G14" s="29"/>
      <c r="H14" s="31"/>
      <c r="I14" s="29"/>
      <c r="J14" s="29"/>
      <c r="K14" s="30"/>
      <c r="L14" s="29"/>
      <c r="M14" s="30"/>
      <c r="N14" s="30"/>
      <c r="O14" s="30"/>
      <c r="P14" s="30"/>
      <c r="R14" s="30"/>
      <c r="S14" s="30"/>
      <c r="T14" s="72"/>
      <c r="U14" s="30"/>
      <c r="V14" s="30"/>
      <c r="W14" s="30"/>
      <c r="X14" s="72"/>
      <c r="Y14" s="30"/>
      <c r="Z14" s="166"/>
      <c r="AA14" s="166"/>
      <c r="AB14" s="175"/>
      <c r="AC14" s="166"/>
      <c r="AD14" s="166"/>
      <c r="AE14" s="166"/>
      <c r="AF14" s="175"/>
      <c r="AG14" s="166"/>
      <c r="AH14" s="166"/>
      <c r="AI14" s="175"/>
    </row>
    <row r="15" spans="1:38" s="32" customFormat="1" x14ac:dyDescent="0.2">
      <c r="A15" s="27"/>
      <c r="B15" s="28"/>
      <c r="C15" s="27"/>
      <c r="D15" s="29"/>
      <c r="E15" s="30"/>
      <c r="F15" s="31"/>
      <c r="G15" s="29"/>
      <c r="H15" s="31"/>
      <c r="I15" s="29"/>
      <c r="J15" s="29"/>
      <c r="K15" s="30"/>
      <c r="L15" s="29"/>
      <c r="M15" s="30"/>
      <c r="N15" s="30"/>
      <c r="O15" s="30"/>
      <c r="P15" s="30"/>
      <c r="R15" s="30"/>
      <c r="S15" s="30"/>
      <c r="T15" s="72"/>
      <c r="U15" s="30"/>
      <c r="V15" s="30"/>
      <c r="W15" s="30"/>
      <c r="X15" s="72"/>
      <c r="Y15" s="30"/>
      <c r="Z15" s="166"/>
      <c r="AA15" s="166"/>
      <c r="AB15" s="175"/>
      <c r="AC15" s="166"/>
      <c r="AD15" s="166"/>
      <c r="AE15" s="166"/>
      <c r="AF15" s="175"/>
      <c r="AG15" s="166"/>
      <c r="AH15" s="166"/>
      <c r="AI15" s="175"/>
    </row>
    <row r="16" spans="1:38" s="32" customFormat="1" x14ac:dyDescent="0.2">
      <c r="A16" s="27"/>
      <c r="B16" s="28"/>
      <c r="C16" s="27"/>
      <c r="D16" s="29"/>
      <c r="E16" s="30"/>
      <c r="F16" s="31"/>
      <c r="G16" s="29"/>
      <c r="H16" s="31"/>
      <c r="I16" s="29"/>
      <c r="J16" s="29"/>
      <c r="K16" s="30"/>
      <c r="L16" s="29"/>
      <c r="M16" s="30"/>
      <c r="N16" s="30"/>
      <c r="O16" s="30"/>
      <c r="P16" s="30"/>
      <c r="R16" s="30"/>
      <c r="S16" s="30"/>
      <c r="T16" s="72"/>
      <c r="U16" s="30"/>
      <c r="V16" s="30"/>
      <c r="W16" s="30"/>
      <c r="X16" s="72"/>
      <c r="Y16" s="30"/>
      <c r="Z16" s="166"/>
      <c r="AA16" s="166"/>
      <c r="AB16" s="175"/>
      <c r="AC16" s="166"/>
      <c r="AD16" s="166"/>
      <c r="AE16" s="166"/>
      <c r="AF16" s="175"/>
      <c r="AG16" s="166"/>
      <c r="AH16" s="166"/>
      <c r="AI16" s="175"/>
    </row>
    <row r="17" spans="1:35" s="32" customFormat="1" x14ac:dyDescent="0.2">
      <c r="A17" s="27"/>
      <c r="B17" s="28"/>
      <c r="C17" s="27"/>
      <c r="D17" s="29"/>
      <c r="E17" s="30"/>
      <c r="F17" s="31"/>
      <c r="G17" s="29"/>
      <c r="H17" s="31"/>
      <c r="I17" s="29"/>
      <c r="J17" s="29"/>
      <c r="K17" s="30"/>
      <c r="L17" s="29"/>
      <c r="M17" s="30"/>
      <c r="N17" s="30"/>
      <c r="O17" s="30"/>
      <c r="P17" s="30"/>
      <c r="R17" s="30"/>
      <c r="S17" s="30"/>
      <c r="T17" s="72"/>
      <c r="U17" s="30"/>
      <c r="V17" s="30"/>
      <c r="W17" s="30"/>
      <c r="X17" s="72"/>
      <c r="Y17" s="30"/>
      <c r="Z17" s="166"/>
      <c r="AA17" s="166"/>
      <c r="AB17" s="175"/>
      <c r="AC17" s="166"/>
      <c r="AD17" s="166"/>
      <c r="AE17" s="166"/>
      <c r="AF17" s="175"/>
      <c r="AG17" s="166"/>
      <c r="AH17" s="166"/>
      <c r="AI17" s="175"/>
    </row>
    <row r="18" spans="1:35" s="32" customFormat="1" x14ac:dyDescent="0.2">
      <c r="A18" s="27"/>
      <c r="B18" s="28"/>
      <c r="C18" s="27"/>
      <c r="D18" s="29"/>
      <c r="E18" s="30"/>
      <c r="F18" s="31"/>
      <c r="G18" s="29"/>
      <c r="H18" s="31"/>
      <c r="I18" s="29"/>
      <c r="J18" s="29"/>
      <c r="K18" s="30"/>
      <c r="L18" s="29"/>
      <c r="M18" s="30"/>
      <c r="N18" s="30"/>
      <c r="O18" s="30"/>
      <c r="P18" s="30"/>
      <c r="R18" s="30"/>
      <c r="S18" s="30"/>
      <c r="T18" s="72"/>
      <c r="U18" s="30"/>
      <c r="V18" s="30"/>
      <c r="W18" s="30"/>
      <c r="X18" s="72"/>
      <c r="Y18" s="30"/>
      <c r="Z18" s="166"/>
      <c r="AA18" s="166"/>
      <c r="AB18" s="175"/>
      <c r="AC18" s="166"/>
      <c r="AD18" s="166"/>
      <c r="AE18" s="166"/>
      <c r="AF18" s="175"/>
      <c r="AG18" s="166"/>
      <c r="AH18" s="166"/>
      <c r="AI18" s="175"/>
    </row>
    <row r="19" spans="1:35" s="32" customFormat="1" x14ac:dyDescent="0.2">
      <c r="A19" s="27"/>
      <c r="B19" s="28"/>
      <c r="C19" s="27"/>
      <c r="D19" s="29"/>
      <c r="E19" s="30"/>
      <c r="F19" s="31"/>
      <c r="G19" s="29"/>
      <c r="H19" s="31"/>
      <c r="I19" s="29"/>
      <c r="J19" s="29"/>
      <c r="K19" s="30"/>
      <c r="L19" s="29"/>
      <c r="M19" s="30"/>
      <c r="N19" s="30"/>
      <c r="O19" s="30"/>
      <c r="P19" s="30"/>
      <c r="R19" s="30"/>
      <c r="S19" s="30"/>
      <c r="T19" s="72"/>
      <c r="U19" s="30"/>
      <c r="V19" s="30"/>
      <c r="W19" s="30"/>
      <c r="X19" s="72"/>
      <c r="Y19" s="30"/>
      <c r="Z19" s="166"/>
      <c r="AA19" s="166"/>
      <c r="AB19" s="175"/>
      <c r="AC19" s="166"/>
      <c r="AD19" s="166"/>
      <c r="AE19" s="166"/>
      <c r="AF19" s="175"/>
      <c r="AG19" s="166"/>
      <c r="AH19" s="166"/>
      <c r="AI19" s="175"/>
    </row>
    <row r="20" spans="1:35" s="32" customFormat="1" x14ac:dyDescent="0.2">
      <c r="A20" s="27"/>
      <c r="B20" s="28"/>
      <c r="C20" s="27"/>
      <c r="D20" s="29"/>
      <c r="E20" s="30"/>
      <c r="F20" s="31"/>
      <c r="G20" s="29"/>
      <c r="H20" s="31"/>
      <c r="I20" s="29"/>
      <c r="J20" s="29"/>
      <c r="K20" s="30"/>
      <c r="L20" s="29"/>
      <c r="M20" s="30"/>
      <c r="N20" s="30"/>
      <c r="O20" s="30"/>
      <c r="P20" s="30"/>
      <c r="R20" s="30"/>
      <c r="S20" s="30"/>
      <c r="T20" s="72"/>
      <c r="U20" s="30"/>
      <c r="V20" s="30"/>
      <c r="W20" s="30"/>
      <c r="X20" s="72"/>
      <c r="Y20" s="30"/>
      <c r="Z20" s="166"/>
      <c r="AA20" s="166"/>
      <c r="AB20" s="175"/>
      <c r="AC20" s="166"/>
      <c r="AD20" s="166"/>
      <c r="AE20" s="166"/>
      <c r="AF20" s="175"/>
      <c r="AG20" s="166"/>
      <c r="AH20" s="166"/>
      <c r="AI20" s="175"/>
    </row>
    <row r="21" spans="1:35" s="32" customFormat="1" x14ac:dyDescent="0.2">
      <c r="A21" s="27"/>
      <c r="B21" s="28"/>
      <c r="C21" s="27"/>
      <c r="D21" s="29"/>
      <c r="E21" s="30"/>
      <c r="F21" s="31"/>
      <c r="G21" s="29"/>
      <c r="H21" s="31"/>
      <c r="I21" s="29"/>
      <c r="J21" s="29"/>
      <c r="K21" s="30"/>
      <c r="L21" s="29"/>
      <c r="M21" s="30"/>
      <c r="N21" s="30"/>
      <c r="O21" s="30"/>
      <c r="P21" s="30"/>
      <c r="R21" s="30"/>
      <c r="S21" s="30"/>
      <c r="T21" s="72"/>
      <c r="U21" s="30"/>
      <c r="V21" s="30"/>
      <c r="W21" s="30"/>
      <c r="X21" s="72"/>
      <c r="Y21" s="30"/>
      <c r="Z21" s="166"/>
      <c r="AA21" s="166"/>
      <c r="AB21" s="175"/>
      <c r="AC21" s="166"/>
      <c r="AD21" s="166"/>
      <c r="AE21" s="166"/>
      <c r="AF21" s="175"/>
      <c r="AG21" s="166"/>
      <c r="AH21" s="166"/>
      <c r="AI21" s="175"/>
    </row>
    <row r="22" spans="1:35" s="34" customFormat="1" x14ac:dyDescent="0.2">
      <c r="A22" s="33"/>
      <c r="B22" s="28"/>
      <c r="C22" s="33"/>
      <c r="D22" s="29"/>
      <c r="E22" s="30"/>
      <c r="F22" s="31"/>
      <c r="G22" s="29"/>
      <c r="H22" s="31"/>
      <c r="I22" s="29"/>
      <c r="J22" s="29"/>
      <c r="K22" s="30"/>
      <c r="L22" s="29"/>
      <c r="M22" s="30"/>
      <c r="N22" s="30"/>
      <c r="O22" s="30"/>
      <c r="P22" s="30"/>
      <c r="R22" s="30"/>
      <c r="S22" s="30"/>
      <c r="T22" s="72"/>
      <c r="U22" s="30"/>
      <c r="V22" s="30"/>
      <c r="W22" s="30"/>
      <c r="X22" s="72"/>
      <c r="Y22" s="30"/>
      <c r="Z22" s="166"/>
      <c r="AA22" s="166"/>
      <c r="AB22" s="175"/>
      <c r="AC22" s="166"/>
      <c r="AD22" s="166"/>
      <c r="AE22" s="166"/>
      <c r="AF22" s="175"/>
      <c r="AG22" s="166"/>
      <c r="AH22" s="166"/>
      <c r="AI22" s="175"/>
    </row>
    <row r="23" spans="1:35" s="34" customFormat="1" x14ac:dyDescent="0.2">
      <c r="A23" s="33"/>
      <c r="B23" s="28"/>
      <c r="C23" s="33"/>
      <c r="D23" s="29"/>
      <c r="E23" s="30"/>
      <c r="F23" s="31"/>
      <c r="G23" s="29"/>
      <c r="H23" s="31"/>
      <c r="I23" s="29"/>
      <c r="J23" s="29"/>
      <c r="K23" s="30"/>
      <c r="L23" s="29"/>
      <c r="M23" s="30"/>
      <c r="N23" s="30"/>
      <c r="O23" s="30"/>
      <c r="P23" s="30"/>
      <c r="R23" s="30"/>
      <c r="S23" s="30"/>
      <c r="T23" s="72"/>
      <c r="U23" s="30"/>
      <c r="V23" s="30"/>
      <c r="W23" s="30"/>
      <c r="X23" s="72"/>
      <c r="Y23" s="30"/>
      <c r="Z23" s="166"/>
      <c r="AA23" s="166"/>
      <c r="AB23" s="175"/>
      <c r="AC23" s="166"/>
      <c r="AD23" s="166"/>
      <c r="AE23" s="166"/>
      <c r="AF23" s="175"/>
      <c r="AG23" s="166"/>
      <c r="AH23" s="166"/>
      <c r="AI23" s="175"/>
    </row>
    <row r="24" spans="1:35" s="32" customFormat="1" x14ac:dyDescent="0.2">
      <c r="A24" s="27"/>
      <c r="B24" s="28"/>
      <c r="C24" s="27"/>
      <c r="D24" s="29"/>
      <c r="E24" s="30"/>
      <c r="F24" s="31"/>
      <c r="G24" s="29"/>
      <c r="H24" s="31"/>
      <c r="I24" s="29"/>
      <c r="J24" s="29"/>
      <c r="K24" s="30"/>
      <c r="L24" s="29"/>
      <c r="M24" s="30"/>
      <c r="N24" s="29"/>
      <c r="O24" s="30"/>
      <c r="P24" s="30"/>
      <c r="R24" s="30"/>
      <c r="S24" s="30"/>
      <c r="T24" s="72"/>
      <c r="U24" s="30"/>
      <c r="V24" s="30"/>
      <c r="W24" s="30"/>
      <c r="X24" s="72"/>
      <c r="Y24" s="30"/>
      <c r="Z24" s="166"/>
      <c r="AA24" s="166"/>
      <c r="AB24" s="175"/>
      <c r="AC24" s="166"/>
      <c r="AD24" s="166"/>
      <c r="AE24" s="166"/>
      <c r="AF24" s="175"/>
      <c r="AG24" s="166"/>
      <c r="AH24" s="166"/>
      <c r="AI24" s="175"/>
    </row>
    <row r="25" spans="1:35" s="32" customFormat="1" x14ac:dyDescent="0.2">
      <c r="A25" s="27"/>
      <c r="B25" s="28"/>
      <c r="C25" s="27"/>
      <c r="D25" s="29"/>
      <c r="E25" s="30"/>
      <c r="F25" s="31"/>
      <c r="G25" s="29"/>
      <c r="H25" s="31"/>
      <c r="I25" s="29"/>
      <c r="J25" s="29"/>
      <c r="K25" s="30"/>
      <c r="L25" s="29"/>
      <c r="M25" s="30"/>
      <c r="N25" s="30"/>
      <c r="O25" s="30"/>
      <c r="P25" s="30"/>
      <c r="R25" s="30"/>
      <c r="S25" s="30"/>
      <c r="T25" s="72"/>
      <c r="U25" s="30"/>
      <c r="V25" s="30"/>
      <c r="W25" s="30"/>
      <c r="X25" s="72"/>
      <c r="Y25" s="30"/>
      <c r="Z25" s="166"/>
      <c r="AA25" s="166"/>
      <c r="AB25" s="175"/>
      <c r="AC25" s="166"/>
      <c r="AD25" s="166"/>
      <c r="AE25" s="166"/>
      <c r="AF25" s="175"/>
      <c r="AG25" s="166"/>
      <c r="AH25" s="166"/>
      <c r="AI25" s="175"/>
    </row>
    <row r="26" spans="1:35" s="32" customFormat="1" x14ac:dyDescent="0.2">
      <c r="A26" s="27"/>
      <c r="B26" s="28"/>
      <c r="C26" s="27"/>
      <c r="D26" s="29"/>
      <c r="E26" s="30"/>
      <c r="F26" s="31"/>
      <c r="G26" s="29"/>
      <c r="H26" s="31"/>
      <c r="I26" s="29"/>
      <c r="J26" s="29"/>
      <c r="K26" s="30"/>
      <c r="L26" s="29"/>
      <c r="M26" s="30"/>
      <c r="N26" s="30"/>
      <c r="O26" s="30"/>
      <c r="P26" s="30"/>
      <c r="R26" s="30"/>
      <c r="S26" s="30"/>
      <c r="T26" s="72"/>
      <c r="U26" s="30"/>
      <c r="V26" s="30"/>
      <c r="W26" s="30"/>
      <c r="X26" s="72"/>
      <c r="Y26" s="30"/>
      <c r="Z26" s="166"/>
      <c r="AA26" s="166"/>
      <c r="AB26" s="175"/>
      <c r="AC26" s="166"/>
      <c r="AD26" s="166"/>
      <c r="AE26" s="166"/>
      <c r="AF26" s="175"/>
      <c r="AG26" s="166"/>
      <c r="AH26" s="166"/>
      <c r="AI26" s="175"/>
    </row>
    <row r="27" spans="1:35" s="32" customFormat="1" x14ac:dyDescent="0.2">
      <c r="A27" s="27"/>
      <c r="B27" s="28"/>
      <c r="C27" s="27"/>
      <c r="D27" s="29"/>
      <c r="E27" s="30"/>
      <c r="F27" s="31"/>
      <c r="G27" s="29"/>
      <c r="H27" s="31"/>
      <c r="I27" s="29"/>
      <c r="J27" s="29"/>
      <c r="K27" s="30"/>
      <c r="L27" s="29"/>
      <c r="M27" s="30"/>
      <c r="N27" s="30"/>
      <c r="O27" s="30"/>
      <c r="P27" s="30"/>
      <c r="R27" s="30"/>
      <c r="S27" s="30"/>
      <c r="T27" s="72"/>
      <c r="U27" s="30"/>
      <c r="V27" s="30"/>
      <c r="W27" s="30"/>
      <c r="X27" s="72"/>
      <c r="Y27" s="30"/>
      <c r="Z27" s="166"/>
      <c r="AA27" s="166"/>
      <c r="AB27" s="175"/>
      <c r="AC27" s="166"/>
      <c r="AD27" s="166"/>
      <c r="AE27" s="166"/>
      <c r="AF27" s="175"/>
      <c r="AG27" s="166"/>
      <c r="AH27" s="166"/>
      <c r="AI27" s="175"/>
    </row>
    <row r="28" spans="1:35" s="32" customFormat="1" x14ac:dyDescent="0.2">
      <c r="A28" s="27"/>
      <c r="B28" s="28"/>
      <c r="C28" s="27"/>
      <c r="D28" s="29"/>
      <c r="E28" s="30"/>
      <c r="F28" s="31"/>
      <c r="G28" s="29"/>
      <c r="H28" s="31"/>
      <c r="I28" s="29"/>
      <c r="J28" s="29"/>
      <c r="K28" s="30"/>
      <c r="L28" s="29"/>
      <c r="M28" s="30"/>
      <c r="N28" s="30"/>
      <c r="O28" s="30"/>
      <c r="P28" s="30"/>
      <c r="R28" s="30"/>
      <c r="S28" s="30"/>
      <c r="T28" s="72"/>
      <c r="U28" s="30"/>
      <c r="V28" s="30"/>
      <c r="W28" s="30"/>
      <c r="X28" s="72"/>
      <c r="Y28" s="30"/>
      <c r="Z28" s="166"/>
      <c r="AA28" s="166"/>
      <c r="AB28" s="175"/>
      <c r="AC28" s="166"/>
      <c r="AD28" s="166"/>
      <c r="AE28" s="166"/>
      <c r="AF28" s="175"/>
      <c r="AG28" s="166"/>
      <c r="AH28" s="166"/>
      <c r="AI28" s="175"/>
    </row>
    <row r="29" spans="1:35" s="32" customFormat="1" x14ac:dyDescent="0.2">
      <c r="A29" s="27"/>
      <c r="B29" s="28"/>
      <c r="C29" s="27"/>
      <c r="D29" s="29"/>
      <c r="E29" s="30"/>
      <c r="F29" s="31"/>
      <c r="G29" s="29"/>
      <c r="H29" s="31"/>
      <c r="I29" s="29"/>
      <c r="J29" s="29"/>
      <c r="K29" s="30"/>
      <c r="L29" s="29"/>
      <c r="M29" s="30"/>
      <c r="N29" s="30"/>
      <c r="O29" s="30"/>
      <c r="P29" s="30"/>
      <c r="R29" s="30"/>
      <c r="S29" s="30"/>
      <c r="T29" s="72"/>
      <c r="U29" s="30"/>
      <c r="V29" s="30"/>
      <c r="W29" s="30"/>
      <c r="X29" s="72"/>
      <c r="Y29" s="30"/>
      <c r="Z29" s="166"/>
      <c r="AA29" s="166"/>
      <c r="AB29" s="175"/>
      <c r="AC29" s="166"/>
      <c r="AD29" s="166"/>
      <c r="AE29" s="166"/>
      <c r="AF29" s="175"/>
      <c r="AG29" s="166"/>
      <c r="AH29" s="166"/>
      <c r="AI29" s="175"/>
    </row>
    <row r="30" spans="1:35" s="34" customFormat="1" x14ac:dyDescent="0.2">
      <c r="A30" s="33"/>
      <c r="B30" s="28"/>
      <c r="C30" s="33"/>
      <c r="D30" s="29"/>
      <c r="E30" s="30"/>
      <c r="F30" s="31"/>
      <c r="G30" s="29"/>
      <c r="H30" s="31"/>
      <c r="I30" s="29"/>
      <c r="J30" s="29"/>
      <c r="K30" s="30"/>
      <c r="L30" s="29"/>
      <c r="M30" s="30"/>
      <c r="N30" s="30"/>
      <c r="O30" s="30"/>
      <c r="P30" s="30"/>
      <c r="R30" s="30"/>
      <c r="S30" s="30"/>
      <c r="T30" s="72"/>
      <c r="U30" s="30"/>
      <c r="V30" s="30"/>
      <c r="W30" s="30"/>
      <c r="X30" s="72"/>
      <c r="Y30" s="30"/>
      <c r="Z30" s="166"/>
      <c r="AA30" s="166"/>
      <c r="AB30" s="175"/>
      <c r="AC30" s="166"/>
      <c r="AD30" s="166"/>
      <c r="AE30" s="166"/>
      <c r="AF30" s="175"/>
      <c r="AG30" s="166"/>
      <c r="AH30" s="166"/>
      <c r="AI30" s="175"/>
    </row>
    <row r="31" spans="1:35" s="32" customFormat="1" x14ac:dyDescent="0.2">
      <c r="A31" s="27"/>
      <c r="B31" s="28"/>
      <c r="C31" s="27"/>
      <c r="D31" s="29"/>
      <c r="E31" s="30"/>
      <c r="F31" s="31"/>
      <c r="G31" s="29"/>
      <c r="H31" s="31"/>
      <c r="I31" s="29"/>
      <c r="J31" s="29"/>
      <c r="K31" s="30"/>
      <c r="L31" s="29"/>
      <c r="M31" s="30"/>
      <c r="N31" s="30"/>
      <c r="O31" s="30"/>
      <c r="P31" s="30"/>
      <c r="R31" s="30"/>
      <c r="S31" s="30"/>
      <c r="T31" s="72"/>
      <c r="U31" s="30"/>
      <c r="V31" s="30"/>
      <c r="W31" s="30"/>
      <c r="X31" s="72"/>
      <c r="Y31" s="30"/>
      <c r="Z31" s="166"/>
      <c r="AA31" s="166"/>
      <c r="AB31" s="175"/>
      <c r="AC31" s="166"/>
      <c r="AD31" s="166"/>
      <c r="AE31" s="166"/>
      <c r="AF31" s="175"/>
      <c r="AG31" s="166"/>
      <c r="AH31" s="166"/>
      <c r="AI31" s="175"/>
    </row>
    <row r="32" spans="1:35" s="34" customFormat="1" x14ac:dyDescent="0.2">
      <c r="A32" s="33"/>
      <c r="B32" s="28"/>
      <c r="C32" s="33"/>
      <c r="D32" s="29"/>
      <c r="E32" s="30"/>
      <c r="F32" s="31"/>
      <c r="G32" s="29"/>
      <c r="H32" s="31"/>
      <c r="I32" s="29"/>
      <c r="J32" s="29"/>
      <c r="K32" s="30"/>
      <c r="L32" s="29"/>
      <c r="M32" s="30"/>
      <c r="N32" s="30"/>
      <c r="O32" s="30"/>
      <c r="P32" s="30"/>
      <c r="R32" s="30"/>
      <c r="S32" s="30"/>
      <c r="T32" s="72"/>
      <c r="U32" s="30"/>
      <c r="V32" s="30"/>
      <c r="W32" s="30"/>
      <c r="X32" s="72"/>
      <c r="Y32" s="30"/>
      <c r="Z32" s="166"/>
      <c r="AA32" s="166"/>
      <c r="AB32" s="175"/>
      <c r="AC32" s="166"/>
      <c r="AD32" s="166"/>
      <c r="AE32" s="166"/>
      <c r="AF32" s="175"/>
      <c r="AG32" s="166"/>
      <c r="AH32" s="166"/>
      <c r="AI32" s="175"/>
    </row>
    <row r="33" spans="1:35" s="34" customFormat="1" x14ac:dyDescent="0.2">
      <c r="A33" s="33"/>
      <c r="B33" s="28"/>
      <c r="C33" s="33"/>
      <c r="D33" s="29"/>
      <c r="E33" s="30"/>
      <c r="F33" s="31"/>
      <c r="G33" s="29"/>
      <c r="H33" s="31"/>
      <c r="I33" s="29"/>
      <c r="J33" s="29"/>
      <c r="K33" s="30"/>
      <c r="L33" s="29"/>
      <c r="M33" s="30"/>
      <c r="N33" s="30"/>
      <c r="O33" s="30"/>
      <c r="P33" s="30"/>
      <c r="R33" s="30"/>
      <c r="S33" s="30"/>
      <c r="T33" s="72"/>
      <c r="U33" s="30"/>
      <c r="V33" s="30"/>
      <c r="W33" s="30"/>
      <c r="X33" s="72"/>
      <c r="Y33" s="30"/>
      <c r="Z33" s="166"/>
      <c r="AA33" s="166"/>
      <c r="AB33" s="175"/>
      <c r="AC33" s="166"/>
      <c r="AD33" s="166"/>
      <c r="AE33" s="166"/>
      <c r="AF33" s="175"/>
      <c r="AG33" s="166"/>
      <c r="AH33" s="166"/>
      <c r="AI33" s="175"/>
    </row>
    <row r="34" spans="1:35" s="32" customFormat="1" x14ac:dyDescent="0.2">
      <c r="A34" s="27"/>
      <c r="B34" s="28"/>
      <c r="C34" s="27"/>
      <c r="D34" s="29"/>
      <c r="E34" s="30"/>
      <c r="F34" s="31"/>
      <c r="G34" s="29"/>
      <c r="H34" s="31"/>
      <c r="I34" s="29"/>
      <c r="J34" s="29"/>
      <c r="K34" s="30"/>
      <c r="L34" s="29"/>
      <c r="M34" s="30"/>
      <c r="N34" s="30"/>
      <c r="O34" s="30"/>
      <c r="P34" s="30"/>
      <c r="R34" s="30"/>
      <c r="S34" s="30"/>
      <c r="T34" s="72"/>
      <c r="U34" s="30"/>
      <c r="V34" s="30"/>
      <c r="W34" s="30"/>
      <c r="X34" s="72"/>
      <c r="Y34" s="30"/>
      <c r="Z34" s="166"/>
      <c r="AA34" s="166"/>
      <c r="AB34" s="175"/>
      <c r="AC34" s="166"/>
      <c r="AD34" s="166"/>
      <c r="AE34" s="166"/>
      <c r="AF34" s="175"/>
      <c r="AG34" s="166"/>
      <c r="AH34" s="166"/>
      <c r="AI34" s="175"/>
    </row>
    <row r="35" spans="1:35" s="34" customFormat="1" x14ac:dyDescent="0.2">
      <c r="A35" s="33"/>
      <c r="B35" s="28"/>
      <c r="C35" s="33"/>
      <c r="D35" s="29"/>
      <c r="E35" s="30"/>
      <c r="F35" s="31"/>
      <c r="G35" s="29"/>
      <c r="H35" s="31"/>
      <c r="I35" s="29"/>
      <c r="J35" s="29"/>
      <c r="K35" s="30"/>
      <c r="L35" s="29"/>
      <c r="M35" s="30"/>
      <c r="N35" s="30"/>
      <c r="O35" s="30"/>
      <c r="P35" s="30"/>
      <c r="R35" s="30"/>
      <c r="S35" s="30"/>
      <c r="T35" s="72"/>
      <c r="U35" s="30"/>
      <c r="V35" s="30"/>
      <c r="W35" s="30"/>
      <c r="X35" s="72"/>
      <c r="Y35" s="30"/>
      <c r="Z35" s="166"/>
      <c r="AA35" s="166"/>
      <c r="AB35" s="175"/>
      <c r="AC35" s="166"/>
      <c r="AD35" s="166"/>
      <c r="AE35" s="166"/>
      <c r="AF35" s="175"/>
      <c r="AG35" s="166"/>
      <c r="AH35" s="166"/>
      <c r="AI35" s="175"/>
    </row>
    <row r="36" spans="1:35" s="32" customFormat="1" x14ac:dyDescent="0.2">
      <c r="A36" s="27"/>
      <c r="B36" s="28"/>
      <c r="C36" s="27"/>
      <c r="D36" s="29"/>
      <c r="E36" s="30"/>
      <c r="F36" s="31"/>
      <c r="G36" s="29"/>
      <c r="H36" s="31"/>
      <c r="I36" s="29"/>
      <c r="J36" s="29"/>
      <c r="K36" s="30"/>
      <c r="L36" s="29"/>
      <c r="M36" s="30"/>
      <c r="N36" s="30"/>
      <c r="O36" s="30"/>
      <c r="P36" s="30"/>
      <c r="R36" s="30"/>
      <c r="S36" s="30"/>
      <c r="T36" s="72"/>
      <c r="U36" s="30"/>
      <c r="V36" s="30"/>
      <c r="W36" s="30"/>
      <c r="X36" s="72"/>
      <c r="Y36" s="30"/>
      <c r="Z36" s="166"/>
      <c r="AA36" s="166"/>
      <c r="AB36" s="175"/>
      <c r="AC36" s="166"/>
      <c r="AD36" s="166"/>
      <c r="AE36" s="166"/>
      <c r="AF36" s="175"/>
      <c r="AG36" s="166"/>
      <c r="AH36" s="166"/>
      <c r="AI36" s="175"/>
    </row>
    <row r="37" spans="1:35" s="32" customFormat="1" x14ac:dyDescent="0.2">
      <c r="A37" s="27"/>
      <c r="B37" s="27"/>
      <c r="C37" s="27"/>
      <c r="D37" s="35"/>
      <c r="E37" s="27"/>
      <c r="F37" s="36"/>
      <c r="G37" s="28"/>
      <c r="H37" s="36"/>
      <c r="I37" s="28"/>
      <c r="J37" s="37"/>
      <c r="K37" s="38"/>
      <c r="L37" s="37"/>
      <c r="M37" s="38"/>
      <c r="N37" s="38"/>
      <c r="O37" s="38"/>
      <c r="P37" s="38"/>
      <c r="R37" s="38"/>
      <c r="S37" s="38"/>
      <c r="T37" s="73"/>
      <c r="U37" s="38"/>
      <c r="V37" s="84"/>
      <c r="W37" s="38"/>
      <c r="X37" s="96"/>
      <c r="Y37" s="38"/>
      <c r="Z37" s="192"/>
      <c r="AA37" s="192"/>
      <c r="AB37" s="96"/>
      <c r="AC37" s="192"/>
      <c r="AD37" s="192"/>
      <c r="AE37" s="192"/>
      <c r="AF37" s="96"/>
      <c r="AG37" s="192"/>
      <c r="AH37" s="192"/>
      <c r="AI37" s="96"/>
    </row>
    <row r="38" spans="1:35" s="32" customFormat="1" x14ac:dyDescent="0.2">
      <c r="A38" s="27"/>
      <c r="B38" s="27"/>
      <c r="C38" s="27"/>
      <c r="D38" s="35"/>
      <c r="E38" s="27"/>
      <c r="F38" s="36"/>
      <c r="G38" s="28"/>
      <c r="H38" s="36"/>
      <c r="I38" s="28"/>
      <c r="J38" s="37"/>
      <c r="K38" s="38"/>
      <c r="L38" s="37"/>
      <c r="M38" s="38"/>
      <c r="N38" s="38"/>
      <c r="O38" s="38"/>
      <c r="P38" s="38"/>
      <c r="R38" s="38"/>
      <c r="S38" s="38"/>
      <c r="T38" s="73"/>
      <c r="U38" s="38"/>
      <c r="V38" s="84"/>
      <c r="W38" s="38"/>
      <c r="X38" s="96"/>
      <c r="Y38" s="38"/>
      <c r="Z38" s="192"/>
      <c r="AA38" s="192"/>
      <c r="AB38" s="96"/>
      <c r="AC38" s="192"/>
      <c r="AD38" s="192"/>
      <c r="AE38" s="192"/>
      <c r="AF38" s="96"/>
      <c r="AG38" s="192"/>
      <c r="AH38" s="192"/>
      <c r="AI38" s="96"/>
    </row>
    <row r="39" spans="1:35" s="32" customFormat="1" x14ac:dyDescent="0.2">
      <c r="A39" s="27"/>
      <c r="B39" s="27"/>
      <c r="C39" s="27"/>
      <c r="D39" s="35"/>
      <c r="E39" s="27"/>
      <c r="F39" s="36"/>
      <c r="G39" s="28"/>
      <c r="H39" s="36"/>
      <c r="I39" s="28"/>
      <c r="J39" s="37"/>
      <c r="K39" s="38"/>
      <c r="L39" s="37"/>
      <c r="M39" s="38"/>
      <c r="N39" s="38"/>
      <c r="O39" s="38"/>
      <c r="P39" s="38"/>
      <c r="R39" s="38"/>
      <c r="S39" s="38"/>
      <c r="T39" s="73"/>
      <c r="U39" s="38"/>
      <c r="V39" s="84"/>
      <c r="W39" s="38"/>
      <c r="X39" s="96"/>
      <c r="Y39" s="38"/>
      <c r="Z39" s="192"/>
      <c r="AA39" s="192"/>
      <c r="AB39" s="96"/>
      <c r="AC39" s="192"/>
      <c r="AD39" s="192"/>
      <c r="AE39" s="192"/>
      <c r="AF39" s="96"/>
      <c r="AG39" s="192"/>
      <c r="AH39" s="192"/>
      <c r="AI39" s="96"/>
    </row>
    <row r="40" spans="1:35" s="32" customFormat="1" x14ac:dyDescent="0.2">
      <c r="A40" s="27"/>
      <c r="B40" s="27"/>
      <c r="C40" s="27"/>
      <c r="D40" s="35"/>
      <c r="E40" s="27"/>
      <c r="F40" s="36"/>
      <c r="G40" s="28"/>
      <c r="H40" s="36"/>
      <c r="I40" s="28"/>
      <c r="J40" s="37"/>
      <c r="K40" s="38"/>
      <c r="L40" s="37"/>
      <c r="M40" s="38"/>
      <c r="N40" s="38"/>
      <c r="O40" s="38"/>
      <c r="P40" s="38"/>
      <c r="R40" s="38"/>
      <c r="S40" s="38"/>
      <c r="T40" s="73"/>
      <c r="U40" s="38"/>
      <c r="V40" s="84"/>
      <c r="W40" s="38"/>
      <c r="X40" s="96"/>
      <c r="Y40" s="38"/>
      <c r="Z40" s="192"/>
      <c r="AA40" s="192"/>
      <c r="AB40" s="96"/>
      <c r="AC40" s="192"/>
      <c r="AD40" s="192"/>
      <c r="AE40" s="192"/>
      <c r="AF40" s="96"/>
      <c r="AG40" s="192"/>
      <c r="AH40" s="192"/>
      <c r="AI40" s="96"/>
    </row>
    <row r="41" spans="1:35" s="32" customFormat="1" x14ac:dyDescent="0.2">
      <c r="A41" s="27"/>
      <c r="B41" s="27"/>
      <c r="C41" s="27"/>
      <c r="D41" s="35"/>
      <c r="E41" s="27"/>
      <c r="F41" s="36"/>
      <c r="G41" s="28"/>
      <c r="H41" s="36"/>
      <c r="I41" s="28"/>
      <c r="J41" s="37"/>
      <c r="K41" s="38"/>
      <c r="L41" s="37"/>
      <c r="M41" s="38"/>
      <c r="N41" s="38"/>
      <c r="O41" s="38"/>
      <c r="P41" s="38"/>
      <c r="R41" s="38"/>
      <c r="S41" s="38"/>
      <c r="T41" s="73"/>
      <c r="U41" s="38"/>
      <c r="V41" s="84"/>
      <c r="W41" s="38"/>
      <c r="X41" s="96"/>
      <c r="Y41" s="38"/>
      <c r="Z41" s="192"/>
      <c r="AA41" s="192"/>
      <c r="AB41" s="96"/>
      <c r="AC41" s="192"/>
      <c r="AD41" s="192"/>
      <c r="AE41" s="192"/>
      <c r="AF41" s="96"/>
      <c r="AG41" s="192"/>
      <c r="AH41" s="192"/>
      <c r="AI41" s="96"/>
    </row>
    <row r="42" spans="1:35" s="32" customFormat="1" x14ac:dyDescent="0.2">
      <c r="A42" s="27"/>
      <c r="B42" s="27"/>
      <c r="C42" s="27"/>
      <c r="D42" s="35"/>
      <c r="E42" s="27"/>
      <c r="F42" s="36"/>
      <c r="G42" s="28"/>
      <c r="H42" s="36"/>
      <c r="I42" s="28"/>
      <c r="J42" s="37"/>
      <c r="K42" s="38"/>
      <c r="L42" s="37"/>
      <c r="M42" s="38"/>
      <c r="N42" s="38"/>
      <c r="O42" s="38"/>
      <c r="P42" s="38"/>
      <c r="R42" s="38"/>
      <c r="S42" s="38"/>
      <c r="T42" s="73"/>
      <c r="U42" s="38"/>
      <c r="V42" s="84"/>
      <c r="W42" s="38"/>
      <c r="X42" s="96"/>
      <c r="Y42" s="38"/>
      <c r="Z42" s="192"/>
      <c r="AA42" s="192"/>
      <c r="AB42" s="96"/>
      <c r="AC42" s="192"/>
      <c r="AD42" s="192"/>
      <c r="AE42" s="192"/>
      <c r="AF42" s="96"/>
      <c r="AG42" s="192"/>
      <c r="AH42" s="192"/>
      <c r="AI42" s="96"/>
    </row>
    <row r="43" spans="1:35" s="32" customFormat="1" x14ac:dyDescent="0.2">
      <c r="A43" s="27"/>
      <c r="B43" s="27"/>
      <c r="C43" s="27"/>
      <c r="D43" s="35"/>
      <c r="E43" s="27"/>
      <c r="F43" s="36"/>
      <c r="G43" s="28"/>
      <c r="H43" s="36"/>
      <c r="I43" s="28"/>
      <c r="J43" s="37"/>
      <c r="K43" s="38"/>
      <c r="L43" s="37"/>
      <c r="M43" s="38"/>
      <c r="N43" s="38"/>
      <c r="O43" s="38"/>
      <c r="P43" s="38"/>
      <c r="R43" s="38"/>
      <c r="S43" s="38"/>
      <c r="T43" s="73"/>
      <c r="U43" s="38"/>
      <c r="V43" s="84"/>
      <c r="W43" s="38"/>
      <c r="X43" s="96"/>
      <c r="Y43" s="38"/>
      <c r="Z43" s="192"/>
      <c r="AA43" s="192"/>
      <c r="AB43" s="96"/>
      <c r="AC43" s="192"/>
      <c r="AD43" s="192"/>
      <c r="AE43" s="192"/>
      <c r="AF43" s="96"/>
      <c r="AG43" s="192"/>
      <c r="AH43" s="192"/>
      <c r="AI43" s="96"/>
    </row>
    <row r="44" spans="1:35" s="32" customFormat="1" x14ac:dyDescent="0.2">
      <c r="A44" s="27"/>
      <c r="B44" s="27"/>
      <c r="C44" s="27"/>
      <c r="D44" s="35"/>
      <c r="E44" s="27"/>
      <c r="F44" s="36"/>
      <c r="G44" s="28"/>
      <c r="H44" s="36"/>
      <c r="I44" s="28"/>
      <c r="J44" s="37"/>
      <c r="K44" s="38"/>
      <c r="L44" s="37"/>
      <c r="M44" s="38"/>
      <c r="N44" s="38"/>
      <c r="O44" s="38"/>
      <c r="P44" s="38"/>
      <c r="R44" s="38"/>
      <c r="S44" s="38"/>
      <c r="T44" s="73"/>
      <c r="U44" s="38"/>
      <c r="V44" s="84"/>
      <c r="W44" s="38"/>
      <c r="X44" s="96"/>
      <c r="Y44" s="38"/>
      <c r="Z44" s="192"/>
      <c r="AA44" s="192"/>
      <c r="AB44" s="96"/>
      <c r="AC44" s="192"/>
      <c r="AD44" s="192"/>
      <c r="AE44" s="192"/>
      <c r="AF44" s="96"/>
      <c r="AG44" s="192"/>
      <c r="AH44" s="192"/>
      <c r="AI44" s="96"/>
    </row>
    <row r="45" spans="1:35" s="32" customFormat="1" x14ac:dyDescent="0.2">
      <c r="A45" s="27"/>
      <c r="B45" s="27"/>
      <c r="C45" s="27"/>
      <c r="D45" s="35"/>
      <c r="E45" s="27"/>
      <c r="F45" s="36"/>
      <c r="G45" s="28"/>
      <c r="H45" s="36"/>
      <c r="I45" s="28"/>
      <c r="J45" s="37"/>
      <c r="K45" s="38"/>
      <c r="L45" s="37"/>
      <c r="M45" s="38"/>
      <c r="N45" s="38"/>
      <c r="O45" s="38"/>
      <c r="P45" s="38"/>
      <c r="R45" s="38"/>
      <c r="S45" s="38"/>
      <c r="T45" s="73"/>
      <c r="U45" s="38"/>
      <c r="V45" s="84"/>
      <c r="W45" s="38"/>
      <c r="X45" s="96"/>
      <c r="Y45" s="38"/>
      <c r="Z45" s="192"/>
      <c r="AA45" s="192"/>
      <c r="AB45" s="96"/>
      <c r="AC45" s="192"/>
      <c r="AD45" s="192"/>
      <c r="AE45" s="192"/>
      <c r="AF45" s="96"/>
      <c r="AG45" s="192"/>
      <c r="AH45" s="192"/>
      <c r="AI45" s="96"/>
    </row>
    <row r="46" spans="1:35" s="32" customFormat="1" x14ac:dyDescent="0.2">
      <c r="A46" s="27"/>
      <c r="B46" s="27"/>
      <c r="C46" s="27"/>
      <c r="D46" s="35"/>
      <c r="E46" s="27"/>
      <c r="F46" s="36"/>
      <c r="G46" s="28"/>
      <c r="H46" s="36"/>
      <c r="I46" s="28"/>
      <c r="J46" s="37"/>
      <c r="K46" s="38"/>
      <c r="L46" s="37"/>
      <c r="M46" s="38"/>
      <c r="N46" s="38"/>
      <c r="O46" s="38"/>
      <c r="P46" s="38"/>
      <c r="R46" s="38"/>
      <c r="S46" s="38"/>
      <c r="T46" s="73"/>
      <c r="U46" s="38"/>
      <c r="V46" s="84"/>
      <c r="W46" s="38"/>
      <c r="X46" s="96"/>
      <c r="Y46" s="38"/>
      <c r="Z46" s="192"/>
      <c r="AA46" s="192"/>
      <c r="AB46" s="96"/>
      <c r="AC46" s="192"/>
      <c r="AD46" s="192"/>
      <c r="AE46" s="192"/>
      <c r="AF46" s="96"/>
      <c r="AG46" s="192"/>
      <c r="AH46" s="192"/>
      <c r="AI46" s="96"/>
    </row>
    <row r="47" spans="1:35" s="32" customFormat="1" x14ac:dyDescent="0.2">
      <c r="A47" s="27"/>
      <c r="B47" s="27"/>
      <c r="C47" s="27"/>
      <c r="D47" s="35"/>
      <c r="E47" s="27"/>
      <c r="F47" s="36"/>
      <c r="G47" s="28"/>
      <c r="H47" s="36"/>
      <c r="I47" s="28"/>
      <c r="J47" s="37"/>
      <c r="K47" s="38"/>
      <c r="L47" s="37"/>
      <c r="M47" s="38"/>
      <c r="N47" s="38"/>
      <c r="O47" s="38"/>
      <c r="P47" s="38"/>
      <c r="R47" s="38"/>
      <c r="S47" s="38"/>
      <c r="T47" s="73"/>
      <c r="U47" s="38"/>
      <c r="V47" s="84"/>
      <c r="W47" s="38"/>
      <c r="X47" s="96"/>
      <c r="Y47" s="38"/>
      <c r="Z47" s="192"/>
      <c r="AA47" s="192"/>
      <c r="AB47" s="96"/>
      <c r="AC47" s="192"/>
      <c r="AD47" s="192"/>
      <c r="AE47" s="192"/>
      <c r="AF47" s="96"/>
      <c r="AG47" s="192"/>
      <c r="AH47" s="192"/>
      <c r="AI47" s="96"/>
    </row>
    <row r="48" spans="1:35" s="32" customFormat="1" x14ac:dyDescent="0.2">
      <c r="A48" s="27"/>
      <c r="B48" s="27"/>
      <c r="C48" s="27"/>
      <c r="D48" s="35"/>
      <c r="E48" s="27"/>
      <c r="F48" s="36"/>
      <c r="G48" s="28"/>
      <c r="H48" s="36"/>
      <c r="I48" s="28"/>
      <c r="J48" s="37"/>
      <c r="K48" s="38"/>
      <c r="L48" s="37"/>
      <c r="M48" s="38"/>
      <c r="N48" s="38"/>
      <c r="O48" s="38"/>
      <c r="P48" s="38"/>
      <c r="R48" s="38"/>
      <c r="S48" s="38"/>
      <c r="T48" s="73"/>
      <c r="U48" s="38"/>
      <c r="V48" s="84"/>
      <c r="W48" s="38"/>
      <c r="X48" s="96"/>
      <c r="Y48" s="38"/>
      <c r="Z48" s="192"/>
      <c r="AA48" s="192"/>
      <c r="AB48" s="96"/>
      <c r="AC48" s="192"/>
      <c r="AD48" s="192"/>
      <c r="AE48" s="192"/>
      <c r="AF48" s="96"/>
      <c r="AG48" s="192"/>
      <c r="AH48" s="192"/>
      <c r="AI48" s="96"/>
    </row>
    <row r="49" spans="1:35" s="32" customFormat="1" x14ac:dyDescent="0.2">
      <c r="A49" s="27"/>
      <c r="B49" s="27"/>
      <c r="C49" s="27"/>
      <c r="D49" s="35"/>
      <c r="E49" s="27"/>
      <c r="F49" s="36"/>
      <c r="G49" s="28"/>
      <c r="H49" s="36"/>
      <c r="I49" s="28"/>
      <c r="J49" s="37"/>
      <c r="K49" s="38"/>
      <c r="L49" s="37"/>
      <c r="M49" s="38"/>
      <c r="N49" s="38"/>
      <c r="O49" s="38"/>
      <c r="P49" s="38"/>
      <c r="R49" s="38"/>
      <c r="S49" s="38"/>
      <c r="T49" s="73"/>
      <c r="U49" s="38"/>
      <c r="V49" s="84"/>
      <c r="W49" s="38"/>
      <c r="X49" s="96"/>
      <c r="Y49" s="38"/>
      <c r="Z49" s="192"/>
      <c r="AA49" s="192"/>
      <c r="AB49" s="96"/>
      <c r="AC49" s="192"/>
      <c r="AD49" s="192"/>
      <c r="AE49" s="192"/>
      <c r="AF49" s="96"/>
      <c r="AG49" s="192"/>
      <c r="AH49" s="192"/>
      <c r="AI49" s="96"/>
    </row>
    <row r="50" spans="1:35" s="32" customFormat="1" x14ac:dyDescent="0.2">
      <c r="A50" s="27"/>
      <c r="B50" s="27"/>
      <c r="C50" s="27"/>
      <c r="D50" s="35"/>
      <c r="E50" s="27"/>
      <c r="F50" s="36"/>
      <c r="G50" s="28"/>
      <c r="H50" s="36"/>
      <c r="I50" s="28"/>
      <c r="J50" s="37"/>
      <c r="K50" s="38"/>
      <c r="L50" s="37"/>
      <c r="M50" s="38"/>
      <c r="N50" s="38"/>
      <c r="O50" s="38"/>
      <c r="P50" s="38"/>
      <c r="R50" s="38"/>
      <c r="S50" s="38"/>
      <c r="T50" s="73"/>
      <c r="U50" s="38"/>
      <c r="V50" s="84"/>
      <c r="W50" s="38"/>
      <c r="X50" s="96"/>
      <c r="Y50" s="38"/>
      <c r="Z50" s="192"/>
      <c r="AA50" s="192"/>
      <c r="AB50" s="96"/>
      <c r="AC50" s="192"/>
      <c r="AD50" s="192"/>
      <c r="AE50" s="192"/>
      <c r="AF50" s="96"/>
      <c r="AG50" s="192"/>
      <c r="AH50" s="192"/>
      <c r="AI50" s="96"/>
    </row>
    <row r="51" spans="1:35" x14ac:dyDescent="0.2">
      <c r="J51" s="42"/>
      <c r="K51" s="43"/>
      <c r="L51" s="42"/>
      <c r="M51" s="43"/>
      <c r="N51" s="43"/>
      <c r="O51" s="43"/>
      <c r="P51" s="43"/>
      <c r="R51" s="43"/>
      <c r="S51" s="43"/>
      <c r="T51" s="74"/>
      <c r="U51" s="43"/>
      <c r="V51" s="85"/>
      <c r="W51" s="43"/>
      <c r="X51" s="97"/>
      <c r="Y51" s="43"/>
      <c r="Z51" s="193"/>
      <c r="AA51" s="193"/>
      <c r="AB51" s="97"/>
      <c r="AC51" s="193"/>
      <c r="AD51" s="193"/>
      <c r="AE51" s="193"/>
      <c r="AF51" s="97"/>
      <c r="AG51" s="193"/>
      <c r="AH51" s="193"/>
      <c r="AI51" s="97"/>
    </row>
    <row r="52" spans="1:35" x14ac:dyDescent="0.2">
      <c r="J52" s="42"/>
      <c r="K52" s="43"/>
      <c r="L52" s="42"/>
      <c r="M52" s="43"/>
      <c r="N52" s="43"/>
      <c r="O52" s="43"/>
      <c r="P52" s="43"/>
      <c r="R52" s="43"/>
      <c r="S52" s="43"/>
      <c r="T52" s="74"/>
      <c r="U52" s="43"/>
      <c r="V52" s="85"/>
      <c r="W52" s="43"/>
      <c r="X52" s="97"/>
      <c r="Y52" s="43"/>
      <c r="Z52" s="193"/>
      <c r="AA52" s="193"/>
      <c r="AB52" s="97"/>
      <c r="AC52" s="193"/>
      <c r="AD52" s="193"/>
      <c r="AE52" s="193"/>
      <c r="AF52" s="97"/>
      <c r="AG52" s="193"/>
      <c r="AH52" s="193"/>
      <c r="AI52" s="97"/>
    </row>
    <row r="53" spans="1:35" x14ac:dyDescent="0.2">
      <c r="J53" s="42"/>
      <c r="K53" s="43"/>
      <c r="L53" s="42"/>
      <c r="M53" s="43"/>
      <c r="N53" s="43"/>
      <c r="O53" s="43"/>
      <c r="P53" s="43"/>
      <c r="R53" s="43"/>
      <c r="S53" s="43"/>
      <c r="T53" s="74"/>
      <c r="U53" s="43"/>
      <c r="V53" s="85"/>
      <c r="W53" s="43"/>
      <c r="X53" s="97"/>
      <c r="Y53" s="43"/>
      <c r="Z53" s="193"/>
      <c r="AA53" s="193"/>
      <c r="AB53" s="97"/>
      <c r="AC53" s="193"/>
      <c r="AD53" s="193"/>
      <c r="AE53" s="193"/>
      <c r="AF53" s="97"/>
      <c r="AG53" s="193"/>
      <c r="AH53" s="193"/>
      <c r="AI53" s="97"/>
    </row>
    <row r="54" spans="1:35" x14ac:dyDescent="0.2">
      <c r="J54" s="42"/>
      <c r="K54" s="43"/>
      <c r="L54" s="42"/>
      <c r="M54" s="43"/>
      <c r="N54" s="43"/>
      <c r="O54" s="43"/>
      <c r="P54" s="43"/>
      <c r="R54" s="43"/>
      <c r="S54" s="43"/>
      <c r="T54" s="74"/>
      <c r="U54" s="43"/>
      <c r="V54" s="85"/>
      <c r="W54" s="43"/>
      <c r="X54" s="97"/>
      <c r="Y54" s="43"/>
      <c r="Z54" s="193"/>
      <c r="AA54" s="193"/>
      <c r="AB54" s="97"/>
      <c r="AC54" s="193"/>
      <c r="AD54" s="193"/>
      <c r="AE54" s="193"/>
      <c r="AF54" s="97"/>
      <c r="AG54" s="193"/>
      <c r="AH54" s="193"/>
      <c r="AI54" s="97"/>
    </row>
    <row r="55" spans="1:35" x14ac:dyDescent="0.2">
      <c r="J55" s="42"/>
      <c r="K55" s="43"/>
      <c r="L55" s="42"/>
      <c r="M55" s="43"/>
      <c r="N55" s="43"/>
      <c r="O55" s="43"/>
      <c r="P55" s="43"/>
      <c r="R55" s="43"/>
      <c r="S55" s="43"/>
      <c r="T55" s="74"/>
      <c r="U55" s="43"/>
      <c r="V55" s="85"/>
      <c r="W55" s="43"/>
      <c r="X55" s="97"/>
      <c r="Y55" s="43"/>
      <c r="Z55" s="193"/>
      <c r="AA55" s="193"/>
      <c r="AB55" s="97"/>
      <c r="AC55" s="193"/>
      <c r="AD55" s="193"/>
      <c r="AE55" s="193"/>
      <c r="AF55" s="97"/>
      <c r="AG55" s="193"/>
      <c r="AH55" s="193"/>
      <c r="AI55" s="97"/>
    </row>
    <row r="56" spans="1:35" x14ac:dyDescent="0.2">
      <c r="J56" s="42"/>
      <c r="K56" s="43"/>
      <c r="L56" s="42"/>
      <c r="M56" s="43"/>
      <c r="N56" s="43"/>
      <c r="O56" s="43"/>
      <c r="P56" s="43"/>
      <c r="R56" s="43"/>
      <c r="S56" s="43"/>
      <c r="T56" s="74"/>
      <c r="U56" s="43"/>
      <c r="V56" s="85"/>
      <c r="W56" s="43"/>
      <c r="X56" s="97"/>
      <c r="Y56" s="43"/>
      <c r="Z56" s="193"/>
      <c r="AA56" s="193"/>
      <c r="AB56" s="97"/>
      <c r="AC56" s="193"/>
      <c r="AD56" s="193"/>
      <c r="AE56" s="193"/>
      <c r="AF56" s="97"/>
      <c r="AG56" s="193"/>
      <c r="AH56" s="193"/>
      <c r="AI56" s="97"/>
    </row>
    <row r="57" spans="1:35" x14ac:dyDescent="0.2">
      <c r="J57" s="42"/>
      <c r="K57" s="43"/>
      <c r="L57" s="42"/>
      <c r="M57" s="43"/>
      <c r="N57" s="43"/>
      <c r="O57" s="43"/>
      <c r="P57" s="43"/>
      <c r="R57" s="43"/>
      <c r="S57" s="43"/>
      <c r="T57" s="74"/>
      <c r="U57" s="43"/>
      <c r="V57" s="85"/>
      <c r="W57" s="43"/>
      <c r="X57" s="97"/>
      <c r="Y57" s="43"/>
      <c r="Z57" s="193"/>
      <c r="AA57" s="193"/>
      <c r="AB57" s="97"/>
      <c r="AC57" s="193"/>
      <c r="AD57" s="193"/>
      <c r="AE57" s="193"/>
      <c r="AF57" s="97"/>
      <c r="AG57" s="193"/>
      <c r="AH57" s="193"/>
      <c r="AI57" s="97"/>
    </row>
    <row r="58" spans="1:35" x14ac:dyDescent="0.2">
      <c r="J58" s="42"/>
      <c r="K58" s="43"/>
      <c r="L58" s="42"/>
      <c r="M58" s="43"/>
      <c r="N58" s="43"/>
      <c r="O58" s="43"/>
      <c r="P58" s="43"/>
      <c r="R58" s="43"/>
      <c r="S58" s="43"/>
      <c r="T58" s="74"/>
      <c r="U58" s="43"/>
      <c r="V58" s="85"/>
      <c r="W58" s="43"/>
      <c r="X58" s="97"/>
      <c r="Y58" s="43"/>
      <c r="Z58" s="193"/>
      <c r="AA58" s="193"/>
      <c r="AB58" s="97"/>
      <c r="AC58" s="193"/>
      <c r="AD58" s="193"/>
      <c r="AE58" s="193"/>
      <c r="AF58" s="97"/>
      <c r="AG58" s="193"/>
      <c r="AH58" s="193"/>
      <c r="AI58" s="97"/>
    </row>
    <row r="59" spans="1:35" x14ac:dyDescent="0.2">
      <c r="J59" s="42"/>
      <c r="K59" s="43"/>
      <c r="L59" s="42"/>
      <c r="M59" s="43"/>
      <c r="N59" s="43"/>
      <c r="O59" s="43"/>
      <c r="P59" s="43"/>
      <c r="R59" s="43"/>
      <c r="S59" s="43"/>
      <c r="T59" s="74"/>
      <c r="U59" s="43"/>
      <c r="V59" s="85"/>
      <c r="W59" s="43"/>
      <c r="X59" s="97"/>
      <c r="Y59" s="43"/>
      <c r="Z59" s="193"/>
      <c r="AA59" s="193"/>
      <c r="AB59" s="97"/>
      <c r="AC59" s="193"/>
      <c r="AD59" s="193"/>
      <c r="AE59" s="193"/>
      <c r="AF59" s="97"/>
      <c r="AG59" s="193"/>
      <c r="AH59" s="193"/>
      <c r="AI59" s="97"/>
    </row>
    <row r="60" spans="1:35" x14ac:dyDescent="0.2">
      <c r="J60" s="42"/>
      <c r="K60" s="43"/>
      <c r="L60" s="42"/>
      <c r="M60" s="43"/>
      <c r="N60" s="43"/>
      <c r="O60" s="43"/>
      <c r="P60" s="43"/>
      <c r="R60" s="43"/>
      <c r="S60" s="43"/>
      <c r="T60" s="74"/>
      <c r="U60" s="43"/>
      <c r="V60" s="85"/>
      <c r="W60" s="43"/>
      <c r="X60" s="97"/>
      <c r="Y60" s="43"/>
      <c r="Z60" s="193"/>
      <c r="AA60" s="193"/>
      <c r="AB60" s="97"/>
      <c r="AC60" s="193"/>
      <c r="AD60" s="193"/>
      <c r="AE60" s="193"/>
      <c r="AF60" s="97"/>
      <c r="AG60" s="193"/>
      <c r="AH60" s="193"/>
      <c r="AI60" s="97"/>
    </row>
    <row r="61" spans="1:35" x14ac:dyDescent="0.2">
      <c r="J61" s="42"/>
      <c r="K61" s="43"/>
      <c r="L61" s="42"/>
      <c r="M61" s="43"/>
      <c r="N61" s="43"/>
      <c r="O61" s="43"/>
      <c r="P61" s="43"/>
      <c r="R61" s="43"/>
      <c r="S61" s="43"/>
      <c r="T61" s="74"/>
      <c r="U61" s="43"/>
      <c r="V61" s="85"/>
      <c r="W61" s="43"/>
      <c r="X61" s="97"/>
      <c r="Y61" s="43"/>
      <c r="Z61" s="193"/>
      <c r="AA61" s="193"/>
      <c r="AB61" s="97"/>
      <c r="AC61" s="193"/>
      <c r="AD61" s="193"/>
      <c r="AE61" s="193"/>
      <c r="AF61" s="97"/>
      <c r="AG61" s="193"/>
      <c r="AH61" s="193"/>
      <c r="AI61" s="97"/>
    </row>
    <row r="62" spans="1:35" x14ac:dyDescent="0.2">
      <c r="J62" s="42"/>
      <c r="K62" s="43"/>
      <c r="L62" s="42"/>
      <c r="M62" s="43"/>
      <c r="N62" s="43"/>
      <c r="O62" s="43"/>
      <c r="P62" s="43"/>
      <c r="R62" s="43"/>
      <c r="S62" s="43"/>
      <c r="T62" s="74"/>
      <c r="U62" s="43"/>
      <c r="V62" s="85"/>
      <c r="W62" s="43"/>
      <c r="X62" s="97"/>
      <c r="Y62" s="43"/>
      <c r="Z62" s="193"/>
      <c r="AA62" s="193"/>
      <c r="AB62" s="97"/>
      <c r="AC62" s="193"/>
      <c r="AD62" s="193"/>
      <c r="AE62" s="193"/>
      <c r="AF62" s="97"/>
      <c r="AG62" s="193"/>
      <c r="AH62" s="193"/>
      <c r="AI62" s="97"/>
    </row>
    <row r="63" spans="1:35" x14ac:dyDescent="0.2">
      <c r="J63" s="42"/>
      <c r="K63" s="43"/>
      <c r="L63" s="42"/>
      <c r="M63" s="43"/>
      <c r="N63" s="43"/>
      <c r="O63" s="43"/>
      <c r="P63" s="43"/>
      <c r="R63" s="43"/>
      <c r="S63" s="43"/>
      <c r="T63" s="74"/>
      <c r="U63" s="43"/>
      <c r="V63" s="85"/>
      <c r="W63" s="43"/>
      <c r="X63" s="97"/>
      <c r="Y63" s="43"/>
      <c r="Z63" s="193"/>
      <c r="AA63" s="193"/>
      <c r="AB63" s="97"/>
      <c r="AC63" s="193"/>
      <c r="AD63" s="193"/>
      <c r="AE63" s="193"/>
      <c r="AF63" s="97"/>
      <c r="AG63" s="193"/>
      <c r="AH63" s="193"/>
      <c r="AI63" s="97"/>
    </row>
    <row r="64" spans="1:35" x14ac:dyDescent="0.2">
      <c r="J64" s="42"/>
      <c r="K64" s="43"/>
      <c r="L64" s="42"/>
      <c r="M64" s="43"/>
      <c r="N64" s="43"/>
      <c r="O64" s="43"/>
      <c r="P64" s="43"/>
      <c r="R64" s="43"/>
      <c r="S64" s="43"/>
      <c r="T64" s="74"/>
      <c r="U64" s="43"/>
      <c r="V64" s="85"/>
      <c r="W64" s="43"/>
      <c r="X64" s="97"/>
      <c r="Y64" s="43"/>
      <c r="Z64" s="193"/>
      <c r="AA64" s="193"/>
      <c r="AB64" s="97"/>
      <c r="AC64" s="193"/>
      <c r="AD64" s="193"/>
      <c r="AE64" s="193"/>
      <c r="AF64" s="97"/>
      <c r="AG64" s="193"/>
      <c r="AH64" s="193"/>
      <c r="AI64" s="97"/>
    </row>
    <row r="65" spans="10:35" x14ac:dyDescent="0.2">
      <c r="J65" s="42"/>
      <c r="K65" s="43"/>
      <c r="L65" s="42"/>
      <c r="M65" s="43"/>
      <c r="N65" s="43"/>
      <c r="O65" s="43"/>
      <c r="P65" s="43"/>
      <c r="R65" s="43"/>
      <c r="S65" s="43"/>
      <c r="T65" s="74"/>
      <c r="U65" s="43"/>
      <c r="V65" s="85"/>
      <c r="W65" s="43"/>
      <c r="X65" s="97"/>
      <c r="Y65" s="43"/>
      <c r="Z65" s="193"/>
      <c r="AA65" s="193"/>
      <c r="AB65" s="97"/>
      <c r="AC65" s="193"/>
      <c r="AD65" s="193"/>
      <c r="AE65" s="193"/>
      <c r="AF65" s="97"/>
      <c r="AG65" s="193"/>
      <c r="AH65" s="193"/>
      <c r="AI65" s="97"/>
    </row>
    <row r="66" spans="10:35" x14ac:dyDescent="0.2">
      <c r="J66" s="42"/>
      <c r="K66" s="43"/>
      <c r="L66" s="42"/>
      <c r="M66" s="43"/>
      <c r="N66" s="43"/>
      <c r="O66" s="43"/>
      <c r="P66" s="43"/>
      <c r="R66" s="43"/>
      <c r="S66" s="43"/>
      <c r="T66" s="74"/>
      <c r="U66" s="43"/>
      <c r="V66" s="85"/>
      <c r="W66" s="43"/>
      <c r="X66" s="97"/>
      <c r="Y66" s="43"/>
      <c r="Z66" s="193"/>
      <c r="AA66" s="193"/>
      <c r="AB66" s="97"/>
      <c r="AC66" s="193"/>
      <c r="AD66" s="193"/>
      <c r="AE66" s="193"/>
      <c r="AF66" s="97"/>
      <c r="AG66" s="193"/>
      <c r="AH66" s="193"/>
      <c r="AI66" s="97"/>
    </row>
    <row r="67" spans="10:35" x14ac:dyDescent="0.2">
      <c r="J67" s="42"/>
      <c r="K67" s="43"/>
      <c r="L67" s="42"/>
      <c r="M67" s="43"/>
      <c r="N67" s="43"/>
      <c r="O67" s="43"/>
      <c r="P67" s="43"/>
      <c r="R67" s="43"/>
      <c r="S67" s="43"/>
      <c r="T67" s="74"/>
      <c r="U67" s="43"/>
      <c r="V67" s="85"/>
      <c r="W67" s="43"/>
      <c r="X67" s="97"/>
      <c r="Y67" s="43"/>
      <c r="Z67" s="193"/>
      <c r="AA67" s="193"/>
      <c r="AB67" s="97"/>
      <c r="AC67" s="193"/>
      <c r="AD67" s="193"/>
      <c r="AE67" s="193"/>
      <c r="AF67" s="97"/>
      <c r="AG67" s="193"/>
      <c r="AH67" s="193"/>
      <c r="AI67" s="97"/>
    </row>
    <row r="68" spans="10:35" x14ac:dyDescent="0.2">
      <c r="J68" s="42"/>
      <c r="K68" s="43"/>
      <c r="L68" s="42"/>
      <c r="M68" s="43"/>
      <c r="N68" s="43"/>
      <c r="O68" s="43"/>
      <c r="P68" s="43"/>
      <c r="R68" s="43"/>
      <c r="S68" s="43"/>
      <c r="T68" s="74"/>
      <c r="U68" s="43"/>
      <c r="V68" s="85"/>
      <c r="W68" s="43"/>
      <c r="X68" s="97"/>
      <c r="Y68" s="43"/>
      <c r="Z68" s="193"/>
      <c r="AA68" s="193"/>
      <c r="AB68" s="97"/>
      <c r="AC68" s="193"/>
      <c r="AD68" s="193"/>
      <c r="AE68" s="193"/>
      <c r="AF68" s="97"/>
      <c r="AG68" s="193"/>
      <c r="AH68" s="193"/>
      <c r="AI68" s="97"/>
    </row>
    <row r="69" spans="10:35" x14ac:dyDescent="0.2">
      <c r="J69" s="42"/>
      <c r="K69" s="43"/>
      <c r="L69" s="42"/>
      <c r="M69" s="43"/>
      <c r="N69" s="43"/>
      <c r="O69" s="43"/>
      <c r="P69" s="43"/>
      <c r="R69" s="43"/>
      <c r="S69" s="43"/>
      <c r="T69" s="74"/>
      <c r="U69" s="43"/>
      <c r="V69" s="85"/>
      <c r="W69" s="43"/>
      <c r="X69" s="97"/>
      <c r="Y69" s="43"/>
      <c r="Z69" s="193"/>
      <c r="AA69" s="193"/>
      <c r="AB69" s="97"/>
      <c r="AC69" s="193"/>
      <c r="AD69" s="193"/>
      <c r="AE69" s="193"/>
      <c r="AF69" s="97"/>
      <c r="AG69" s="193"/>
      <c r="AH69" s="193"/>
      <c r="AI69" s="97"/>
    </row>
    <row r="70" spans="10:35" x14ac:dyDescent="0.2">
      <c r="J70" s="42"/>
      <c r="K70" s="43"/>
      <c r="L70" s="42"/>
      <c r="M70" s="43"/>
      <c r="N70" s="43"/>
      <c r="O70" s="43"/>
      <c r="P70" s="43"/>
      <c r="R70" s="43"/>
      <c r="S70" s="43"/>
      <c r="T70" s="74"/>
      <c r="U70" s="43"/>
      <c r="V70" s="85"/>
      <c r="W70" s="43"/>
      <c r="X70" s="97"/>
      <c r="Y70" s="43"/>
      <c r="Z70" s="193"/>
      <c r="AA70" s="193"/>
      <c r="AB70" s="97"/>
      <c r="AC70" s="193"/>
      <c r="AD70" s="193"/>
      <c r="AE70" s="193"/>
      <c r="AF70" s="97"/>
      <c r="AG70" s="193"/>
      <c r="AH70" s="193"/>
      <c r="AI70" s="97"/>
    </row>
    <row r="71" spans="10:35" x14ac:dyDescent="0.2">
      <c r="J71" s="42"/>
      <c r="K71" s="43"/>
      <c r="L71" s="42"/>
      <c r="M71" s="43"/>
      <c r="N71" s="43"/>
      <c r="O71" s="43"/>
      <c r="P71" s="43"/>
      <c r="R71" s="43"/>
      <c r="S71" s="43"/>
      <c r="T71" s="74"/>
      <c r="U71" s="43"/>
      <c r="V71" s="85"/>
      <c r="W71" s="43"/>
      <c r="X71" s="97"/>
      <c r="Y71" s="43"/>
      <c r="Z71" s="193"/>
      <c r="AA71" s="193"/>
      <c r="AB71" s="97"/>
      <c r="AC71" s="193"/>
      <c r="AD71" s="193"/>
      <c r="AE71" s="193"/>
      <c r="AF71" s="97"/>
      <c r="AG71" s="193"/>
      <c r="AH71" s="193"/>
      <c r="AI71" s="97"/>
    </row>
    <row r="72" spans="10:35" x14ac:dyDescent="0.2">
      <c r="J72" s="42"/>
      <c r="K72" s="43"/>
      <c r="L72" s="42"/>
      <c r="M72" s="43"/>
      <c r="N72" s="43"/>
      <c r="O72" s="43"/>
      <c r="P72" s="43"/>
      <c r="R72" s="43"/>
      <c r="S72" s="43"/>
      <c r="T72" s="74"/>
      <c r="U72" s="43"/>
      <c r="V72" s="85"/>
      <c r="W72" s="43"/>
      <c r="X72" s="97"/>
      <c r="Y72" s="43"/>
      <c r="Z72" s="193"/>
      <c r="AA72" s="193"/>
      <c r="AB72" s="97"/>
      <c r="AC72" s="193"/>
      <c r="AD72" s="193"/>
      <c r="AE72" s="193"/>
      <c r="AF72" s="97"/>
      <c r="AG72" s="193"/>
      <c r="AH72" s="193"/>
      <c r="AI72" s="97"/>
    </row>
    <row r="73" spans="10:35" x14ac:dyDescent="0.2">
      <c r="J73" s="42"/>
      <c r="K73" s="43"/>
      <c r="L73" s="42"/>
      <c r="M73" s="43"/>
      <c r="N73" s="43"/>
      <c r="O73" s="43"/>
      <c r="P73" s="43"/>
      <c r="R73" s="43"/>
      <c r="S73" s="43"/>
      <c r="T73" s="74"/>
      <c r="U73" s="43"/>
      <c r="V73" s="85"/>
      <c r="W73" s="43"/>
      <c r="X73" s="97"/>
      <c r="Y73" s="43"/>
      <c r="Z73" s="193"/>
      <c r="AA73" s="193"/>
      <c r="AB73" s="97"/>
      <c r="AC73" s="193"/>
      <c r="AD73" s="193"/>
      <c r="AE73" s="193"/>
      <c r="AF73" s="97"/>
      <c r="AG73" s="193"/>
      <c r="AH73" s="193"/>
      <c r="AI73" s="97"/>
    </row>
    <row r="74" spans="10:35" x14ac:dyDescent="0.2">
      <c r="J74" s="42"/>
      <c r="K74" s="43"/>
      <c r="L74" s="42"/>
      <c r="M74" s="43"/>
      <c r="N74" s="43"/>
      <c r="O74" s="43"/>
      <c r="P74" s="43"/>
      <c r="R74" s="43"/>
      <c r="S74" s="43"/>
      <c r="T74" s="74"/>
      <c r="U74" s="43"/>
      <c r="V74" s="85"/>
      <c r="W74" s="43"/>
      <c r="X74" s="97"/>
      <c r="Y74" s="43"/>
      <c r="Z74" s="193"/>
      <c r="AA74" s="193"/>
      <c r="AB74" s="97"/>
      <c r="AC74" s="193"/>
      <c r="AD74" s="193"/>
      <c r="AE74" s="193"/>
      <c r="AF74" s="97"/>
      <c r="AG74" s="193"/>
      <c r="AH74" s="193"/>
      <c r="AI74" s="97"/>
    </row>
    <row r="75" spans="10:35" x14ac:dyDescent="0.2">
      <c r="J75" s="42"/>
      <c r="K75" s="43"/>
      <c r="L75" s="42"/>
      <c r="M75" s="43"/>
      <c r="N75" s="43"/>
      <c r="O75" s="43"/>
      <c r="P75" s="43"/>
      <c r="R75" s="43"/>
      <c r="S75" s="43"/>
      <c r="T75" s="74"/>
      <c r="U75" s="43"/>
      <c r="V75" s="85"/>
      <c r="W75" s="43"/>
      <c r="X75" s="97"/>
      <c r="Y75" s="43"/>
      <c r="Z75" s="193"/>
      <c r="AA75" s="193"/>
      <c r="AB75" s="97"/>
      <c r="AC75" s="193"/>
      <c r="AD75" s="193"/>
      <c r="AE75" s="193"/>
      <c r="AF75" s="97"/>
      <c r="AG75" s="193"/>
      <c r="AH75" s="193"/>
      <c r="AI75" s="97"/>
    </row>
    <row r="76" spans="10:35" x14ac:dyDescent="0.2">
      <c r="J76" s="42"/>
      <c r="K76" s="43"/>
      <c r="L76" s="42"/>
      <c r="M76" s="43"/>
      <c r="N76" s="43"/>
      <c r="O76" s="43"/>
      <c r="P76" s="43"/>
      <c r="R76" s="43"/>
      <c r="S76" s="43"/>
      <c r="T76" s="74"/>
      <c r="U76" s="43"/>
      <c r="V76" s="85"/>
      <c r="W76" s="43"/>
      <c r="X76" s="97"/>
      <c r="Y76" s="43"/>
      <c r="Z76" s="193"/>
      <c r="AA76" s="193"/>
      <c r="AB76" s="97"/>
      <c r="AC76" s="193"/>
      <c r="AD76" s="193"/>
      <c r="AE76" s="193"/>
      <c r="AF76" s="97"/>
      <c r="AG76" s="193"/>
      <c r="AH76" s="193"/>
      <c r="AI76" s="97"/>
    </row>
    <row r="77" spans="10:35" x14ac:dyDescent="0.2">
      <c r="J77" s="42"/>
      <c r="K77" s="43"/>
      <c r="L77" s="42"/>
      <c r="M77" s="43"/>
      <c r="N77" s="43"/>
      <c r="O77" s="43"/>
      <c r="P77" s="43"/>
      <c r="R77" s="43"/>
      <c r="S77" s="43"/>
      <c r="T77" s="74"/>
      <c r="U77" s="43"/>
      <c r="V77" s="85"/>
      <c r="W77" s="43"/>
      <c r="X77" s="97"/>
      <c r="Y77" s="43"/>
      <c r="Z77" s="193"/>
      <c r="AA77" s="193"/>
      <c r="AB77" s="97"/>
      <c r="AC77" s="193"/>
      <c r="AD77" s="193"/>
      <c r="AE77" s="193"/>
      <c r="AF77" s="97"/>
      <c r="AG77" s="193"/>
      <c r="AH77" s="193"/>
      <c r="AI77" s="97"/>
    </row>
    <row r="78" spans="10:35" x14ac:dyDescent="0.2">
      <c r="J78" s="42"/>
      <c r="K78" s="43"/>
      <c r="L78" s="42"/>
      <c r="M78" s="43"/>
      <c r="N78" s="43"/>
      <c r="O78" s="43"/>
      <c r="P78" s="43"/>
      <c r="R78" s="43"/>
      <c r="S78" s="43"/>
      <c r="T78" s="74"/>
      <c r="U78" s="43"/>
      <c r="V78" s="85"/>
      <c r="W78" s="43"/>
      <c r="X78" s="97"/>
      <c r="Y78" s="43"/>
      <c r="Z78" s="193"/>
      <c r="AA78" s="193"/>
      <c r="AB78" s="97"/>
      <c r="AC78" s="193"/>
      <c r="AD78" s="193"/>
      <c r="AE78" s="193"/>
      <c r="AF78" s="97"/>
      <c r="AG78" s="193"/>
      <c r="AH78" s="193"/>
      <c r="AI78" s="97"/>
    </row>
    <row r="79" spans="10:35" x14ac:dyDescent="0.2">
      <c r="J79" s="42"/>
      <c r="K79" s="43"/>
      <c r="L79" s="42"/>
      <c r="M79" s="43"/>
      <c r="N79" s="43"/>
      <c r="O79" s="43"/>
      <c r="P79" s="43"/>
      <c r="R79" s="43"/>
      <c r="S79" s="43"/>
      <c r="T79" s="74"/>
      <c r="U79" s="43"/>
      <c r="V79" s="85"/>
      <c r="W79" s="43"/>
      <c r="X79" s="97"/>
      <c r="Y79" s="43"/>
      <c r="Z79" s="193"/>
      <c r="AA79" s="193"/>
      <c r="AB79" s="97"/>
      <c r="AC79" s="193"/>
      <c r="AD79" s="193"/>
      <c r="AE79" s="193"/>
      <c r="AF79" s="97"/>
      <c r="AG79" s="193"/>
      <c r="AH79" s="193"/>
      <c r="AI79" s="97"/>
    </row>
    <row r="80" spans="10:35" x14ac:dyDescent="0.2">
      <c r="J80" s="42"/>
      <c r="K80" s="43"/>
      <c r="L80" s="42"/>
      <c r="M80" s="43"/>
      <c r="N80" s="43"/>
      <c r="O80" s="43"/>
      <c r="P80" s="43"/>
      <c r="R80" s="43"/>
      <c r="S80" s="43"/>
      <c r="T80" s="74"/>
      <c r="U80" s="43"/>
      <c r="V80" s="85"/>
      <c r="W80" s="43"/>
      <c r="X80" s="97"/>
      <c r="Y80" s="43"/>
      <c r="Z80" s="193"/>
      <c r="AA80" s="193"/>
      <c r="AB80" s="97"/>
      <c r="AC80" s="193"/>
      <c r="AD80" s="193"/>
      <c r="AE80" s="193"/>
      <c r="AF80" s="97"/>
      <c r="AG80" s="193"/>
      <c r="AH80" s="193"/>
      <c r="AI80" s="97"/>
    </row>
    <row r="81" spans="10:35" x14ac:dyDescent="0.2">
      <c r="J81" s="42"/>
      <c r="K81" s="43"/>
      <c r="L81" s="42"/>
      <c r="M81" s="43"/>
      <c r="N81" s="43"/>
      <c r="O81" s="43"/>
      <c r="P81" s="43"/>
      <c r="R81" s="43"/>
      <c r="S81" s="43"/>
      <c r="T81" s="74"/>
      <c r="U81" s="43"/>
      <c r="V81" s="85"/>
      <c r="W81" s="43"/>
      <c r="X81" s="97"/>
      <c r="Y81" s="43"/>
      <c r="Z81" s="193"/>
      <c r="AA81" s="193"/>
      <c r="AB81" s="97"/>
      <c r="AC81" s="193"/>
      <c r="AD81" s="193"/>
      <c r="AE81" s="193"/>
      <c r="AF81" s="97"/>
      <c r="AG81" s="193"/>
      <c r="AH81" s="193"/>
      <c r="AI81" s="97"/>
    </row>
    <row r="82" spans="10:35" x14ac:dyDescent="0.2">
      <c r="J82" s="42"/>
      <c r="K82" s="43"/>
      <c r="L82" s="42"/>
      <c r="M82" s="43"/>
      <c r="N82" s="43"/>
      <c r="O82" s="43"/>
      <c r="P82" s="43"/>
      <c r="R82" s="43"/>
      <c r="S82" s="43"/>
      <c r="T82" s="74"/>
      <c r="U82" s="43"/>
      <c r="V82" s="85"/>
      <c r="W82" s="43"/>
      <c r="X82" s="97"/>
      <c r="Y82" s="43"/>
      <c r="Z82" s="193"/>
      <c r="AA82" s="193"/>
      <c r="AB82" s="97"/>
      <c r="AC82" s="193"/>
      <c r="AD82" s="193"/>
      <c r="AE82" s="193"/>
      <c r="AF82" s="97"/>
      <c r="AG82" s="193"/>
      <c r="AH82" s="193"/>
      <c r="AI82" s="97"/>
    </row>
    <row r="83" spans="10:35" x14ac:dyDescent="0.2">
      <c r="J83" s="42"/>
      <c r="K83" s="43"/>
      <c r="L83" s="42"/>
      <c r="M83" s="43"/>
      <c r="N83" s="43"/>
      <c r="O83" s="43"/>
      <c r="P83" s="43"/>
      <c r="R83" s="43"/>
      <c r="S83" s="43"/>
      <c r="T83" s="74"/>
      <c r="U83" s="43"/>
      <c r="V83" s="85"/>
      <c r="W83" s="43"/>
      <c r="X83" s="97"/>
      <c r="Y83" s="43"/>
      <c r="Z83" s="193"/>
      <c r="AA83" s="193"/>
      <c r="AB83" s="97"/>
      <c r="AC83" s="193"/>
      <c r="AD83" s="193"/>
      <c r="AE83" s="193"/>
      <c r="AF83" s="97"/>
      <c r="AG83" s="193"/>
      <c r="AH83" s="193"/>
      <c r="AI83" s="97"/>
    </row>
    <row r="84" spans="10:35" x14ac:dyDescent="0.2">
      <c r="J84" s="42"/>
      <c r="K84" s="43"/>
      <c r="L84" s="42"/>
      <c r="M84" s="43"/>
      <c r="N84" s="43"/>
      <c r="O84" s="43"/>
      <c r="P84" s="43"/>
      <c r="R84" s="43"/>
      <c r="S84" s="43"/>
      <c r="T84" s="74"/>
      <c r="U84" s="43"/>
      <c r="V84" s="85"/>
      <c r="W84" s="43"/>
      <c r="X84" s="97"/>
      <c r="Y84" s="43"/>
      <c r="Z84" s="193"/>
      <c r="AA84" s="193"/>
      <c r="AB84" s="97"/>
      <c r="AC84" s="193"/>
      <c r="AD84" s="193"/>
      <c r="AE84" s="193"/>
      <c r="AF84" s="97"/>
      <c r="AG84" s="193"/>
      <c r="AH84" s="193"/>
      <c r="AI84" s="97"/>
    </row>
    <row r="85" spans="10:35" x14ac:dyDescent="0.2">
      <c r="J85" s="42"/>
      <c r="K85" s="43"/>
      <c r="L85" s="42"/>
      <c r="M85" s="43"/>
      <c r="N85" s="43"/>
      <c r="O85" s="43"/>
      <c r="P85" s="43"/>
      <c r="R85" s="43"/>
      <c r="S85" s="43"/>
      <c r="T85" s="74"/>
      <c r="U85" s="43"/>
      <c r="V85" s="85"/>
      <c r="W85" s="43"/>
      <c r="X85" s="97"/>
      <c r="Y85" s="43"/>
      <c r="Z85" s="193"/>
      <c r="AA85" s="193"/>
      <c r="AB85" s="97"/>
      <c r="AC85" s="193"/>
      <c r="AD85" s="193"/>
      <c r="AE85" s="193"/>
      <c r="AF85" s="97"/>
      <c r="AG85" s="193"/>
      <c r="AH85" s="193"/>
      <c r="AI85" s="97"/>
    </row>
    <row r="86" spans="10:35" x14ac:dyDescent="0.2">
      <c r="J86" s="42"/>
      <c r="K86" s="43"/>
      <c r="L86" s="42"/>
      <c r="M86" s="43"/>
      <c r="N86" s="43"/>
      <c r="O86" s="43"/>
      <c r="P86" s="43"/>
      <c r="R86" s="43"/>
      <c r="S86" s="43"/>
      <c r="T86" s="74"/>
      <c r="U86" s="43"/>
      <c r="V86" s="85"/>
      <c r="W86" s="43"/>
      <c r="X86" s="97"/>
      <c r="Y86" s="43"/>
      <c r="Z86" s="193"/>
      <c r="AA86" s="193"/>
      <c r="AB86" s="97"/>
      <c r="AC86" s="193"/>
      <c r="AD86" s="193"/>
      <c r="AE86" s="193"/>
      <c r="AF86" s="97"/>
      <c r="AG86" s="193"/>
      <c r="AH86" s="193"/>
      <c r="AI86" s="97"/>
    </row>
    <row r="87" spans="10:35" x14ac:dyDescent="0.2">
      <c r="J87" s="42"/>
      <c r="K87" s="43"/>
      <c r="L87" s="42"/>
      <c r="M87" s="43"/>
      <c r="N87" s="43"/>
      <c r="O87" s="43"/>
      <c r="P87" s="43"/>
      <c r="R87" s="43"/>
      <c r="S87" s="43"/>
      <c r="T87" s="74"/>
      <c r="U87" s="43"/>
      <c r="V87" s="85"/>
      <c r="W87" s="43"/>
      <c r="X87" s="97"/>
      <c r="Y87" s="43"/>
      <c r="Z87" s="193"/>
      <c r="AA87" s="193"/>
      <c r="AB87" s="97"/>
      <c r="AC87" s="193"/>
      <c r="AD87" s="193"/>
      <c r="AE87" s="193"/>
      <c r="AF87" s="97"/>
      <c r="AG87" s="193"/>
      <c r="AH87" s="193"/>
      <c r="AI87" s="97"/>
    </row>
    <row r="88" spans="10:35" x14ac:dyDescent="0.2">
      <c r="J88" s="42"/>
      <c r="K88" s="43"/>
      <c r="L88" s="42"/>
      <c r="M88" s="43"/>
      <c r="N88" s="43"/>
      <c r="O88" s="43"/>
      <c r="P88" s="43"/>
      <c r="R88" s="43"/>
      <c r="S88" s="43"/>
      <c r="T88" s="74"/>
      <c r="U88" s="43"/>
      <c r="V88" s="85"/>
      <c r="W88" s="43"/>
      <c r="X88" s="97"/>
      <c r="Y88" s="43"/>
      <c r="Z88" s="193"/>
      <c r="AA88" s="193"/>
      <c r="AB88" s="97"/>
      <c r="AC88" s="193"/>
      <c r="AD88" s="193"/>
      <c r="AE88" s="193"/>
      <c r="AF88" s="97"/>
      <c r="AG88" s="193"/>
      <c r="AH88" s="193"/>
      <c r="AI88" s="97"/>
    </row>
    <row r="89" spans="10:35" x14ac:dyDescent="0.2">
      <c r="J89" s="42"/>
      <c r="K89" s="43"/>
      <c r="L89" s="42"/>
      <c r="M89" s="43"/>
      <c r="N89" s="43"/>
      <c r="O89" s="43"/>
      <c r="P89" s="43"/>
      <c r="R89" s="43"/>
      <c r="S89" s="43"/>
      <c r="T89" s="74"/>
      <c r="U89" s="43"/>
      <c r="V89" s="85"/>
      <c r="W89" s="43"/>
      <c r="X89" s="97"/>
      <c r="Y89" s="43"/>
      <c r="Z89" s="193"/>
      <c r="AA89" s="193"/>
      <c r="AB89" s="97"/>
      <c r="AC89" s="193"/>
      <c r="AD89" s="193"/>
      <c r="AE89" s="193"/>
      <c r="AF89" s="97"/>
      <c r="AG89" s="193"/>
      <c r="AH89" s="193"/>
      <c r="AI89" s="97"/>
    </row>
    <row r="90" spans="10:35" x14ac:dyDescent="0.2">
      <c r="J90" s="42"/>
      <c r="K90" s="43"/>
      <c r="L90" s="42"/>
      <c r="M90" s="43"/>
      <c r="N90" s="43"/>
      <c r="O90" s="43"/>
      <c r="P90" s="43"/>
      <c r="R90" s="43"/>
      <c r="S90" s="43"/>
      <c r="T90" s="74"/>
      <c r="U90" s="43"/>
      <c r="V90" s="85"/>
      <c r="W90" s="43"/>
      <c r="X90" s="97"/>
      <c r="Y90" s="43"/>
      <c r="Z90" s="193"/>
      <c r="AA90" s="193"/>
      <c r="AB90" s="97"/>
      <c r="AC90" s="193"/>
      <c r="AD90" s="193"/>
      <c r="AE90" s="193"/>
      <c r="AF90" s="97"/>
      <c r="AG90" s="193"/>
      <c r="AH90" s="193"/>
      <c r="AI90" s="97"/>
    </row>
    <row r="91" spans="10:35" x14ac:dyDescent="0.2">
      <c r="J91" s="42"/>
      <c r="K91" s="43"/>
      <c r="L91" s="42"/>
      <c r="M91" s="43"/>
      <c r="N91" s="43"/>
      <c r="O91" s="43"/>
      <c r="P91" s="43"/>
      <c r="R91" s="43"/>
      <c r="S91" s="43"/>
      <c r="T91" s="74"/>
      <c r="U91" s="43"/>
      <c r="V91" s="85"/>
      <c r="W91" s="43"/>
      <c r="X91" s="97"/>
      <c r="Y91" s="43"/>
      <c r="Z91" s="193"/>
      <c r="AA91" s="193"/>
      <c r="AB91" s="97"/>
      <c r="AC91" s="193"/>
      <c r="AD91" s="193"/>
      <c r="AE91" s="193"/>
      <c r="AF91" s="97"/>
      <c r="AG91" s="193"/>
      <c r="AH91" s="193"/>
      <c r="AI91" s="97"/>
    </row>
    <row r="92" spans="10:35" x14ac:dyDescent="0.2">
      <c r="J92" s="42"/>
      <c r="K92" s="43"/>
      <c r="L92" s="42"/>
      <c r="M92" s="43"/>
      <c r="N92" s="43"/>
      <c r="O92" s="43"/>
      <c r="P92" s="43"/>
      <c r="R92" s="43"/>
      <c r="S92" s="43"/>
      <c r="T92" s="74"/>
      <c r="U92" s="43"/>
      <c r="V92" s="85"/>
      <c r="W92" s="43"/>
      <c r="X92" s="97"/>
      <c r="Y92" s="43"/>
      <c r="Z92" s="193"/>
      <c r="AA92" s="193"/>
      <c r="AB92" s="97"/>
      <c r="AC92" s="193"/>
      <c r="AD92" s="193"/>
      <c r="AE92" s="193"/>
      <c r="AF92" s="97"/>
      <c r="AG92" s="193"/>
      <c r="AH92" s="193"/>
      <c r="AI92" s="97"/>
    </row>
    <row r="93" spans="10:35" x14ac:dyDescent="0.2">
      <c r="J93" s="42"/>
      <c r="K93" s="43"/>
      <c r="L93" s="42"/>
      <c r="M93" s="43"/>
      <c r="N93" s="43"/>
      <c r="O93" s="43"/>
      <c r="P93" s="43"/>
      <c r="R93" s="43"/>
      <c r="S93" s="43"/>
      <c r="T93" s="74"/>
      <c r="U93" s="43"/>
      <c r="V93" s="85"/>
      <c r="W93" s="43"/>
      <c r="X93" s="97"/>
      <c r="Y93" s="43"/>
      <c r="Z93" s="193"/>
      <c r="AA93" s="193"/>
      <c r="AB93" s="97"/>
      <c r="AC93" s="193"/>
      <c r="AD93" s="193"/>
      <c r="AE93" s="193"/>
      <c r="AF93" s="97"/>
      <c r="AG93" s="193"/>
      <c r="AH93" s="193"/>
      <c r="AI93" s="97"/>
    </row>
    <row r="94" spans="10:35" x14ac:dyDescent="0.2">
      <c r="J94" s="42"/>
      <c r="K94" s="43"/>
      <c r="L94" s="42"/>
      <c r="M94" s="43"/>
      <c r="N94" s="43"/>
      <c r="O94" s="43"/>
      <c r="P94" s="43"/>
      <c r="R94" s="43"/>
      <c r="S94" s="43"/>
      <c r="T94" s="74"/>
      <c r="U94" s="43"/>
      <c r="V94" s="85"/>
      <c r="W94" s="43"/>
      <c r="X94" s="97"/>
      <c r="Y94" s="43"/>
      <c r="Z94" s="193"/>
      <c r="AA94" s="193"/>
      <c r="AB94" s="97"/>
      <c r="AC94" s="193"/>
      <c r="AD94" s="193"/>
      <c r="AE94" s="193"/>
      <c r="AF94" s="97"/>
      <c r="AG94" s="193"/>
      <c r="AH94" s="193"/>
      <c r="AI94" s="97"/>
    </row>
    <row r="95" spans="10:35" x14ac:dyDescent="0.2">
      <c r="J95" s="42"/>
      <c r="K95" s="43"/>
      <c r="L95" s="42"/>
      <c r="M95" s="43"/>
      <c r="N95" s="43"/>
      <c r="O95" s="43"/>
      <c r="P95" s="43"/>
      <c r="R95" s="43"/>
      <c r="S95" s="43"/>
      <c r="T95" s="74"/>
      <c r="U95" s="43"/>
      <c r="V95" s="85"/>
      <c r="W95" s="43"/>
      <c r="X95" s="97"/>
      <c r="Y95" s="43"/>
      <c r="Z95" s="193"/>
      <c r="AA95" s="193"/>
      <c r="AB95" s="97"/>
      <c r="AC95" s="193"/>
      <c r="AD95" s="193"/>
      <c r="AE95" s="193"/>
      <c r="AF95" s="97"/>
      <c r="AG95" s="193"/>
      <c r="AH95" s="193"/>
      <c r="AI95" s="97"/>
    </row>
    <row r="96" spans="10:35" x14ac:dyDescent="0.2">
      <c r="J96" s="42"/>
      <c r="K96" s="43"/>
      <c r="L96" s="42"/>
      <c r="M96" s="43"/>
      <c r="N96" s="43"/>
      <c r="O96" s="43"/>
      <c r="P96" s="43"/>
      <c r="R96" s="43"/>
      <c r="S96" s="43"/>
      <c r="T96" s="74"/>
      <c r="U96" s="43"/>
      <c r="V96" s="85"/>
      <c r="W96" s="43"/>
      <c r="X96" s="97"/>
      <c r="Y96" s="43"/>
      <c r="Z96" s="193"/>
      <c r="AA96" s="193"/>
      <c r="AB96" s="97"/>
      <c r="AC96" s="193"/>
      <c r="AD96" s="193"/>
      <c r="AE96" s="193"/>
      <c r="AF96" s="97"/>
      <c r="AG96" s="193"/>
      <c r="AH96" s="193"/>
      <c r="AI96" s="97"/>
    </row>
    <row r="97" spans="10:35" x14ac:dyDescent="0.2">
      <c r="J97" s="42"/>
      <c r="K97" s="43"/>
      <c r="L97" s="42"/>
      <c r="M97" s="43"/>
      <c r="N97" s="43"/>
      <c r="O97" s="43"/>
      <c r="P97" s="43"/>
      <c r="R97" s="43"/>
      <c r="S97" s="43"/>
      <c r="T97" s="74"/>
      <c r="U97" s="43"/>
      <c r="V97" s="85"/>
      <c r="W97" s="43"/>
      <c r="X97" s="97"/>
      <c r="Y97" s="43"/>
      <c r="Z97" s="193"/>
      <c r="AA97" s="193"/>
      <c r="AB97" s="97"/>
      <c r="AC97" s="193"/>
      <c r="AD97" s="193"/>
      <c r="AE97" s="193"/>
      <c r="AF97" s="97"/>
      <c r="AG97" s="193"/>
      <c r="AH97" s="193"/>
      <c r="AI97" s="97"/>
    </row>
    <row r="98" spans="10:35" x14ac:dyDescent="0.2">
      <c r="J98" s="42"/>
      <c r="K98" s="43"/>
      <c r="L98" s="42"/>
      <c r="M98" s="43"/>
      <c r="N98" s="43"/>
      <c r="O98" s="43"/>
      <c r="P98" s="43"/>
      <c r="R98" s="43"/>
      <c r="S98" s="43"/>
      <c r="T98" s="74"/>
      <c r="U98" s="43"/>
      <c r="V98" s="85"/>
      <c r="W98" s="43"/>
      <c r="X98" s="97"/>
      <c r="Y98" s="43"/>
      <c r="Z98" s="193"/>
      <c r="AA98" s="193"/>
      <c r="AB98" s="97"/>
      <c r="AC98" s="193"/>
      <c r="AD98" s="193"/>
      <c r="AE98" s="193"/>
      <c r="AF98" s="97"/>
      <c r="AG98" s="193"/>
      <c r="AH98" s="193"/>
      <c r="AI98" s="97"/>
    </row>
    <row r="99" spans="10:35" x14ac:dyDescent="0.2">
      <c r="J99" s="42"/>
      <c r="K99" s="43"/>
      <c r="L99" s="42"/>
      <c r="M99" s="43"/>
      <c r="N99" s="43"/>
      <c r="O99" s="43"/>
      <c r="P99" s="43"/>
      <c r="R99" s="43"/>
      <c r="S99" s="43"/>
      <c r="T99" s="74"/>
      <c r="U99" s="43"/>
      <c r="V99" s="85"/>
      <c r="W99" s="43"/>
      <c r="X99" s="97"/>
      <c r="Y99" s="43"/>
      <c r="Z99" s="193"/>
      <c r="AA99" s="193"/>
      <c r="AB99" s="97"/>
      <c r="AC99" s="193"/>
      <c r="AD99" s="193"/>
      <c r="AE99" s="193"/>
      <c r="AF99" s="97"/>
      <c r="AG99" s="193"/>
      <c r="AH99" s="193"/>
      <c r="AI99" s="97"/>
    </row>
    <row r="100" spans="10:35" x14ac:dyDescent="0.2">
      <c r="J100" s="42"/>
      <c r="K100" s="43"/>
      <c r="L100" s="42"/>
      <c r="M100" s="43"/>
      <c r="N100" s="43"/>
      <c r="O100" s="43"/>
      <c r="P100" s="43"/>
      <c r="R100" s="43"/>
      <c r="S100" s="43"/>
      <c r="T100" s="74"/>
      <c r="U100" s="43"/>
      <c r="V100" s="85"/>
      <c r="W100" s="43"/>
      <c r="X100" s="97"/>
      <c r="Y100" s="43"/>
      <c r="Z100" s="193"/>
      <c r="AA100" s="193"/>
      <c r="AB100" s="97"/>
      <c r="AC100" s="193"/>
      <c r="AD100" s="193"/>
      <c r="AE100" s="193"/>
      <c r="AF100" s="97"/>
      <c r="AG100" s="193"/>
      <c r="AH100" s="193"/>
      <c r="AI100" s="97"/>
    </row>
    <row r="101" spans="10:35" x14ac:dyDescent="0.2">
      <c r="J101" s="42"/>
      <c r="K101" s="43"/>
      <c r="L101" s="42"/>
      <c r="M101" s="43"/>
      <c r="N101" s="43"/>
      <c r="O101" s="43"/>
      <c r="P101" s="43"/>
      <c r="R101" s="43"/>
      <c r="S101" s="43"/>
      <c r="T101" s="74"/>
      <c r="U101" s="43"/>
      <c r="V101" s="85"/>
      <c r="W101" s="43"/>
      <c r="X101" s="97"/>
      <c r="Y101" s="43"/>
      <c r="Z101" s="193"/>
      <c r="AA101" s="193"/>
      <c r="AB101" s="97"/>
      <c r="AC101" s="193"/>
      <c r="AD101" s="193"/>
      <c r="AE101" s="193"/>
      <c r="AF101" s="97"/>
      <c r="AG101" s="193"/>
      <c r="AH101" s="193"/>
      <c r="AI101" s="97"/>
    </row>
    <row r="102" spans="10:35" x14ac:dyDescent="0.2">
      <c r="J102" s="42"/>
      <c r="K102" s="43"/>
      <c r="L102" s="42"/>
      <c r="M102" s="43"/>
      <c r="N102" s="43"/>
      <c r="O102" s="43"/>
      <c r="P102" s="43"/>
      <c r="R102" s="43"/>
      <c r="S102" s="43"/>
      <c r="T102" s="74"/>
      <c r="U102" s="43"/>
      <c r="V102" s="85"/>
      <c r="W102" s="43"/>
      <c r="X102" s="97"/>
      <c r="Y102" s="43"/>
      <c r="Z102" s="193"/>
      <c r="AA102" s="193"/>
      <c r="AB102" s="97"/>
      <c r="AC102" s="193"/>
      <c r="AD102" s="193"/>
      <c r="AE102" s="193"/>
      <c r="AF102" s="97"/>
      <c r="AG102" s="193"/>
      <c r="AH102" s="193"/>
      <c r="AI102" s="97"/>
    </row>
    <row r="103" spans="10:35" x14ac:dyDescent="0.2">
      <c r="J103" s="42"/>
      <c r="K103" s="43"/>
      <c r="L103" s="42"/>
      <c r="M103" s="43"/>
      <c r="N103" s="43"/>
      <c r="O103" s="43"/>
      <c r="P103" s="43"/>
      <c r="R103" s="43"/>
      <c r="S103" s="43"/>
      <c r="T103" s="74"/>
      <c r="U103" s="43"/>
      <c r="V103" s="85"/>
      <c r="W103" s="43"/>
      <c r="X103" s="97"/>
      <c r="Y103" s="43"/>
      <c r="Z103" s="193"/>
      <c r="AA103" s="193"/>
      <c r="AB103" s="97"/>
      <c r="AC103" s="193"/>
      <c r="AD103" s="193"/>
      <c r="AE103" s="193"/>
      <c r="AF103" s="97"/>
      <c r="AG103" s="193"/>
      <c r="AH103" s="193"/>
      <c r="AI103" s="97"/>
    </row>
    <row r="104" spans="10:35" x14ac:dyDescent="0.2">
      <c r="J104" s="42"/>
      <c r="K104" s="43"/>
      <c r="L104" s="42"/>
      <c r="M104" s="43"/>
      <c r="N104" s="43"/>
      <c r="O104" s="43"/>
      <c r="P104" s="43"/>
      <c r="R104" s="43"/>
      <c r="S104" s="43"/>
      <c r="T104" s="74"/>
      <c r="U104" s="43"/>
      <c r="V104" s="85"/>
      <c r="W104" s="43"/>
      <c r="X104" s="97"/>
      <c r="Y104" s="43"/>
      <c r="Z104" s="193"/>
      <c r="AA104" s="193"/>
      <c r="AB104" s="97"/>
      <c r="AC104" s="193"/>
      <c r="AD104" s="193"/>
      <c r="AE104" s="193"/>
      <c r="AF104" s="97"/>
      <c r="AG104" s="193"/>
      <c r="AH104" s="193"/>
      <c r="AI104" s="97"/>
    </row>
    <row r="105" spans="10:35" x14ac:dyDescent="0.2">
      <c r="J105" s="42"/>
      <c r="K105" s="43"/>
      <c r="L105" s="42"/>
      <c r="M105" s="43"/>
      <c r="N105" s="43"/>
      <c r="O105" s="43"/>
      <c r="P105" s="43"/>
      <c r="R105" s="43"/>
      <c r="S105" s="43"/>
      <c r="T105" s="74"/>
      <c r="U105" s="43"/>
      <c r="V105" s="85"/>
      <c r="W105" s="43"/>
      <c r="X105" s="97"/>
      <c r="Y105" s="43"/>
      <c r="Z105" s="193"/>
      <c r="AA105" s="193"/>
      <c r="AB105" s="97"/>
      <c r="AC105" s="193"/>
      <c r="AD105" s="193"/>
      <c r="AE105" s="193"/>
      <c r="AF105" s="97"/>
      <c r="AG105" s="193"/>
      <c r="AH105" s="193"/>
      <c r="AI105" s="97"/>
    </row>
    <row r="106" spans="10:35" x14ac:dyDescent="0.2">
      <c r="J106" s="42"/>
      <c r="K106" s="43"/>
      <c r="L106" s="42"/>
      <c r="M106" s="43"/>
      <c r="N106" s="43"/>
      <c r="O106" s="43"/>
      <c r="P106" s="43"/>
      <c r="R106" s="43"/>
      <c r="S106" s="43"/>
      <c r="T106" s="74"/>
      <c r="U106" s="43"/>
      <c r="V106" s="85"/>
      <c r="W106" s="43"/>
      <c r="X106" s="97"/>
      <c r="Y106" s="43"/>
      <c r="Z106" s="193"/>
      <c r="AA106" s="193"/>
      <c r="AB106" s="97"/>
      <c r="AC106" s="193"/>
      <c r="AD106" s="193"/>
      <c r="AE106" s="193"/>
      <c r="AF106" s="97"/>
      <c r="AG106" s="193"/>
      <c r="AH106" s="193"/>
      <c r="AI106" s="97"/>
    </row>
    <row r="107" spans="10:35" x14ac:dyDescent="0.2">
      <c r="J107" s="42"/>
      <c r="K107" s="43"/>
      <c r="L107" s="42"/>
      <c r="M107" s="43"/>
      <c r="N107" s="43"/>
      <c r="O107" s="43"/>
      <c r="P107" s="43"/>
      <c r="R107" s="43"/>
      <c r="S107" s="43"/>
      <c r="T107" s="74"/>
      <c r="U107" s="43"/>
      <c r="V107" s="85"/>
      <c r="W107" s="43"/>
      <c r="X107" s="97"/>
      <c r="Y107" s="43"/>
      <c r="Z107" s="193"/>
      <c r="AA107" s="193"/>
      <c r="AB107" s="97"/>
      <c r="AC107" s="193"/>
      <c r="AD107" s="193"/>
      <c r="AE107" s="193"/>
      <c r="AF107" s="97"/>
      <c r="AG107" s="193"/>
      <c r="AH107" s="193"/>
      <c r="AI107" s="97"/>
    </row>
    <row r="108" spans="10:35" x14ac:dyDescent="0.2">
      <c r="J108" s="42"/>
      <c r="K108" s="43"/>
      <c r="L108" s="42"/>
      <c r="M108" s="43"/>
      <c r="N108" s="43"/>
      <c r="O108" s="43"/>
      <c r="P108" s="43"/>
      <c r="R108" s="43"/>
      <c r="S108" s="43"/>
      <c r="T108" s="74"/>
      <c r="U108" s="43"/>
      <c r="V108" s="85"/>
      <c r="W108" s="43"/>
      <c r="X108" s="97"/>
      <c r="Y108" s="43"/>
      <c r="Z108" s="193"/>
      <c r="AA108" s="193"/>
      <c r="AB108" s="97"/>
      <c r="AC108" s="193"/>
      <c r="AD108" s="193"/>
      <c r="AE108" s="193"/>
      <c r="AF108" s="97"/>
      <c r="AG108" s="193"/>
      <c r="AH108" s="193"/>
      <c r="AI108" s="97"/>
    </row>
    <row r="109" spans="10:35" x14ac:dyDescent="0.2">
      <c r="J109" s="42"/>
      <c r="K109" s="43"/>
      <c r="L109" s="42"/>
      <c r="M109" s="43"/>
      <c r="N109" s="43"/>
      <c r="O109" s="43"/>
      <c r="P109" s="43"/>
      <c r="R109" s="43"/>
      <c r="S109" s="43"/>
      <c r="T109" s="74"/>
      <c r="U109" s="43"/>
      <c r="V109" s="85"/>
      <c r="W109" s="43"/>
      <c r="X109" s="97"/>
      <c r="Y109" s="43"/>
      <c r="Z109" s="193"/>
      <c r="AA109" s="193"/>
      <c r="AB109" s="97"/>
      <c r="AC109" s="193"/>
      <c r="AD109" s="193"/>
      <c r="AE109" s="193"/>
      <c r="AF109" s="97"/>
      <c r="AG109" s="193"/>
      <c r="AH109" s="193"/>
      <c r="AI109" s="97"/>
    </row>
    <row r="110" spans="10:35" x14ac:dyDescent="0.2">
      <c r="J110" s="42"/>
      <c r="K110" s="43"/>
      <c r="L110" s="42"/>
      <c r="M110" s="43"/>
      <c r="N110" s="43"/>
      <c r="O110" s="43"/>
      <c r="P110" s="43"/>
      <c r="R110" s="43"/>
      <c r="S110" s="43"/>
      <c r="T110" s="74"/>
      <c r="U110" s="43"/>
      <c r="V110" s="85"/>
      <c r="W110" s="43"/>
      <c r="X110" s="97"/>
      <c r="Y110" s="43"/>
      <c r="Z110" s="193"/>
      <c r="AA110" s="193"/>
      <c r="AB110" s="97"/>
      <c r="AC110" s="193"/>
      <c r="AD110" s="193"/>
      <c r="AE110" s="193"/>
      <c r="AF110" s="97"/>
      <c r="AG110" s="193"/>
      <c r="AH110" s="193"/>
      <c r="AI110" s="97"/>
    </row>
    <row r="111" spans="10:35" x14ac:dyDescent="0.2">
      <c r="J111" s="42"/>
      <c r="K111" s="43"/>
      <c r="L111" s="42"/>
      <c r="M111" s="43"/>
      <c r="N111" s="43"/>
      <c r="O111" s="43"/>
      <c r="P111" s="43"/>
      <c r="R111" s="43"/>
      <c r="S111" s="43"/>
      <c r="T111" s="74"/>
      <c r="U111" s="43"/>
      <c r="V111" s="85"/>
      <c r="W111" s="43"/>
      <c r="X111" s="97"/>
      <c r="Y111" s="43"/>
      <c r="Z111" s="193"/>
      <c r="AA111" s="193"/>
      <c r="AB111" s="97"/>
      <c r="AC111" s="193"/>
      <c r="AD111" s="193"/>
      <c r="AE111" s="193"/>
      <c r="AF111" s="97"/>
      <c r="AG111" s="193"/>
      <c r="AH111" s="193"/>
      <c r="AI111" s="97"/>
    </row>
    <row r="112" spans="10:35" x14ac:dyDescent="0.2">
      <c r="J112" s="42"/>
      <c r="K112" s="43"/>
      <c r="L112" s="42"/>
      <c r="M112" s="43"/>
      <c r="N112" s="43"/>
      <c r="O112" s="43"/>
      <c r="P112" s="43"/>
      <c r="R112" s="43"/>
      <c r="S112" s="43"/>
      <c r="T112" s="74"/>
      <c r="U112" s="43"/>
      <c r="V112" s="85"/>
      <c r="W112" s="43"/>
      <c r="X112" s="97"/>
      <c r="Y112" s="43"/>
      <c r="Z112" s="193"/>
      <c r="AA112" s="193"/>
      <c r="AB112" s="97"/>
      <c r="AC112" s="193"/>
      <c r="AD112" s="193"/>
      <c r="AE112" s="193"/>
      <c r="AF112" s="97"/>
      <c r="AG112" s="193"/>
      <c r="AH112" s="193"/>
      <c r="AI112" s="97"/>
    </row>
    <row r="113" spans="10:35" x14ac:dyDescent="0.2">
      <c r="J113" s="42"/>
      <c r="K113" s="43"/>
      <c r="L113" s="42"/>
      <c r="M113" s="43"/>
      <c r="N113" s="43"/>
      <c r="O113" s="43"/>
      <c r="P113" s="43"/>
      <c r="R113" s="43"/>
      <c r="S113" s="43"/>
      <c r="T113" s="74"/>
      <c r="U113" s="43"/>
      <c r="V113" s="85"/>
      <c r="W113" s="43"/>
      <c r="X113" s="97"/>
      <c r="Y113" s="43"/>
      <c r="Z113" s="193"/>
      <c r="AA113" s="193"/>
      <c r="AB113" s="97"/>
      <c r="AC113" s="193"/>
      <c r="AD113" s="193"/>
      <c r="AE113" s="193"/>
      <c r="AF113" s="97"/>
      <c r="AG113" s="193"/>
      <c r="AH113" s="193"/>
      <c r="AI113" s="97"/>
    </row>
    <row r="114" spans="10:35" x14ac:dyDescent="0.2">
      <c r="J114" s="42"/>
      <c r="K114" s="43"/>
      <c r="L114" s="42"/>
      <c r="M114" s="43"/>
      <c r="N114" s="43"/>
      <c r="O114" s="43"/>
      <c r="P114" s="43"/>
      <c r="R114" s="43"/>
      <c r="S114" s="43"/>
      <c r="T114" s="74"/>
      <c r="U114" s="43"/>
      <c r="V114" s="85"/>
      <c r="W114" s="43"/>
      <c r="X114" s="97"/>
      <c r="Y114" s="43"/>
      <c r="Z114" s="193"/>
      <c r="AA114" s="193"/>
      <c r="AB114" s="97"/>
      <c r="AC114" s="193"/>
      <c r="AD114" s="193"/>
      <c r="AE114" s="193"/>
      <c r="AF114" s="97"/>
      <c r="AG114" s="193"/>
      <c r="AH114" s="193"/>
      <c r="AI114" s="97"/>
    </row>
    <row r="115" spans="10:35" x14ac:dyDescent="0.2">
      <c r="J115" s="42"/>
      <c r="K115" s="43"/>
      <c r="L115" s="42"/>
      <c r="M115" s="43"/>
      <c r="N115" s="43"/>
      <c r="O115" s="43"/>
      <c r="P115" s="43"/>
      <c r="R115" s="43"/>
      <c r="S115" s="43"/>
      <c r="T115" s="74"/>
      <c r="U115" s="43"/>
      <c r="V115" s="85"/>
      <c r="W115" s="43"/>
      <c r="X115" s="97"/>
      <c r="Y115" s="43"/>
      <c r="Z115" s="193"/>
      <c r="AA115" s="193"/>
      <c r="AB115" s="97"/>
      <c r="AC115" s="193"/>
      <c r="AD115" s="193"/>
      <c r="AE115" s="193"/>
      <c r="AF115" s="97"/>
      <c r="AG115" s="193"/>
      <c r="AH115" s="193"/>
      <c r="AI115" s="97"/>
    </row>
    <row r="116" spans="10:35" x14ac:dyDescent="0.2">
      <c r="J116" s="42"/>
      <c r="K116" s="43"/>
      <c r="L116" s="42"/>
      <c r="M116" s="43"/>
      <c r="N116" s="43"/>
      <c r="O116" s="43"/>
      <c r="P116" s="43"/>
      <c r="R116" s="43"/>
      <c r="S116" s="43"/>
      <c r="T116" s="74"/>
      <c r="U116" s="43"/>
      <c r="V116" s="85"/>
      <c r="W116" s="43"/>
      <c r="X116" s="97"/>
      <c r="Y116" s="43"/>
      <c r="Z116" s="193"/>
      <c r="AA116" s="193"/>
      <c r="AB116" s="97"/>
      <c r="AC116" s="193"/>
      <c r="AD116" s="193"/>
      <c r="AE116" s="193"/>
      <c r="AF116" s="97"/>
      <c r="AG116" s="193"/>
      <c r="AH116" s="193"/>
      <c r="AI116" s="97"/>
    </row>
    <row r="117" spans="10:35" x14ac:dyDescent="0.2">
      <c r="J117" s="42"/>
      <c r="K117" s="43"/>
      <c r="L117" s="42"/>
      <c r="M117" s="43"/>
      <c r="N117" s="43"/>
      <c r="O117" s="43"/>
      <c r="P117" s="43"/>
      <c r="R117" s="43"/>
      <c r="S117" s="43"/>
      <c r="T117" s="74"/>
      <c r="U117" s="43"/>
      <c r="V117" s="85"/>
      <c r="W117" s="43"/>
      <c r="X117" s="97"/>
      <c r="Y117" s="43"/>
      <c r="Z117" s="193"/>
      <c r="AA117" s="193"/>
      <c r="AB117" s="97"/>
      <c r="AC117" s="193"/>
      <c r="AD117" s="193"/>
      <c r="AE117" s="193"/>
      <c r="AF117" s="97"/>
      <c r="AG117" s="193"/>
      <c r="AH117" s="193"/>
      <c r="AI117" s="97"/>
    </row>
    <row r="118" spans="10:35" x14ac:dyDescent="0.2">
      <c r="J118" s="42"/>
      <c r="K118" s="43"/>
      <c r="L118" s="42"/>
      <c r="M118" s="43"/>
      <c r="N118" s="43"/>
      <c r="O118" s="43"/>
      <c r="P118" s="43"/>
      <c r="R118" s="43"/>
      <c r="S118" s="43"/>
      <c r="T118" s="74"/>
      <c r="U118" s="43"/>
      <c r="V118" s="85"/>
      <c r="W118" s="43"/>
      <c r="X118" s="97"/>
      <c r="Y118" s="43"/>
      <c r="Z118" s="193"/>
      <c r="AA118" s="193"/>
      <c r="AB118" s="97"/>
      <c r="AC118" s="193"/>
      <c r="AD118" s="193"/>
      <c r="AE118" s="193"/>
      <c r="AF118" s="97"/>
      <c r="AG118" s="193"/>
      <c r="AH118" s="193"/>
      <c r="AI118" s="97"/>
    </row>
    <row r="119" spans="10:35" x14ac:dyDescent="0.2">
      <c r="J119" s="42"/>
      <c r="K119" s="43"/>
      <c r="L119" s="42"/>
      <c r="M119" s="43"/>
      <c r="N119" s="43"/>
      <c r="O119" s="43"/>
      <c r="P119" s="43"/>
      <c r="R119" s="43"/>
      <c r="S119" s="43"/>
      <c r="T119" s="74"/>
      <c r="U119" s="43"/>
      <c r="V119" s="85"/>
      <c r="W119" s="43"/>
      <c r="X119" s="97"/>
      <c r="Y119" s="43"/>
      <c r="Z119" s="193"/>
      <c r="AA119" s="193"/>
      <c r="AB119" s="97"/>
      <c r="AC119" s="193"/>
      <c r="AD119" s="193"/>
      <c r="AE119" s="193"/>
      <c r="AF119" s="97"/>
      <c r="AG119" s="193"/>
      <c r="AH119" s="193"/>
      <c r="AI119" s="97"/>
    </row>
    <row r="120" spans="10:35" x14ac:dyDescent="0.2">
      <c r="J120" s="42"/>
      <c r="K120" s="43"/>
      <c r="L120" s="42"/>
      <c r="M120" s="43"/>
      <c r="N120" s="43"/>
      <c r="O120" s="43"/>
      <c r="P120" s="43"/>
      <c r="R120" s="43"/>
      <c r="S120" s="43"/>
      <c r="T120" s="74"/>
      <c r="U120" s="43"/>
      <c r="V120" s="85"/>
      <c r="W120" s="43"/>
      <c r="X120" s="97"/>
      <c r="Y120" s="43"/>
      <c r="Z120" s="193"/>
      <c r="AA120" s="193"/>
      <c r="AB120" s="97"/>
      <c r="AC120" s="193"/>
      <c r="AD120" s="193"/>
      <c r="AE120" s="193"/>
      <c r="AF120" s="97"/>
      <c r="AG120" s="193"/>
      <c r="AH120" s="193"/>
      <c r="AI120" s="97"/>
    </row>
    <row r="121" spans="10:35" x14ac:dyDescent="0.2">
      <c r="J121" s="42"/>
      <c r="K121" s="43"/>
      <c r="L121" s="42"/>
      <c r="M121" s="43"/>
      <c r="N121" s="43"/>
      <c r="O121" s="43"/>
      <c r="P121" s="43"/>
      <c r="R121" s="43"/>
      <c r="S121" s="43"/>
      <c r="T121" s="74"/>
      <c r="U121" s="43"/>
      <c r="V121" s="85"/>
      <c r="W121" s="43"/>
      <c r="X121" s="97"/>
      <c r="Y121" s="43"/>
      <c r="Z121" s="193"/>
      <c r="AA121" s="193"/>
      <c r="AB121" s="97"/>
      <c r="AC121" s="193"/>
      <c r="AD121" s="193"/>
      <c r="AE121" s="193"/>
      <c r="AF121" s="97"/>
      <c r="AG121" s="193"/>
      <c r="AH121" s="193"/>
      <c r="AI121" s="97"/>
    </row>
    <row r="122" spans="10:35" x14ac:dyDescent="0.2">
      <c r="J122" s="42"/>
      <c r="K122" s="43"/>
      <c r="L122" s="42"/>
      <c r="M122" s="43"/>
      <c r="N122" s="43"/>
      <c r="O122" s="43"/>
      <c r="P122" s="43"/>
      <c r="R122" s="43"/>
      <c r="S122" s="43"/>
      <c r="T122" s="74"/>
      <c r="U122" s="43"/>
      <c r="V122" s="85"/>
      <c r="W122" s="43"/>
      <c r="X122" s="97"/>
      <c r="Y122" s="43"/>
      <c r="Z122" s="193"/>
      <c r="AA122" s="193"/>
      <c r="AB122" s="97"/>
      <c r="AC122" s="193"/>
      <c r="AD122" s="193"/>
      <c r="AE122" s="193"/>
      <c r="AF122" s="97"/>
      <c r="AG122" s="193"/>
      <c r="AH122" s="193"/>
      <c r="AI122" s="97"/>
    </row>
    <row r="123" spans="10:35" x14ac:dyDescent="0.2">
      <c r="J123" s="42"/>
      <c r="K123" s="43"/>
      <c r="L123" s="42"/>
      <c r="M123" s="43"/>
      <c r="N123" s="43"/>
      <c r="O123" s="43"/>
      <c r="P123" s="43"/>
      <c r="R123" s="43"/>
      <c r="S123" s="43"/>
      <c r="T123" s="74"/>
      <c r="U123" s="43"/>
      <c r="V123" s="85"/>
      <c r="W123" s="43"/>
      <c r="X123" s="97"/>
      <c r="Y123" s="43"/>
      <c r="Z123" s="193"/>
      <c r="AA123" s="193"/>
      <c r="AB123" s="97"/>
      <c r="AC123" s="193"/>
      <c r="AD123" s="193"/>
      <c r="AE123" s="193"/>
      <c r="AF123" s="97"/>
      <c r="AG123" s="193"/>
      <c r="AH123" s="193"/>
      <c r="AI123" s="97"/>
    </row>
    <row r="124" spans="10:35" x14ac:dyDescent="0.2">
      <c r="J124" s="42"/>
      <c r="K124" s="43"/>
      <c r="L124" s="42"/>
      <c r="M124" s="43"/>
      <c r="N124" s="43"/>
      <c r="O124" s="43"/>
      <c r="P124" s="43"/>
      <c r="R124" s="43"/>
      <c r="S124" s="43"/>
      <c r="T124" s="74"/>
      <c r="U124" s="43"/>
      <c r="V124" s="85"/>
      <c r="W124" s="43"/>
      <c r="X124" s="97"/>
      <c r="Y124" s="43"/>
      <c r="Z124" s="193"/>
      <c r="AA124" s="193"/>
      <c r="AB124" s="97"/>
      <c r="AC124" s="193"/>
      <c r="AD124" s="193"/>
      <c r="AE124" s="193"/>
      <c r="AF124" s="97"/>
      <c r="AG124" s="193"/>
      <c r="AH124" s="193"/>
      <c r="AI124" s="97"/>
    </row>
    <row r="125" spans="10:35" x14ac:dyDescent="0.2">
      <c r="J125" s="42"/>
      <c r="K125" s="43"/>
      <c r="L125" s="42"/>
      <c r="M125" s="43"/>
      <c r="N125" s="43"/>
      <c r="O125" s="43"/>
      <c r="P125" s="43"/>
      <c r="R125" s="43"/>
      <c r="S125" s="43"/>
      <c r="T125" s="74"/>
      <c r="U125" s="43"/>
      <c r="V125" s="85"/>
      <c r="W125" s="43"/>
      <c r="X125" s="97"/>
      <c r="Y125" s="43"/>
      <c r="Z125" s="193"/>
      <c r="AA125" s="193"/>
      <c r="AB125" s="97"/>
      <c r="AC125" s="193"/>
      <c r="AD125" s="193"/>
      <c r="AE125" s="193"/>
      <c r="AF125" s="97"/>
      <c r="AG125" s="193"/>
      <c r="AH125" s="193"/>
      <c r="AI125" s="97"/>
    </row>
    <row r="126" spans="10:35" x14ac:dyDescent="0.2">
      <c r="J126" s="42"/>
      <c r="K126" s="43"/>
      <c r="L126" s="42"/>
      <c r="M126" s="43"/>
      <c r="N126" s="43"/>
      <c r="O126" s="43"/>
      <c r="P126" s="43"/>
      <c r="R126" s="43"/>
      <c r="S126" s="43"/>
      <c r="T126" s="74"/>
      <c r="U126" s="43"/>
      <c r="V126" s="85"/>
      <c r="W126" s="43"/>
      <c r="X126" s="97"/>
      <c r="Y126" s="43"/>
      <c r="Z126" s="193"/>
      <c r="AA126" s="193"/>
      <c r="AB126" s="97"/>
      <c r="AC126" s="193"/>
      <c r="AD126" s="193"/>
      <c r="AE126" s="193"/>
      <c r="AF126" s="97"/>
      <c r="AG126" s="193"/>
      <c r="AH126" s="193"/>
      <c r="AI126" s="97"/>
    </row>
    <row r="127" spans="10:35" x14ac:dyDescent="0.2">
      <c r="J127" s="42"/>
      <c r="K127" s="43"/>
      <c r="L127" s="42"/>
      <c r="M127" s="43"/>
      <c r="N127" s="43"/>
      <c r="O127" s="43"/>
      <c r="P127" s="43"/>
      <c r="R127" s="43"/>
      <c r="S127" s="43"/>
      <c r="T127" s="74"/>
      <c r="U127" s="43"/>
      <c r="V127" s="85"/>
      <c r="W127" s="43"/>
      <c r="X127" s="97"/>
      <c r="Y127" s="43"/>
      <c r="Z127" s="193"/>
      <c r="AA127" s="193"/>
      <c r="AB127" s="97"/>
      <c r="AC127" s="193"/>
      <c r="AD127" s="193"/>
      <c r="AE127" s="193"/>
      <c r="AF127" s="97"/>
      <c r="AG127" s="193"/>
      <c r="AH127" s="193"/>
      <c r="AI127" s="97"/>
    </row>
    <row r="128" spans="10:35" x14ac:dyDescent="0.2">
      <c r="J128" s="42"/>
      <c r="K128" s="43"/>
      <c r="L128" s="42"/>
      <c r="M128" s="43"/>
      <c r="N128" s="43"/>
      <c r="O128" s="43"/>
      <c r="P128" s="43"/>
      <c r="R128" s="43"/>
      <c r="S128" s="43"/>
      <c r="T128" s="74"/>
      <c r="U128" s="43"/>
      <c r="V128" s="85"/>
      <c r="W128" s="43"/>
      <c r="X128" s="97"/>
      <c r="Y128" s="43"/>
      <c r="Z128" s="193"/>
      <c r="AA128" s="193"/>
      <c r="AB128" s="97"/>
      <c r="AC128" s="193"/>
      <c r="AD128" s="193"/>
      <c r="AE128" s="193"/>
      <c r="AF128" s="97"/>
      <c r="AG128" s="193"/>
      <c r="AH128" s="193"/>
      <c r="AI128" s="97"/>
    </row>
    <row r="129" spans="10:35" x14ac:dyDescent="0.2">
      <c r="J129" s="42"/>
      <c r="K129" s="43"/>
      <c r="L129" s="42"/>
      <c r="M129" s="43"/>
      <c r="N129" s="43"/>
      <c r="O129" s="43"/>
      <c r="P129" s="43"/>
      <c r="R129" s="43"/>
      <c r="S129" s="43"/>
      <c r="T129" s="74"/>
      <c r="U129" s="43"/>
      <c r="V129" s="85"/>
      <c r="W129" s="43"/>
      <c r="X129" s="97"/>
      <c r="Y129" s="43"/>
      <c r="Z129" s="193"/>
      <c r="AA129" s="193"/>
      <c r="AB129" s="97"/>
      <c r="AC129" s="193"/>
      <c r="AD129" s="193"/>
      <c r="AE129" s="193"/>
      <c r="AF129" s="97"/>
      <c r="AG129" s="193"/>
      <c r="AH129" s="193"/>
      <c r="AI129" s="97"/>
    </row>
    <row r="130" spans="10:35" x14ac:dyDescent="0.2">
      <c r="J130" s="42"/>
      <c r="K130" s="43"/>
      <c r="L130" s="42"/>
      <c r="M130" s="43"/>
      <c r="N130" s="43"/>
      <c r="O130" s="43"/>
      <c r="P130" s="43"/>
      <c r="R130" s="43"/>
      <c r="S130" s="43"/>
      <c r="T130" s="74"/>
      <c r="U130" s="43"/>
      <c r="V130" s="85"/>
      <c r="W130" s="43"/>
      <c r="X130" s="97"/>
      <c r="Y130" s="43"/>
      <c r="Z130" s="193"/>
      <c r="AA130" s="193"/>
      <c r="AB130" s="97"/>
      <c r="AC130" s="193"/>
      <c r="AD130" s="193"/>
      <c r="AE130" s="193"/>
      <c r="AF130" s="97"/>
      <c r="AG130" s="193"/>
      <c r="AH130" s="193"/>
      <c r="AI130" s="97"/>
    </row>
    <row r="131" spans="10:35" x14ac:dyDescent="0.2">
      <c r="J131" s="42"/>
      <c r="K131" s="43"/>
      <c r="L131" s="42"/>
      <c r="M131" s="43"/>
      <c r="N131" s="43"/>
      <c r="O131" s="43"/>
      <c r="P131" s="43"/>
      <c r="R131" s="43"/>
      <c r="S131" s="43"/>
      <c r="T131" s="74"/>
      <c r="U131" s="43"/>
      <c r="V131" s="85"/>
      <c r="W131" s="43"/>
      <c r="X131" s="97"/>
      <c r="Y131" s="43"/>
      <c r="Z131" s="193"/>
      <c r="AA131" s="193"/>
      <c r="AB131" s="97"/>
      <c r="AC131" s="193"/>
      <c r="AD131" s="193"/>
      <c r="AE131" s="193"/>
      <c r="AF131" s="97"/>
      <c r="AG131" s="193"/>
      <c r="AH131" s="193"/>
      <c r="AI131" s="97"/>
    </row>
    <row r="132" spans="10:35" x14ac:dyDescent="0.2">
      <c r="J132" s="42"/>
      <c r="K132" s="43"/>
      <c r="L132" s="42"/>
      <c r="M132" s="43"/>
      <c r="N132" s="43"/>
      <c r="O132" s="43"/>
      <c r="P132" s="43"/>
      <c r="R132" s="43"/>
      <c r="S132" s="43"/>
      <c r="T132" s="74"/>
      <c r="U132" s="43"/>
      <c r="V132" s="85"/>
      <c r="W132" s="43"/>
      <c r="X132" s="97"/>
      <c r="Y132" s="43"/>
      <c r="Z132" s="193"/>
      <c r="AA132" s="193"/>
      <c r="AB132" s="97"/>
      <c r="AC132" s="193"/>
      <c r="AD132" s="193"/>
      <c r="AE132" s="193"/>
      <c r="AF132" s="97"/>
      <c r="AG132" s="193"/>
      <c r="AH132" s="193"/>
      <c r="AI132" s="97"/>
    </row>
    <row r="133" spans="10:35" x14ac:dyDescent="0.2">
      <c r="J133" s="42"/>
      <c r="K133" s="43"/>
      <c r="L133" s="42"/>
      <c r="M133" s="43"/>
      <c r="N133" s="43"/>
      <c r="O133" s="43"/>
      <c r="P133" s="43"/>
      <c r="R133" s="43"/>
      <c r="S133" s="43"/>
      <c r="T133" s="74"/>
      <c r="U133" s="43"/>
      <c r="V133" s="85"/>
      <c r="W133" s="43"/>
      <c r="X133" s="97"/>
      <c r="Y133" s="43"/>
      <c r="Z133" s="193"/>
      <c r="AA133" s="193"/>
      <c r="AB133" s="97"/>
      <c r="AC133" s="193"/>
      <c r="AD133" s="193"/>
      <c r="AE133" s="193"/>
      <c r="AF133" s="97"/>
      <c r="AG133" s="193"/>
      <c r="AH133" s="193"/>
      <c r="AI133" s="97"/>
    </row>
    <row r="134" spans="10:35" x14ac:dyDescent="0.2">
      <c r="J134" s="42"/>
      <c r="K134" s="43"/>
      <c r="L134" s="42"/>
      <c r="M134" s="43"/>
      <c r="N134" s="43"/>
      <c r="O134" s="43"/>
      <c r="P134" s="43"/>
      <c r="R134" s="43"/>
      <c r="S134" s="43"/>
      <c r="T134" s="74"/>
      <c r="U134" s="43"/>
      <c r="V134" s="85"/>
      <c r="W134" s="43"/>
      <c r="X134" s="97"/>
      <c r="Y134" s="43"/>
      <c r="Z134" s="193"/>
      <c r="AA134" s="193"/>
      <c r="AB134" s="97"/>
      <c r="AC134" s="193"/>
      <c r="AD134" s="193"/>
      <c r="AE134" s="193"/>
      <c r="AF134" s="97"/>
      <c r="AG134" s="193"/>
      <c r="AH134" s="193"/>
      <c r="AI134" s="97"/>
    </row>
    <row r="135" spans="10:35" x14ac:dyDescent="0.2">
      <c r="J135" s="42"/>
      <c r="K135" s="43"/>
      <c r="L135" s="42"/>
      <c r="M135" s="43"/>
      <c r="N135" s="43"/>
      <c r="O135" s="43"/>
      <c r="P135" s="43"/>
      <c r="R135" s="43"/>
      <c r="S135" s="43"/>
      <c r="T135" s="74"/>
      <c r="U135" s="43"/>
      <c r="V135" s="85"/>
      <c r="W135" s="43"/>
      <c r="X135" s="97"/>
      <c r="Y135" s="43"/>
      <c r="Z135" s="193"/>
      <c r="AA135" s="193"/>
      <c r="AB135" s="97"/>
      <c r="AC135" s="193"/>
      <c r="AD135" s="193"/>
      <c r="AE135" s="193"/>
      <c r="AF135" s="97"/>
      <c r="AG135" s="193"/>
      <c r="AH135" s="193"/>
      <c r="AI135" s="97"/>
    </row>
    <row r="136" spans="10:35" x14ac:dyDescent="0.2">
      <c r="J136" s="42"/>
      <c r="K136" s="43"/>
      <c r="L136" s="42"/>
      <c r="M136" s="43"/>
      <c r="N136" s="43"/>
      <c r="O136" s="43"/>
      <c r="P136" s="43"/>
      <c r="R136" s="43"/>
      <c r="S136" s="43"/>
      <c r="T136" s="74"/>
      <c r="U136" s="43"/>
      <c r="V136" s="85"/>
      <c r="W136" s="43"/>
      <c r="X136" s="97"/>
      <c r="Y136" s="43"/>
      <c r="Z136" s="193"/>
      <c r="AA136" s="193"/>
      <c r="AB136" s="97"/>
      <c r="AC136" s="193"/>
      <c r="AD136" s="193"/>
      <c r="AE136" s="193"/>
      <c r="AF136" s="97"/>
      <c r="AG136" s="193"/>
      <c r="AH136" s="193"/>
      <c r="AI136" s="97"/>
    </row>
    <row r="137" spans="10:35" x14ac:dyDescent="0.2">
      <c r="J137" s="42"/>
      <c r="K137" s="43"/>
      <c r="L137" s="42"/>
      <c r="M137" s="43"/>
      <c r="N137" s="43"/>
      <c r="O137" s="43"/>
      <c r="P137" s="43"/>
      <c r="R137" s="43"/>
      <c r="S137" s="43"/>
      <c r="T137" s="74"/>
      <c r="U137" s="43"/>
      <c r="V137" s="85"/>
      <c r="W137" s="43"/>
      <c r="X137" s="97"/>
      <c r="Y137" s="43"/>
      <c r="Z137" s="193"/>
      <c r="AA137" s="193"/>
      <c r="AB137" s="97"/>
      <c r="AC137" s="193"/>
      <c r="AD137" s="193"/>
      <c r="AE137" s="193"/>
      <c r="AF137" s="97"/>
      <c r="AG137" s="193"/>
      <c r="AH137" s="193"/>
      <c r="AI137" s="97"/>
    </row>
    <row r="138" spans="10:35" x14ac:dyDescent="0.2">
      <c r="J138" s="42"/>
      <c r="K138" s="43"/>
      <c r="L138" s="42"/>
      <c r="M138" s="43"/>
      <c r="N138" s="43"/>
      <c r="O138" s="43"/>
      <c r="P138" s="43"/>
      <c r="R138" s="43"/>
      <c r="S138" s="43"/>
      <c r="T138" s="74"/>
      <c r="U138" s="43"/>
      <c r="V138" s="85"/>
      <c r="W138" s="43"/>
      <c r="X138" s="97"/>
      <c r="Y138" s="43"/>
      <c r="Z138" s="193"/>
      <c r="AA138" s="193"/>
      <c r="AB138" s="97"/>
      <c r="AC138" s="193"/>
      <c r="AD138" s="193"/>
      <c r="AE138" s="193"/>
      <c r="AF138" s="97"/>
      <c r="AG138" s="193"/>
      <c r="AH138" s="193"/>
      <c r="AI138" s="97"/>
    </row>
    <row r="139" spans="10:35" x14ac:dyDescent="0.2">
      <c r="J139" s="42"/>
      <c r="K139" s="43"/>
      <c r="L139" s="42"/>
      <c r="M139" s="43"/>
      <c r="N139" s="43"/>
      <c r="O139" s="43"/>
      <c r="P139" s="43"/>
      <c r="R139" s="43"/>
      <c r="S139" s="43"/>
      <c r="T139" s="74"/>
      <c r="U139" s="43"/>
      <c r="V139" s="85"/>
      <c r="W139" s="43"/>
      <c r="X139" s="97"/>
      <c r="Y139" s="43"/>
      <c r="Z139" s="193"/>
      <c r="AA139" s="193"/>
      <c r="AB139" s="97"/>
      <c r="AC139" s="193"/>
      <c r="AD139" s="193"/>
      <c r="AE139" s="193"/>
      <c r="AF139" s="97"/>
      <c r="AG139" s="193"/>
      <c r="AH139" s="193"/>
      <c r="AI139" s="97"/>
    </row>
    <row r="140" spans="10:35" x14ac:dyDescent="0.2">
      <c r="J140" s="42"/>
      <c r="K140" s="43"/>
      <c r="L140" s="42"/>
      <c r="M140" s="43"/>
      <c r="N140" s="43"/>
      <c r="O140" s="43"/>
      <c r="P140" s="43"/>
      <c r="R140" s="43"/>
      <c r="S140" s="43"/>
      <c r="T140" s="74"/>
      <c r="U140" s="43"/>
      <c r="V140" s="85"/>
      <c r="W140" s="43"/>
      <c r="X140" s="97"/>
      <c r="Y140" s="43"/>
      <c r="Z140" s="193"/>
      <c r="AA140" s="193"/>
      <c r="AB140" s="97"/>
      <c r="AC140" s="193"/>
      <c r="AD140" s="193"/>
      <c r="AE140" s="193"/>
      <c r="AF140" s="97"/>
      <c r="AG140" s="193"/>
      <c r="AH140" s="193"/>
      <c r="AI140" s="97"/>
    </row>
    <row r="141" spans="10:35" x14ac:dyDescent="0.2">
      <c r="J141" s="42"/>
      <c r="K141" s="43"/>
      <c r="L141" s="42"/>
      <c r="M141" s="43"/>
      <c r="N141" s="43"/>
      <c r="O141" s="43"/>
      <c r="P141" s="43"/>
      <c r="R141" s="43"/>
      <c r="S141" s="43"/>
      <c r="T141" s="74"/>
      <c r="U141" s="43"/>
      <c r="V141" s="85"/>
      <c r="W141" s="43"/>
      <c r="X141" s="97"/>
      <c r="Y141" s="43"/>
      <c r="Z141" s="193"/>
      <c r="AA141" s="193"/>
      <c r="AB141" s="97"/>
      <c r="AC141" s="193"/>
      <c r="AD141" s="193"/>
      <c r="AE141" s="193"/>
      <c r="AF141" s="97"/>
      <c r="AG141" s="193"/>
      <c r="AH141" s="193"/>
      <c r="AI141" s="97"/>
    </row>
    <row r="142" spans="10:35" x14ac:dyDescent="0.2">
      <c r="J142" s="42"/>
      <c r="K142" s="43"/>
      <c r="L142" s="42"/>
      <c r="M142" s="43"/>
      <c r="N142" s="43"/>
      <c r="O142" s="43"/>
      <c r="P142" s="43"/>
      <c r="R142" s="43"/>
      <c r="S142" s="43"/>
      <c r="T142" s="74"/>
      <c r="U142" s="43"/>
      <c r="V142" s="85"/>
      <c r="W142" s="43"/>
      <c r="X142" s="97"/>
      <c r="Y142" s="43"/>
      <c r="Z142" s="193"/>
      <c r="AA142" s="193"/>
      <c r="AB142" s="97"/>
      <c r="AC142" s="193"/>
      <c r="AD142" s="193"/>
      <c r="AE142" s="193"/>
      <c r="AF142" s="97"/>
      <c r="AG142" s="193"/>
      <c r="AH142" s="193"/>
      <c r="AI142" s="97"/>
    </row>
    <row r="143" spans="10:35" x14ac:dyDescent="0.2">
      <c r="J143" s="42"/>
      <c r="K143" s="43"/>
      <c r="L143" s="42"/>
      <c r="M143" s="43"/>
      <c r="N143" s="43"/>
      <c r="O143" s="43"/>
      <c r="P143" s="43"/>
      <c r="R143" s="43"/>
      <c r="S143" s="43"/>
      <c r="T143" s="74"/>
      <c r="U143" s="43"/>
      <c r="V143" s="85"/>
      <c r="W143" s="43"/>
      <c r="X143" s="97"/>
      <c r="Y143" s="43"/>
      <c r="Z143" s="193"/>
      <c r="AA143" s="193"/>
      <c r="AB143" s="97"/>
      <c r="AC143" s="193"/>
      <c r="AD143" s="193"/>
      <c r="AE143" s="193"/>
      <c r="AF143" s="97"/>
      <c r="AG143" s="193"/>
      <c r="AH143" s="193"/>
      <c r="AI143" s="97"/>
    </row>
    <row r="144" spans="10:35" x14ac:dyDescent="0.2">
      <c r="J144" s="42"/>
      <c r="K144" s="43"/>
      <c r="L144" s="42"/>
      <c r="M144" s="43"/>
      <c r="N144" s="43"/>
      <c r="O144" s="43"/>
      <c r="P144" s="43"/>
      <c r="R144" s="43"/>
      <c r="S144" s="43"/>
      <c r="T144" s="74"/>
      <c r="U144" s="43"/>
      <c r="V144" s="85"/>
      <c r="W144" s="43"/>
      <c r="X144" s="97"/>
      <c r="Y144" s="43"/>
      <c r="Z144" s="193"/>
      <c r="AA144" s="193"/>
      <c r="AB144" s="97"/>
      <c r="AC144" s="193"/>
      <c r="AD144" s="193"/>
      <c r="AE144" s="193"/>
      <c r="AF144" s="97"/>
      <c r="AG144" s="193"/>
      <c r="AH144" s="193"/>
      <c r="AI144" s="97"/>
    </row>
    <row r="145" spans="10:35" x14ac:dyDescent="0.2">
      <c r="J145" s="42"/>
      <c r="K145" s="43"/>
      <c r="L145" s="42"/>
      <c r="M145" s="43"/>
      <c r="N145" s="43"/>
      <c r="O145" s="43"/>
      <c r="P145" s="43"/>
      <c r="R145" s="43"/>
      <c r="S145" s="43"/>
      <c r="T145" s="74"/>
      <c r="U145" s="43"/>
      <c r="V145" s="85"/>
      <c r="W145" s="43"/>
      <c r="X145" s="97"/>
      <c r="Y145" s="43"/>
      <c r="Z145" s="193"/>
      <c r="AA145" s="193"/>
      <c r="AB145" s="97"/>
      <c r="AC145" s="193"/>
      <c r="AD145" s="193"/>
      <c r="AE145" s="193"/>
      <c r="AF145" s="97"/>
      <c r="AG145" s="193"/>
      <c r="AH145" s="193"/>
      <c r="AI145" s="97"/>
    </row>
    <row r="146" spans="10:35" x14ac:dyDescent="0.2">
      <c r="J146" s="42"/>
      <c r="K146" s="43"/>
      <c r="L146" s="42"/>
      <c r="M146" s="43"/>
      <c r="N146" s="43"/>
      <c r="O146" s="43"/>
      <c r="P146" s="43"/>
      <c r="R146" s="43"/>
      <c r="S146" s="43"/>
      <c r="T146" s="74"/>
      <c r="U146" s="43"/>
      <c r="V146" s="85"/>
      <c r="W146" s="43"/>
      <c r="X146" s="97"/>
      <c r="Y146" s="43"/>
      <c r="Z146" s="193"/>
      <c r="AA146" s="193"/>
      <c r="AB146" s="97"/>
      <c r="AC146" s="193"/>
      <c r="AD146" s="193"/>
      <c r="AE146" s="193"/>
      <c r="AF146" s="97"/>
      <c r="AG146" s="193"/>
      <c r="AH146" s="193"/>
      <c r="AI146" s="97"/>
    </row>
    <row r="147" spans="10:35" x14ac:dyDescent="0.2">
      <c r="J147" s="42"/>
      <c r="K147" s="43"/>
      <c r="L147" s="42"/>
      <c r="M147" s="43"/>
      <c r="N147" s="43"/>
      <c r="O147" s="43"/>
      <c r="P147" s="43"/>
      <c r="R147" s="43"/>
      <c r="S147" s="43"/>
      <c r="T147" s="74"/>
      <c r="U147" s="43"/>
      <c r="V147" s="85"/>
      <c r="W147" s="43"/>
      <c r="X147" s="97"/>
      <c r="Y147" s="43"/>
      <c r="Z147" s="193"/>
      <c r="AA147" s="193"/>
      <c r="AB147" s="97"/>
      <c r="AC147" s="193"/>
      <c r="AD147" s="193"/>
      <c r="AE147" s="193"/>
      <c r="AF147" s="97"/>
      <c r="AG147" s="193"/>
      <c r="AH147" s="193"/>
      <c r="AI147" s="97"/>
    </row>
    <row r="148" spans="10:35" x14ac:dyDescent="0.2">
      <c r="J148" s="42"/>
      <c r="K148" s="43"/>
      <c r="L148" s="42"/>
      <c r="M148" s="43"/>
      <c r="N148" s="43"/>
      <c r="O148" s="43"/>
      <c r="P148" s="43"/>
      <c r="R148" s="43"/>
      <c r="S148" s="43"/>
      <c r="T148" s="74"/>
      <c r="U148" s="43"/>
      <c r="V148" s="85"/>
      <c r="W148" s="43"/>
      <c r="X148" s="97"/>
      <c r="Y148" s="43"/>
      <c r="Z148" s="193"/>
      <c r="AA148" s="193"/>
      <c r="AB148" s="97"/>
      <c r="AC148" s="193"/>
      <c r="AD148" s="193"/>
      <c r="AE148" s="193"/>
      <c r="AF148" s="97"/>
      <c r="AG148" s="193"/>
      <c r="AH148" s="193"/>
      <c r="AI148" s="97"/>
    </row>
    <row r="149" spans="10:35" x14ac:dyDescent="0.2">
      <c r="J149" s="42"/>
      <c r="K149" s="43"/>
      <c r="L149" s="42"/>
      <c r="M149" s="43"/>
      <c r="N149" s="43"/>
      <c r="O149" s="43"/>
      <c r="P149" s="43"/>
      <c r="R149" s="43"/>
      <c r="S149" s="43"/>
      <c r="T149" s="74"/>
      <c r="U149" s="43"/>
      <c r="V149" s="85"/>
      <c r="W149" s="43"/>
      <c r="X149" s="97"/>
      <c r="Y149" s="43"/>
      <c r="Z149" s="193"/>
      <c r="AA149" s="193"/>
      <c r="AB149" s="97"/>
      <c r="AC149" s="193"/>
      <c r="AD149" s="193"/>
      <c r="AE149" s="193"/>
      <c r="AF149" s="97"/>
      <c r="AG149" s="193"/>
      <c r="AH149" s="193"/>
      <c r="AI149" s="97"/>
    </row>
    <row r="150" spans="10:35" x14ac:dyDescent="0.2">
      <c r="J150" s="42"/>
      <c r="K150" s="43"/>
      <c r="L150" s="42"/>
      <c r="M150" s="43"/>
      <c r="N150" s="43"/>
      <c r="O150" s="43"/>
      <c r="P150" s="43"/>
      <c r="R150" s="43"/>
      <c r="S150" s="43"/>
      <c r="T150" s="74"/>
      <c r="U150" s="43"/>
      <c r="V150" s="85"/>
      <c r="W150" s="43"/>
      <c r="X150" s="97"/>
      <c r="Y150" s="43"/>
      <c r="Z150" s="193"/>
      <c r="AA150" s="193"/>
      <c r="AB150" s="97"/>
      <c r="AC150" s="193"/>
      <c r="AD150" s="193"/>
      <c r="AE150" s="193"/>
      <c r="AF150" s="97"/>
      <c r="AG150" s="193"/>
      <c r="AH150" s="193"/>
      <c r="AI150" s="97"/>
    </row>
    <row r="151" spans="10:35" x14ac:dyDescent="0.2">
      <c r="J151" s="42"/>
      <c r="K151" s="43"/>
      <c r="L151" s="42"/>
      <c r="M151" s="43"/>
      <c r="N151" s="43"/>
      <c r="O151" s="43"/>
      <c r="P151" s="43"/>
      <c r="R151" s="43"/>
      <c r="S151" s="43"/>
      <c r="T151" s="74"/>
      <c r="U151" s="43"/>
      <c r="V151" s="85"/>
      <c r="W151" s="43"/>
      <c r="X151" s="97"/>
      <c r="Y151" s="43"/>
      <c r="Z151" s="193"/>
      <c r="AA151" s="193"/>
      <c r="AB151" s="97"/>
      <c r="AC151" s="193"/>
      <c r="AD151" s="193"/>
      <c r="AE151" s="193"/>
      <c r="AF151" s="97"/>
      <c r="AG151" s="193"/>
      <c r="AH151" s="193"/>
      <c r="AI151" s="97"/>
    </row>
    <row r="152" spans="10:35" x14ac:dyDescent="0.2">
      <c r="J152" s="42"/>
      <c r="K152" s="43"/>
      <c r="L152" s="42"/>
      <c r="M152" s="43"/>
      <c r="N152" s="43"/>
      <c r="O152" s="43"/>
      <c r="P152" s="43"/>
      <c r="R152" s="43"/>
      <c r="S152" s="43"/>
      <c r="T152" s="74"/>
      <c r="U152" s="43"/>
      <c r="V152" s="85"/>
      <c r="W152" s="43"/>
      <c r="X152" s="97"/>
      <c r="Y152" s="43"/>
      <c r="Z152" s="193"/>
      <c r="AA152" s="193"/>
      <c r="AB152" s="97"/>
      <c r="AC152" s="193"/>
      <c r="AD152" s="193"/>
      <c r="AE152" s="193"/>
      <c r="AF152" s="97"/>
      <c r="AG152" s="193"/>
      <c r="AH152" s="193"/>
      <c r="AI152" s="97"/>
    </row>
    <row r="153" spans="10:35" x14ac:dyDescent="0.2">
      <c r="J153" s="42"/>
      <c r="K153" s="43"/>
      <c r="L153" s="42"/>
      <c r="M153" s="43"/>
      <c r="N153" s="43"/>
      <c r="O153" s="43"/>
      <c r="P153" s="43"/>
      <c r="R153" s="43"/>
      <c r="S153" s="43"/>
      <c r="T153" s="74"/>
      <c r="U153" s="43"/>
      <c r="V153" s="85"/>
      <c r="W153" s="43"/>
      <c r="X153" s="97"/>
      <c r="Y153" s="43"/>
      <c r="Z153" s="193"/>
      <c r="AA153" s="193"/>
      <c r="AB153" s="97"/>
      <c r="AC153" s="193"/>
      <c r="AD153" s="193"/>
      <c r="AE153" s="193"/>
      <c r="AF153" s="97"/>
      <c r="AG153" s="193"/>
      <c r="AH153" s="193"/>
      <c r="AI153" s="97"/>
    </row>
    <row r="154" spans="10:35" x14ac:dyDescent="0.2">
      <c r="J154" s="42"/>
      <c r="K154" s="43"/>
      <c r="L154" s="42"/>
      <c r="M154" s="43"/>
      <c r="N154" s="43"/>
      <c r="O154" s="43"/>
      <c r="P154" s="43"/>
      <c r="R154" s="43"/>
      <c r="S154" s="43"/>
      <c r="T154" s="74"/>
      <c r="U154" s="43"/>
      <c r="V154" s="85"/>
      <c r="W154" s="43"/>
      <c r="X154" s="97"/>
      <c r="Y154" s="43"/>
      <c r="Z154" s="193"/>
      <c r="AA154" s="193"/>
      <c r="AB154" s="97"/>
      <c r="AC154" s="193"/>
      <c r="AD154" s="193"/>
      <c r="AE154" s="193"/>
      <c r="AF154" s="97"/>
      <c r="AG154" s="193"/>
      <c r="AH154" s="193"/>
      <c r="AI154" s="97"/>
    </row>
    <row r="155" spans="10:35" x14ac:dyDescent="0.2">
      <c r="J155" s="42"/>
      <c r="K155" s="43"/>
      <c r="L155" s="42"/>
      <c r="M155" s="43"/>
      <c r="N155" s="43"/>
      <c r="O155" s="43"/>
      <c r="P155" s="43"/>
      <c r="R155" s="43"/>
      <c r="S155" s="43"/>
      <c r="T155" s="74"/>
      <c r="U155" s="43"/>
      <c r="V155" s="85"/>
      <c r="W155" s="43"/>
      <c r="X155" s="97"/>
      <c r="Y155" s="43"/>
      <c r="Z155" s="193"/>
      <c r="AA155" s="193"/>
      <c r="AB155" s="97"/>
      <c r="AC155" s="193"/>
      <c r="AD155" s="193"/>
      <c r="AE155" s="193"/>
      <c r="AF155" s="97"/>
      <c r="AG155" s="193"/>
      <c r="AH155" s="193"/>
      <c r="AI155" s="97"/>
    </row>
    <row r="156" spans="10:35" x14ac:dyDescent="0.2">
      <c r="J156" s="42"/>
      <c r="K156" s="43"/>
      <c r="L156" s="42"/>
      <c r="M156" s="43"/>
      <c r="N156" s="43"/>
      <c r="O156" s="43"/>
      <c r="P156" s="43"/>
      <c r="R156" s="43"/>
      <c r="S156" s="43"/>
      <c r="T156" s="74"/>
      <c r="U156" s="43"/>
      <c r="V156" s="85"/>
      <c r="W156" s="43"/>
      <c r="X156" s="97"/>
      <c r="Y156" s="43"/>
      <c r="Z156" s="193"/>
      <c r="AA156" s="193"/>
      <c r="AB156" s="97"/>
      <c r="AC156" s="193"/>
      <c r="AD156" s="193"/>
      <c r="AE156" s="193"/>
      <c r="AF156" s="97"/>
      <c r="AG156" s="193"/>
      <c r="AH156" s="193"/>
      <c r="AI156" s="97"/>
    </row>
    <row r="157" spans="10:35" x14ac:dyDescent="0.2">
      <c r="J157" s="42"/>
      <c r="K157" s="43"/>
      <c r="L157" s="42"/>
      <c r="M157" s="43"/>
      <c r="N157" s="43"/>
      <c r="O157" s="43"/>
      <c r="P157" s="43"/>
      <c r="R157" s="43"/>
      <c r="S157" s="43"/>
      <c r="T157" s="74"/>
      <c r="U157" s="43"/>
      <c r="V157" s="85"/>
      <c r="W157" s="43"/>
      <c r="X157" s="97"/>
      <c r="Y157" s="43"/>
      <c r="Z157" s="193"/>
      <c r="AA157" s="193"/>
      <c r="AB157" s="97"/>
      <c r="AC157" s="193"/>
      <c r="AD157" s="193"/>
      <c r="AE157" s="193"/>
      <c r="AF157" s="97"/>
      <c r="AG157" s="193"/>
      <c r="AH157" s="193"/>
      <c r="AI157" s="97"/>
    </row>
    <row r="158" spans="10:35" x14ac:dyDescent="0.2">
      <c r="J158" s="42"/>
      <c r="K158" s="43"/>
      <c r="L158" s="42"/>
      <c r="M158" s="43"/>
      <c r="N158" s="43"/>
      <c r="O158" s="43"/>
      <c r="P158" s="43"/>
      <c r="R158" s="43"/>
      <c r="S158" s="43"/>
      <c r="T158" s="74"/>
      <c r="U158" s="43"/>
      <c r="V158" s="85"/>
      <c r="W158" s="43"/>
      <c r="X158" s="97"/>
      <c r="Y158" s="43"/>
      <c r="Z158" s="193"/>
      <c r="AA158" s="193"/>
      <c r="AB158" s="97"/>
      <c r="AC158" s="193"/>
      <c r="AD158" s="193"/>
      <c r="AE158" s="193"/>
      <c r="AF158" s="97"/>
      <c r="AG158" s="193"/>
      <c r="AH158" s="193"/>
      <c r="AI158" s="97"/>
    </row>
    <row r="159" spans="10:35" x14ac:dyDescent="0.2">
      <c r="J159" s="42"/>
      <c r="K159" s="43"/>
      <c r="L159" s="42"/>
      <c r="M159" s="43"/>
      <c r="N159" s="43"/>
      <c r="O159" s="43"/>
      <c r="P159" s="43"/>
      <c r="R159" s="43"/>
      <c r="S159" s="43"/>
      <c r="T159" s="74"/>
      <c r="U159" s="43"/>
      <c r="V159" s="85"/>
      <c r="W159" s="43"/>
      <c r="X159" s="97"/>
      <c r="Y159" s="43"/>
      <c r="Z159" s="193"/>
      <c r="AA159" s="193"/>
      <c r="AB159" s="97"/>
      <c r="AC159" s="193"/>
      <c r="AD159" s="193"/>
      <c r="AE159" s="193"/>
      <c r="AF159" s="97"/>
      <c r="AG159" s="193"/>
      <c r="AH159" s="193"/>
      <c r="AI159" s="97"/>
    </row>
    <row r="160" spans="10:35" x14ac:dyDescent="0.2">
      <c r="J160" s="42"/>
      <c r="K160" s="43"/>
      <c r="L160" s="42"/>
      <c r="M160" s="43"/>
      <c r="N160" s="43"/>
      <c r="O160" s="43"/>
      <c r="P160" s="43"/>
      <c r="R160" s="43"/>
      <c r="S160" s="43"/>
      <c r="T160" s="74"/>
      <c r="U160" s="43"/>
      <c r="V160" s="85"/>
      <c r="W160" s="43"/>
      <c r="X160" s="97"/>
      <c r="Y160" s="43"/>
      <c r="Z160" s="193"/>
      <c r="AA160" s="193"/>
      <c r="AB160" s="97"/>
      <c r="AC160" s="193"/>
      <c r="AD160" s="193"/>
      <c r="AE160" s="193"/>
      <c r="AF160" s="97"/>
      <c r="AG160" s="193"/>
      <c r="AH160" s="193"/>
      <c r="AI160" s="97"/>
    </row>
    <row r="161" spans="10:35" x14ac:dyDescent="0.2">
      <c r="J161" s="42"/>
      <c r="K161" s="43"/>
      <c r="L161" s="42"/>
      <c r="M161" s="43"/>
      <c r="N161" s="43"/>
      <c r="O161" s="43"/>
      <c r="P161" s="43"/>
      <c r="R161" s="43"/>
      <c r="S161" s="43"/>
      <c r="T161" s="74"/>
      <c r="U161" s="43"/>
      <c r="V161" s="85"/>
      <c r="W161" s="43"/>
      <c r="X161" s="97"/>
      <c r="Y161" s="43"/>
      <c r="Z161" s="193"/>
      <c r="AA161" s="193"/>
      <c r="AB161" s="97"/>
      <c r="AC161" s="193"/>
      <c r="AD161" s="193"/>
      <c r="AE161" s="193"/>
      <c r="AF161" s="97"/>
      <c r="AG161" s="193"/>
      <c r="AH161" s="193"/>
      <c r="AI161" s="97"/>
    </row>
    <row r="162" spans="10:35" x14ac:dyDescent="0.2">
      <c r="J162" s="42"/>
      <c r="K162" s="43"/>
      <c r="L162" s="42"/>
      <c r="M162" s="43"/>
      <c r="N162" s="43"/>
      <c r="O162" s="43"/>
      <c r="P162" s="43"/>
      <c r="R162" s="43"/>
      <c r="S162" s="43"/>
      <c r="T162" s="74"/>
      <c r="U162" s="43"/>
      <c r="V162" s="85"/>
      <c r="W162" s="43"/>
      <c r="X162" s="97"/>
      <c r="Y162" s="43"/>
      <c r="Z162" s="193"/>
      <c r="AA162" s="193"/>
      <c r="AB162" s="97"/>
      <c r="AC162" s="193"/>
      <c r="AD162" s="193"/>
      <c r="AE162" s="193"/>
      <c r="AF162" s="97"/>
      <c r="AG162" s="193"/>
      <c r="AH162" s="193"/>
      <c r="AI162" s="97"/>
    </row>
  </sheetData>
  <mergeCells count="2">
    <mergeCell ref="B4:D4"/>
    <mergeCell ref="B5:H5"/>
  </mergeCells>
  <phoneticPr fontId="3" type="noConversion"/>
  <pageMargins left="0.52" right="0.39" top="0.91" bottom="1" header="0.42" footer="0.5"/>
  <pageSetup scale="70" orientation="landscape" r:id="rId1"/>
  <headerFooter alignWithMargins="0">
    <oddHeader>&amp;L&amp;"Arial,Bold"&amp;12Homeland Security and Emergency Management Division&amp;R&amp;"Arial,Bold"&amp;12 Justice System Appropriations Subcommittee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5"/>
  <sheetViews>
    <sheetView showGridLines="0" showRuler="0" zoomScale="70" zoomScaleNormal="70" zoomScalePageLayoutView="70" workbookViewId="0">
      <selection activeCell="R1" sqref="R1:X1048576"/>
    </sheetView>
  </sheetViews>
  <sheetFormatPr defaultColWidth="9.109375" defaultRowHeight="11.4" x14ac:dyDescent="0.2"/>
  <cols>
    <col min="1" max="1" width="2.109375" style="23" customWidth="1"/>
    <col min="2" max="2" width="14" style="23" customWidth="1"/>
    <col min="3" max="3" width="0.6640625" style="23" customWidth="1"/>
    <col min="4" max="4" width="17.109375" style="39" customWidth="1"/>
    <col min="5" max="5" width="1.109375" style="23" customWidth="1"/>
    <col min="6" max="6" width="18.33203125" style="40" customWidth="1"/>
    <col min="7" max="7" width="1" style="41" customWidth="1"/>
    <col min="8" max="8" width="37.88671875" style="40" customWidth="1"/>
    <col min="9" max="9" width="1" style="41" customWidth="1"/>
    <col min="10" max="10" width="12.6640625" style="44" customWidth="1"/>
    <col min="11" max="11" width="1.33203125" style="22" customWidth="1"/>
    <col min="12" max="12" width="12.5546875" style="44" customWidth="1"/>
    <col min="13" max="13" width="1" style="22" customWidth="1"/>
    <col min="14" max="14" width="16" style="22" customWidth="1"/>
    <col min="15" max="15" width="0.5546875" style="22" customWidth="1"/>
    <col min="16" max="16" width="10.77734375" style="22" bestFit="1" customWidth="1"/>
    <col min="17" max="17" width="22" style="44" bestFit="1" customWidth="1"/>
    <col min="18" max="18" width="10.44140625" style="22" hidden="1" customWidth="1"/>
    <col min="19" max="19" width="0.88671875" style="22" hidden="1" customWidth="1"/>
    <col min="20" max="20" width="14" style="71" hidden="1" customWidth="1"/>
    <col min="21" max="21" width="0.88671875" style="22" hidden="1" customWidth="1"/>
    <col min="22" max="22" width="8.44140625" style="57" hidden="1" customWidth="1"/>
    <col min="23" max="23" width="1.6640625" style="22" hidden="1" customWidth="1"/>
    <col min="24" max="24" width="9.33203125" style="57" hidden="1" customWidth="1"/>
    <col min="25" max="25" width="10.44140625" style="22" customWidth="1"/>
    <col min="26" max="26" width="0.88671875" style="22" customWidth="1"/>
    <col min="27" max="27" width="14" style="71" customWidth="1"/>
    <col min="28" max="28" width="0.88671875" style="22" customWidth="1"/>
    <col min="29" max="29" width="9.6640625" style="57" customWidth="1"/>
    <col min="30" max="30" width="1.6640625" style="22" customWidth="1"/>
    <col min="31" max="31" width="9.33203125" style="57" customWidth="1"/>
    <col min="32" max="32" width="10" style="57" customWidth="1"/>
    <col min="33" max="33" width="1.6640625" style="22" customWidth="1"/>
    <col min="34" max="34" width="9.33203125" style="57" customWidth="1"/>
    <col min="35" max="35" width="1.109375" style="22" customWidth="1"/>
    <col min="36" max="265" width="9.109375" style="22"/>
    <col min="266" max="266" width="2.109375" style="22" customWidth="1"/>
    <col min="267" max="267" width="14" style="22" customWidth="1"/>
    <col min="268" max="268" width="0.6640625" style="22" customWidth="1"/>
    <col min="269" max="269" width="17.109375" style="22" customWidth="1"/>
    <col min="270" max="270" width="1.109375" style="22" customWidth="1"/>
    <col min="271" max="271" width="18.33203125" style="22" customWidth="1"/>
    <col min="272" max="272" width="1" style="22" customWidth="1"/>
    <col min="273" max="273" width="39.6640625" style="22" customWidth="1"/>
    <col min="274" max="274" width="1" style="22" customWidth="1"/>
    <col min="275" max="275" width="12.6640625" style="22" customWidth="1"/>
    <col min="276" max="276" width="1.33203125" style="22" customWidth="1"/>
    <col min="277" max="277" width="11.44140625" style="22" customWidth="1"/>
    <col min="278" max="278" width="1" style="22" customWidth="1"/>
    <col min="279" max="279" width="10.44140625" style="22" customWidth="1"/>
    <col min="280" max="280" width="0.88671875" style="22" customWidth="1"/>
    <col min="281" max="281" width="14" style="22" customWidth="1"/>
    <col min="282" max="282" width="0.88671875" style="22" customWidth="1"/>
    <col min="283" max="283" width="8.44140625" style="22" customWidth="1"/>
    <col min="284" max="284" width="1.6640625" style="22" customWidth="1"/>
    <col min="285" max="285" width="9.33203125" style="22" customWidth="1"/>
    <col min="286" max="286" width="16" style="22" customWidth="1"/>
    <col min="287" max="287" width="0.5546875" style="22" customWidth="1"/>
    <col min="288" max="288" width="9.44140625" style="22" bestFit="1" customWidth="1"/>
    <col min="289" max="289" width="1.109375" style="22" customWidth="1"/>
    <col min="290" max="521" width="9.109375" style="22"/>
    <col min="522" max="522" width="2.109375" style="22" customWidth="1"/>
    <col min="523" max="523" width="14" style="22" customWidth="1"/>
    <col min="524" max="524" width="0.6640625" style="22" customWidth="1"/>
    <col min="525" max="525" width="17.109375" style="22" customWidth="1"/>
    <col min="526" max="526" width="1.109375" style="22" customWidth="1"/>
    <col min="527" max="527" width="18.33203125" style="22" customWidth="1"/>
    <col min="528" max="528" width="1" style="22" customWidth="1"/>
    <col min="529" max="529" width="39.6640625" style="22" customWidth="1"/>
    <col min="530" max="530" width="1" style="22" customWidth="1"/>
    <col min="531" max="531" width="12.6640625" style="22" customWidth="1"/>
    <col min="532" max="532" width="1.33203125" style="22" customWidth="1"/>
    <col min="533" max="533" width="11.44140625" style="22" customWidth="1"/>
    <col min="534" max="534" width="1" style="22" customWidth="1"/>
    <col min="535" max="535" width="10.44140625" style="22" customWidth="1"/>
    <col min="536" max="536" width="0.88671875" style="22" customWidth="1"/>
    <col min="537" max="537" width="14" style="22" customWidth="1"/>
    <col min="538" max="538" width="0.88671875" style="22" customWidth="1"/>
    <col min="539" max="539" width="8.44140625" style="22" customWidth="1"/>
    <col min="540" max="540" width="1.6640625" style="22" customWidth="1"/>
    <col min="541" max="541" width="9.33203125" style="22" customWidth="1"/>
    <col min="542" max="542" width="16" style="22" customWidth="1"/>
    <col min="543" max="543" width="0.5546875" style="22" customWidth="1"/>
    <col min="544" max="544" width="9.44140625" style="22" bestFit="1" customWidth="1"/>
    <col min="545" max="545" width="1.109375" style="22" customWidth="1"/>
    <col min="546" max="777" width="9.109375" style="22"/>
    <col min="778" max="778" width="2.109375" style="22" customWidth="1"/>
    <col min="779" max="779" width="14" style="22" customWidth="1"/>
    <col min="780" max="780" width="0.6640625" style="22" customWidth="1"/>
    <col min="781" max="781" width="17.109375" style="22" customWidth="1"/>
    <col min="782" max="782" width="1.109375" style="22" customWidth="1"/>
    <col min="783" max="783" width="18.33203125" style="22" customWidth="1"/>
    <col min="784" max="784" width="1" style="22" customWidth="1"/>
    <col min="785" max="785" width="39.6640625" style="22" customWidth="1"/>
    <col min="786" max="786" width="1" style="22" customWidth="1"/>
    <col min="787" max="787" width="12.6640625" style="22" customWidth="1"/>
    <col min="788" max="788" width="1.33203125" style="22" customWidth="1"/>
    <col min="789" max="789" width="11.44140625" style="22" customWidth="1"/>
    <col min="790" max="790" width="1" style="22" customWidth="1"/>
    <col min="791" max="791" width="10.44140625" style="22" customWidth="1"/>
    <col min="792" max="792" width="0.88671875" style="22" customWidth="1"/>
    <col min="793" max="793" width="14" style="22" customWidth="1"/>
    <col min="794" max="794" width="0.88671875" style="22" customWidth="1"/>
    <col min="795" max="795" width="8.44140625" style="22" customWidth="1"/>
    <col min="796" max="796" width="1.6640625" style="22" customWidth="1"/>
    <col min="797" max="797" width="9.33203125" style="22" customWidth="1"/>
    <col min="798" max="798" width="16" style="22" customWidth="1"/>
    <col min="799" max="799" width="0.5546875" style="22" customWidth="1"/>
    <col min="800" max="800" width="9.44140625" style="22" bestFit="1" customWidth="1"/>
    <col min="801" max="801" width="1.109375" style="22" customWidth="1"/>
    <col min="802" max="1033" width="9.109375" style="22"/>
    <col min="1034" max="1034" width="2.109375" style="22" customWidth="1"/>
    <col min="1035" max="1035" width="14" style="22" customWidth="1"/>
    <col min="1036" max="1036" width="0.6640625" style="22" customWidth="1"/>
    <col min="1037" max="1037" width="17.109375" style="22" customWidth="1"/>
    <col min="1038" max="1038" width="1.109375" style="22" customWidth="1"/>
    <col min="1039" max="1039" width="18.33203125" style="22" customWidth="1"/>
    <col min="1040" max="1040" width="1" style="22" customWidth="1"/>
    <col min="1041" max="1041" width="39.6640625" style="22" customWidth="1"/>
    <col min="1042" max="1042" width="1" style="22" customWidth="1"/>
    <col min="1043" max="1043" width="12.6640625" style="22" customWidth="1"/>
    <col min="1044" max="1044" width="1.33203125" style="22" customWidth="1"/>
    <col min="1045" max="1045" width="11.44140625" style="22" customWidth="1"/>
    <col min="1046" max="1046" width="1" style="22" customWidth="1"/>
    <col min="1047" max="1047" width="10.44140625" style="22" customWidth="1"/>
    <col min="1048" max="1048" width="0.88671875" style="22" customWidth="1"/>
    <col min="1049" max="1049" width="14" style="22" customWidth="1"/>
    <col min="1050" max="1050" width="0.88671875" style="22" customWidth="1"/>
    <col min="1051" max="1051" width="8.44140625" style="22" customWidth="1"/>
    <col min="1052" max="1052" width="1.6640625" style="22" customWidth="1"/>
    <col min="1053" max="1053" width="9.33203125" style="22" customWidth="1"/>
    <col min="1054" max="1054" width="16" style="22" customWidth="1"/>
    <col min="1055" max="1055" width="0.5546875" style="22" customWidth="1"/>
    <col min="1056" max="1056" width="9.44140625" style="22" bestFit="1" customWidth="1"/>
    <col min="1057" max="1057" width="1.109375" style="22" customWidth="1"/>
    <col min="1058" max="1289" width="9.109375" style="22"/>
    <col min="1290" max="1290" width="2.109375" style="22" customWidth="1"/>
    <col min="1291" max="1291" width="14" style="22" customWidth="1"/>
    <col min="1292" max="1292" width="0.6640625" style="22" customWidth="1"/>
    <col min="1293" max="1293" width="17.109375" style="22" customWidth="1"/>
    <col min="1294" max="1294" width="1.109375" style="22" customWidth="1"/>
    <col min="1295" max="1295" width="18.33203125" style="22" customWidth="1"/>
    <col min="1296" max="1296" width="1" style="22" customWidth="1"/>
    <col min="1297" max="1297" width="39.6640625" style="22" customWidth="1"/>
    <col min="1298" max="1298" width="1" style="22" customWidth="1"/>
    <col min="1299" max="1299" width="12.6640625" style="22" customWidth="1"/>
    <col min="1300" max="1300" width="1.33203125" style="22" customWidth="1"/>
    <col min="1301" max="1301" width="11.44140625" style="22" customWidth="1"/>
    <col min="1302" max="1302" width="1" style="22" customWidth="1"/>
    <col min="1303" max="1303" width="10.44140625" style="22" customWidth="1"/>
    <col min="1304" max="1304" width="0.88671875" style="22" customWidth="1"/>
    <col min="1305" max="1305" width="14" style="22" customWidth="1"/>
    <col min="1306" max="1306" width="0.88671875" style="22" customWidth="1"/>
    <col min="1307" max="1307" width="8.44140625" style="22" customWidth="1"/>
    <col min="1308" max="1308" width="1.6640625" style="22" customWidth="1"/>
    <col min="1309" max="1309" width="9.33203125" style="22" customWidth="1"/>
    <col min="1310" max="1310" width="16" style="22" customWidth="1"/>
    <col min="1311" max="1311" width="0.5546875" style="22" customWidth="1"/>
    <col min="1312" max="1312" width="9.44140625" style="22" bestFit="1" customWidth="1"/>
    <col min="1313" max="1313" width="1.109375" style="22" customWidth="1"/>
    <col min="1314" max="1545" width="9.109375" style="22"/>
    <col min="1546" max="1546" width="2.109375" style="22" customWidth="1"/>
    <col min="1547" max="1547" width="14" style="22" customWidth="1"/>
    <col min="1548" max="1548" width="0.6640625" style="22" customWidth="1"/>
    <col min="1549" max="1549" width="17.109375" style="22" customWidth="1"/>
    <col min="1550" max="1550" width="1.109375" style="22" customWidth="1"/>
    <col min="1551" max="1551" width="18.33203125" style="22" customWidth="1"/>
    <col min="1552" max="1552" width="1" style="22" customWidth="1"/>
    <col min="1553" max="1553" width="39.6640625" style="22" customWidth="1"/>
    <col min="1554" max="1554" width="1" style="22" customWidth="1"/>
    <col min="1555" max="1555" width="12.6640625" style="22" customWidth="1"/>
    <col min="1556" max="1556" width="1.33203125" style="22" customWidth="1"/>
    <col min="1557" max="1557" width="11.44140625" style="22" customWidth="1"/>
    <col min="1558" max="1558" width="1" style="22" customWidth="1"/>
    <col min="1559" max="1559" width="10.44140625" style="22" customWidth="1"/>
    <col min="1560" max="1560" width="0.88671875" style="22" customWidth="1"/>
    <col min="1561" max="1561" width="14" style="22" customWidth="1"/>
    <col min="1562" max="1562" width="0.88671875" style="22" customWidth="1"/>
    <col min="1563" max="1563" width="8.44140625" style="22" customWidth="1"/>
    <col min="1564" max="1564" width="1.6640625" style="22" customWidth="1"/>
    <col min="1565" max="1565" width="9.33203125" style="22" customWidth="1"/>
    <col min="1566" max="1566" width="16" style="22" customWidth="1"/>
    <col min="1567" max="1567" width="0.5546875" style="22" customWidth="1"/>
    <col min="1568" max="1568" width="9.44140625" style="22" bestFit="1" customWidth="1"/>
    <col min="1569" max="1569" width="1.109375" style="22" customWidth="1"/>
    <col min="1570" max="1801" width="9.109375" style="22"/>
    <col min="1802" max="1802" width="2.109375" style="22" customWidth="1"/>
    <col min="1803" max="1803" width="14" style="22" customWidth="1"/>
    <col min="1804" max="1804" width="0.6640625" style="22" customWidth="1"/>
    <col min="1805" max="1805" width="17.109375" style="22" customWidth="1"/>
    <col min="1806" max="1806" width="1.109375" style="22" customWidth="1"/>
    <col min="1807" max="1807" width="18.33203125" style="22" customWidth="1"/>
    <col min="1808" max="1808" width="1" style="22" customWidth="1"/>
    <col min="1809" max="1809" width="39.6640625" style="22" customWidth="1"/>
    <col min="1810" max="1810" width="1" style="22" customWidth="1"/>
    <col min="1811" max="1811" width="12.6640625" style="22" customWidth="1"/>
    <col min="1812" max="1812" width="1.33203125" style="22" customWidth="1"/>
    <col min="1813" max="1813" width="11.44140625" style="22" customWidth="1"/>
    <col min="1814" max="1814" width="1" style="22" customWidth="1"/>
    <col min="1815" max="1815" width="10.44140625" style="22" customWidth="1"/>
    <col min="1816" max="1816" width="0.88671875" style="22" customWidth="1"/>
    <col min="1817" max="1817" width="14" style="22" customWidth="1"/>
    <col min="1818" max="1818" width="0.88671875" style="22" customWidth="1"/>
    <col min="1819" max="1819" width="8.44140625" style="22" customWidth="1"/>
    <col min="1820" max="1820" width="1.6640625" style="22" customWidth="1"/>
    <col min="1821" max="1821" width="9.33203125" style="22" customWidth="1"/>
    <col min="1822" max="1822" width="16" style="22" customWidth="1"/>
    <col min="1823" max="1823" width="0.5546875" style="22" customWidth="1"/>
    <col min="1824" max="1824" width="9.44140625" style="22" bestFit="1" customWidth="1"/>
    <col min="1825" max="1825" width="1.109375" style="22" customWidth="1"/>
    <col min="1826" max="2057" width="9.109375" style="22"/>
    <col min="2058" max="2058" width="2.109375" style="22" customWidth="1"/>
    <col min="2059" max="2059" width="14" style="22" customWidth="1"/>
    <col min="2060" max="2060" width="0.6640625" style="22" customWidth="1"/>
    <col min="2061" max="2061" width="17.109375" style="22" customWidth="1"/>
    <col min="2062" max="2062" width="1.109375" style="22" customWidth="1"/>
    <col min="2063" max="2063" width="18.33203125" style="22" customWidth="1"/>
    <col min="2064" max="2064" width="1" style="22" customWidth="1"/>
    <col min="2065" max="2065" width="39.6640625" style="22" customWidth="1"/>
    <col min="2066" max="2066" width="1" style="22" customWidth="1"/>
    <col min="2067" max="2067" width="12.6640625" style="22" customWidth="1"/>
    <col min="2068" max="2068" width="1.33203125" style="22" customWidth="1"/>
    <col min="2069" max="2069" width="11.44140625" style="22" customWidth="1"/>
    <col min="2070" max="2070" width="1" style="22" customWidth="1"/>
    <col min="2071" max="2071" width="10.44140625" style="22" customWidth="1"/>
    <col min="2072" max="2072" width="0.88671875" style="22" customWidth="1"/>
    <col min="2073" max="2073" width="14" style="22" customWidth="1"/>
    <col min="2074" max="2074" width="0.88671875" style="22" customWidth="1"/>
    <col min="2075" max="2075" width="8.44140625" style="22" customWidth="1"/>
    <col min="2076" max="2076" width="1.6640625" style="22" customWidth="1"/>
    <col min="2077" max="2077" width="9.33203125" style="22" customWidth="1"/>
    <col min="2078" max="2078" width="16" style="22" customWidth="1"/>
    <col min="2079" max="2079" width="0.5546875" style="22" customWidth="1"/>
    <col min="2080" max="2080" width="9.44140625" style="22" bestFit="1" customWidth="1"/>
    <col min="2081" max="2081" width="1.109375" style="22" customWidth="1"/>
    <col min="2082" max="2313" width="9.109375" style="22"/>
    <col min="2314" max="2314" width="2.109375" style="22" customWidth="1"/>
    <col min="2315" max="2315" width="14" style="22" customWidth="1"/>
    <col min="2316" max="2316" width="0.6640625" style="22" customWidth="1"/>
    <col min="2317" max="2317" width="17.109375" style="22" customWidth="1"/>
    <col min="2318" max="2318" width="1.109375" style="22" customWidth="1"/>
    <col min="2319" max="2319" width="18.33203125" style="22" customWidth="1"/>
    <col min="2320" max="2320" width="1" style="22" customWidth="1"/>
    <col min="2321" max="2321" width="39.6640625" style="22" customWidth="1"/>
    <col min="2322" max="2322" width="1" style="22" customWidth="1"/>
    <col min="2323" max="2323" width="12.6640625" style="22" customWidth="1"/>
    <col min="2324" max="2324" width="1.33203125" style="22" customWidth="1"/>
    <col min="2325" max="2325" width="11.44140625" style="22" customWidth="1"/>
    <col min="2326" max="2326" width="1" style="22" customWidth="1"/>
    <col min="2327" max="2327" width="10.44140625" style="22" customWidth="1"/>
    <col min="2328" max="2328" width="0.88671875" style="22" customWidth="1"/>
    <col min="2329" max="2329" width="14" style="22" customWidth="1"/>
    <col min="2330" max="2330" width="0.88671875" style="22" customWidth="1"/>
    <col min="2331" max="2331" width="8.44140625" style="22" customWidth="1"/>
    <col min="2332" max="2332" width="1.6640625" style="22" customWidth="1"/>
    <col min="2333" max="2333" width="9.33203125" style="22" customWidth="1"/>
    <col min="2334" max="2334" width="16" style="22" customWidth="1"/>
    <col min="2335" max="2335" width="0.5546875" style="22" customWidth="1"/>
    <col min="2336" max="2336" width="9.44140625" style="22" bestFit="1" customWidth="1"/>
    <col min="2337" max="2337" width="1.109375" style="22" customWidth="1"/>
    <col min="2338" max="2569" width="9.109375" style="22"/>
    <col min="2570" max="2570" width="2.109375" style="22" customWidth="1"/>
    <col min="2571" max="2571" width="14" style="22" customWidth="1"/>
    <col min="2572" max="2572" width="0.6640625" style="22" customWidth="1"/>
    <col min="2573" max="2573" width="17.109375" style="22" customWidth="1"/>
    <col min="2574" max="2574" width="1.109375" style="22" customWidth="1"/>
    <col min="2575" max="2575" width="18.33203125" style="22" customWidth="1"/>
    <col min="2576" max="2576" width="1" style="22" customWidth="1"/>
    <col min="2577" max="2577" width="39.6640625" style="22" customWidth="1"/>
    <col min="2578" max="2578" width="1" style="22" customWidth="1"/>
    <col min="2579" max="2579" width="12.6640625" style="22" customWidth="1"/>
    <col min="2580" max="2580" width="1.33203125" style="22" customWidth="1"/>
    <col min="2581" max="2581" width="11.44140625" style="22" customWidth="1"/>
    <col min="2582" max="2582" width="1" style="22" customWidth="1"/>
    <col min="2583" max="2583" width="10.44140625" style="22" customWidth="1"/>
    <col min="2584" max="2584" width="0.88671875" style="22" customWidth="1"/>
    <col min="2585" max="2585" width="14" style="22" customWidth="1"/>
    <col min="2586" max="2586" width="0.88671875" style="22" customWidth="1"/>
    <col min="2587" max="2587" width="8.44140625" style="22" customWidth="1"/>
    <col min="2588" max="2588" width="1.6640625" style="22" customWidth="1"/>
    <col min="2589" max="2589" width="9.33203125" style="22" customWidth="1"/>
    <col min="2590" max="2590" width="16" style="22" customWidth="1"/>
    <col min="2591" max="2591" width="0.5546875" style="22" customWidth="1"/>
    <col min="2592" max="2592" width="9.44140625" style="22" bestFit="1" customWidth="1"/>
    <col min="2593" max="2593" width="1.109375" style="22" customWidth="1"/>
    <col min="2594" max="2825" width="9.109375" style="22"/>
    <col min="2826" max="2826" width="2.109375" style="22" customWidth="1"/>
    <col min="2827" max="2827" width="14" style="22" customWidth="1"/>
    <col min="2828" max="2828" width="0.6640625" style="22" customWidth="1"/>
    <col min="2829" max="2829" width="17.109375" style="22" customWidth="1"/>
    <col min="2830" max="2830" width="1.109375" style="22" customWidth="1"/>
    <col min="2831" max="2831" width="18.33203125" style="22" customWidth="1"/>
    <col min="2832" max="2832" width="1" style="22" customWidth="1"/>
    <col min="2833" max="2833" width="39.6640625" style="22" customWidth="1"/>
    <col min="2834" max="2834" width="1" style="22" customWidth="1"/>
    <col min="2835" max="2835" width="12.6640625" style="22" customWidth="1"/>
    <col min="2836" max="2836" width="1.33203125" style="22" customWidth="1"/>
    <col min="2837" max="2837" width="11.44140625" style="22" customWidth="1"/>
    <col min="2838" max="2838" width="1" style="22" customWidth="1"/>
    <col min="2839" max="2839" width="10.44140625" style="22" customWidth="1"/>
    <col min="2840" max="2840" width="0.88671875" style="22" customWidth="1"/>
    <col min="2841" max="2841" width="14" style="22" customWidth="1"/>
    <col min="2842" max="2842" width="0.88671875" style="22" customWidth="1"/>
    <col min="2843" max="2843" width="8.44140625" style="22" customWidth="1"/>
    <col min="2844" max="2844" width="1.6640625" style="22" customWidth="1"/>
    <col min="2845" max="2845" width="9.33203125" style="22" customWidth="1"/>
    <col min="2846" max="2846" width="16" style="22" customWidth="1"/>
    <col min="2847" max="2847" width="0.5546875" style="22" customWidth="1"/>
    <col min="2848" max="2848" width="9.44140625" style="22" bestFit="1" customWidth="1"/>
    <col min="2849" max="2849" width="1.109375" style="22" customWidth="1"/>
    <col min="2850" max="3081" width="9.109375" style="22"/>
    <col min="3082" max="3082" width="2.109375" style="22" customWidth="1"/>
    <col min="3083" max="3083" width="14" style="22" customWidth="1"/>
    <col min="3084" max="3084" width="0.6640625" style="22" customWidth="1"/>
    <col min="3085" max="3085" width="17.109375" style="22" customWidth="1"/>
    <col min="3086" max="3086" width="1.109375" style="22" customWidth="1"/>
    <col min="3087" max="3087" width="18.33203125" style="22" customWidth="1"/>
    <col min="3088" max="3088" width="1" style="22" customWidth="1"/>
    <col min="3089" max="3089" width="39.6640625" style="22" customWidth="1"/>
    <col min="3090" max="3090" width="1" style="22" customWidth="1"/>
    <col min="3091" max="3091" width="12.6640625" style="22" customWidth="1"/>
    <col min="3092" max="3092" width="1.33203125" style="22" customWidth="1"/>
    <col min="3093" max="3093" width="11.44140625" style="22" customWidth="1"/>
    <col min="3094" max="3094" width="1" style="22" customWidth="1"/>
    <col min="3095" max="3095" width="10.44140625" style="22" customWidth="1"/>
    <col min="3096" max="3096" width="0.88671875" style="22" customWidth="1"/>
    <col min="3097" max="3097" width="14" style="22" customWidth="1"/>
    <col min="3098" max="3098" width="0.88671875" style="22" customWidth="1"/>
    <col min="3099" max="3099" width="8.44140625" style="22" customWidth="1"/>
    <col min="3100" max="3100" width="1.6640625" style="22" customWidth="1"/>
    <col min="3101" max="3101" width="9.33203125" style="22" customWidth="1"/>
    <col min="3102" max="3102" width="16" style="22" customWidth="1"/>
    <col min="3103" max="3103" width="0.5546875" style="22" customWidth="1"/>
    <col min="3104" max="3104" width="9.44140625" style="22" bestFit="1" customWidth="1"/>
    <col min="3105" max="3105" width="1.109375" style="22" customWidth="1"/>
    <col min="3106" max="3337" width="9.109375" style="22"/>
    <col min="3338" max="3338" width="2.109375" style="22" customWidth="1"/>
    <col min="3339" max="3339" width="14" style="22" customWidth="1"/>
    <col min="3340" max="3340" width="0.6640625" style="22" customWidth="1"/>
    <col min="3341" max="3341" width="17.109375" style="22" customWidth="1"/>
    <col min="3342" max="3342" width="1.109375" style="22" customWidth="1"/>
    <col min="3343" max="3343" width="18.33203125" style="22" customWidth="1"/>
    <col min="3344" max="3344" width="1" style="22" customWidth="1"/>
    <col min="3345" max="3345" width="39.6640625" style="22" customWidth="1"/>
    <col min="3346" max="3346" width="1" style="22" customWidth="1"/>
    <col min="3347" max="3347" width="12.6640625" style="22" customWidth="1"/>
    <col min="3348" max="3348" width="1.33203125" style="22" customWidth="1"/>
    <col min="3349" max="3349" width="11.44140625" style="22" customWidth="1"/>
    <col min="3350" max="3350" width="1" style="22" customWidth="1"/>
    <col min="3351" max="3351" width="10.44140625" style="22" customWidth="1"/>
    <col min="3352" max="3352" width="0.88671875" style="22" customWidth="1"/>
    <col min="3353" max="3353" width="14" style="22" customWidth="1"/>
    <col min="3354" max="3354" width="0.88671875" style="22" customWidth="1"/>
    <col min="3355" max="3355" width="8.44140625" style="22" customWidth="1"/>
    <col min="3356" max="3356" width="1.6640625" style="22" customWidth="1"/>
    <col min="3357" max="3357" width="9.33203125" style="22" customWidth="1"/>
    <col min="3358" max="3358" width="16" style="22" customWidth="1"/>
    <col min="3359" max="3359" width="0.5546875" style="22" customWidth="1"/>
    <col min="3360" max="3360" width="9.44140625" style="22" bestFit="1" customWidth="1"/>
    <col min="3361" max="3361" width="1.109375" style="22" customWidth="1"/>
    <col min="3362" max="3593" width="9.109375" style="22"/>
    <col min="3594" max="3594" width="2.109375" style="22" customWidth="1"/>
    <col min="3595" max="3595" width="14" style="22" customWidth="1"/>
    <col min="3596" max="3596" width="0.6640625" style="22" customWidth="1"/>
    <col min="3597" max="3597" width="17.109375" style="22" customWidth="1"/>
    <col min="3598" max="3598" width="1.109375" style="22" customWidth="1"/>
    <col min="3599" max="3599" width="18.33203125" style="22" customWidth="1"/>
    <col min="3600" max="3600" width="1" style="22" customWidth="1"/>
    <col min="3601" max="3601" width="39.6640625" style="22" customWidth="1"/>
    <col min="3602" max="3602" width="1" style="22" customWidth="1"/>
    <col min="3603" max="3603" width="12.6640625" style="22" customWidth="1"/>
    <col min="3604" max="3604" width="1.33203125" style="22" customWidth="1"/>
    <col min="3605" max="3605" width="11.44140625" style="22" customWidth="1"/>
    <col min="3606" max="3606" width="1" style="22" customWidth="1"/>
    <col min="3607" max="3607" width="10.44140625" style="22" customWidth="1"/>
    <col min="3608" max="3608" width="0.88671875" style="22" customWidth="1"/>
    <col min="3609" max="3609" width="14" style="22" customWidth="1"/>
    <col min="3610" max="3610" width="0.88671875" style="22" customWidth="1"/>
    <col min="3611" max="3611" width="8.44140625" style="22" customWidth="1"/>
    <col min="3612" max="3612" width="1.6640625" style="22" customWidth="1"/>
    <col min="3613" max="3613" width="9.33203125" style="22" customWidth="1"/>
    <col min="3614" max="3614" width="16" style="22" customWidth="1"/>
    <col min="3615" max="3615" width="0.5546875" style="22" customWidth="1"/>
    <col min="3616" max="3616" width="9.44140625" style="22" bestFit="1" customWidth="1"/>
    <col min="3617" max="3617" width="1.109375" style="22" customWidth="1"/>
    <col min="3618" max="3849" width="9.109375" style="22"/>
    <col min="3850" max="3850" width="2.109375" style="22" customWidth="1"/>
    <col min="3851" max="3851" width="14" style="22" customWidth="1"/>
    <col min="3852" max="3852" width="0.6640625" style="22" customWidth="1"/>
    <col min="3853" max="3853" width="17.109375" style="22" customWidth="1"/>
    <col min="3854" max="3854" width="1.109375" style="22" customWidth="1"/>
    <col min="3855" max="3855" width="18.33203125" style="22" customWidth="1"/>
    <col min="3856" max="3856" width="1" style="22" customWidth="1"/>
    <col min="3857" max="3857" width="39.6640625" style="22" customWidth="1"/>
    <col min="3858" max="3858" width="1" style="22" customWidth="1"/>
    <col min="3859" max="3859" width="12.6640625" style="22" customWidth="1"/>
    <col min="3860" max="3860" width="1.33203125" style="22" customWidth="1"/>
    <col min="3861" max="3861" width="11.44140625" style="22" customWidth="1"/>
    <col min="3862" max="3862" width="1" style="22" customWidth="1"/>
    <col min="3863" max="3863" width="10.44140625" style="22" customWidth="1"/>
    <col min="3864" max="3864" width="0.88671875" style="22" customWidth="1"/>
    <col min="3865" max="3865" width="14" style="22" customWidth="1"/>
    <col min="3866" max="3866" width="0.88671875" style="22" customWidth="1"/>
    <col min="3867" max="3867" width="8.44140625" style="22" customWidth="1"/>
    <col min="3868" max="3868" width="1.6640625" style="22" customWidth="1"/>
    <col min="3869" max="3869" width="9.33203125" style="22" customWidth="1"/>
    <col min="3870" max="3870" width="16" style="22" customWidth="1"/>
    <col min="3871" max="3871" width="0.5546875" style="22" customWidth="1"/>
    <col min="3872" max="3872" width="9.44140625" style="22" bestFit="1" customWidth="1"/>
    <col min="3873" max="3873" width="1.109375" style="22" customWidth="1"/>
    <col min="3874" max="4105" width="9.109375" style="22"/>
    <col min="4106" max="4106" width="2.109375" style="22" customWidth="1"/>
    <col min="4107" max="4107" width="14" style="22" customWidth="1"/>
    <col min="4108" max="4108" width="0.6640625" style="22" customWidth="1"/>
    <col min="4109" max="4109" width="17.109375" style="22" customWidth="1"/>
    <col min="4110" max="4110" width="1.109375" style="22" customWidth="1"/>
    <col min="4111" max="4111" width="18.33203125" style="22" customWidth="1"/>
    <col min="4112" max="4112" width="1" style="22" customWidth="1"/>
    <col min="4113" max="4113" width="39.6640625" style="22" customWidth="1"/>
    <col min="4114" max="4114" width="1" style="22" customWidth="1"/>
    <col min="4115" max="4115" width="12.6640625" style="22" customWidth="1"/>
    <col min="4116" max="4116" width="1.33203125" style="22" customWidth="1"/>
    <col min="4117" max="4117" width="11.44140625" style="22" customWidth="1"/>
    <col min="4118" max="4118" width="1" style="22" customWidth="1"/>
    <col min="4119" max="4119" width="10.44140625" style="22" customWidth="1"/>
    <col min="4120" max="4120" width="0.88671875" style="22" customWidth="1"/>
    <col min="4121" max="4121" width="14" style="22" customWidth="1"/>
    <col min="4122" max="4122" width="0.88671875" style="22" customWidth="1"/>
    <col min="4123" max="4123" width="8.44140625" style="22" customWidth="1"/>
    <col min="4124" max="4124" width="1.6640625" style="22" customWidth="1"/>
    <col min="4125" max="4125" width="9.33203125" style="22" customWidth="1"/>
    <col min="4126" max="4126" width="16" style="22" customWidth="1"/>
    <col min="4127" max="4127" width="0.5546875" style="22" customWidth="1"/>
    <col min="4128" max="4128" width="9.44140625" style="22" bestFit="1" customWidth="1"/>
    <col min="4129" max="4129" width="1.109375" style="22" customWidth="1"/>
    <col min="4130" max="4361" width="9.109375" style="22"/>
    <col min="4362" max="4362" width="2.109375" style="22" customWidth="1"/>
    <col min="4363" max="4363" width="14" style="22" customWidth="1"/>
    <col min="4364" max="4364" width="0.6640625" style="22" customWidth="1"/>
    <col min="4365" max="4365" width="17.109375" style="22" customWidth="1"/>
    <col min="4366" max="4366" width="1.109375" style="22" customWidth="1"/>
    <col min="4367" max="4367" width="18.33203125" style="22" customWidth="1"/>
    <col min="4368" max="4368" width="1" style="22" customWidth="1"/>
    <col min="4369" max="4369" width="39.6640625" style="22" customWidth="1"/>
    <col min="4370" max="4370" width="1" style="22" customWidth="1"/>
    <col min="4371" max="4371" width="12.6640625" style="22" customWidth="1"/>
    <col min="4372" max="4372" width="1.33203125" style="22" customWidth="1"/>
    <col min="4373" max="4373" width="11.44140625" style="22" customWidth="1"/>
    <col min="4374" max="4374" width="1" style="22" customWidth="1"/>
    <col min="4375" max="4375" width="10.44140625" style="22" customWidth="1"/>
    <col min="4376" max="4376" width="0.88671875" style="22" customWidth="1"/>
    <col min="4377" max="4377" width="14" style="22" customWidth="1"/>
    <col min="4378" max="4378" width="0.88671875" style="22" customWidth="1"/>
    <col min="4379" max="4379" width="8.44140625" style="22" customWidth="1"/>
    <col min="4380" max="4380" width="1.6640625" style="22" customWidth="1"/>
    <col min="4381" max="4381" width="9.33203125" style="22" customWidth="1"/>
    <col min="4382" max="4382" width="16" style="22" customWidth="1"/>
    <col min="4383" max="4383" width="0.5546875" style="22" customWidth="1"/>
    <col min="4384" max="4384" width="9.44140625" style="22" bestFit="1" customWidth="1"/>
    <col min="4385" max="4385" width="1.109375" style="22" customWidth="1"/>
    <col min="4386" max="4617" width="9.109375" style="22"/>
    <col min="4618" max="4618" width="2.109375" style="22" customWidth="1"/>
    <col min="4619" max="4619" width="14" style="22" customWidth="1"/>
    <col min="4620" max="4620" width="0.6640625" style="22" customWidth="1"/>
    <col min="4621" max="4621" width="17.109375" style="22" customWidth="1"/>
    <col min="4622" max="4622" width="1.109375" style="22" customWidth="1"/>
    <col min="4623" max="4623" width="18.33203125" style="22" customWidth="1"/>
    <col min="4624" max="4624" width="1" style="22" customWidth="1"/>
    <col min="4625" max="4625" width="39.6640625" style="22" customWidth="1"/>
    <col min="4626" max="4626" width="1" style="22" customWidth="1"/>
    <col min="4627" max="4627" width="12.6640625" style="22" customWidth="1"/>
    <col min="4628" max="4628" width="1.33203125" style="22" customWidth="1"/>
    <col min="4629" max="4629" width="11.44140625" style="22" customWidth="1"/>
    <col min="4630" max="4630" width="1" style="22" customWidth="1"/>
    <col min="4631" max="4631" width="10.44140625" style="22" customWidth="1"/>
    <col min="4632" max="4632" width="0.88671875" style="22" customWidth="1"/>
    <col min="4633" max="4633" width="14" style="22" customWidth="1"/>
    <col min="4634" max="4634" width="0.88671875" style="22" customWidth="1"/>
    <col min="4635" max="4635" width="8.44140625" style="22" customWidth="1"/>
    <col min="4636" max="4636" width="1.6640625" style="22" customWidth="1"/>
    <col min="4637" max="4637" width="9.33203125" style="22" customWidth="1"/>
    <col min="4638" max="4638" width="16" style="22" customWidth="1"/>
    <col min="4639" max="4639" width="0.5546875" style="22" customWidth="1"/>
    <col min="4640" max="4640" width="9.44140625" style="22" bestFit="1" customWidth="1"/>
    <col min="4641" max="4641" width="1.109375" style="22" customWidth="1"/>
    <col min="4642" max="4873" width="9.109375" style="22"/>
    <col min="4874" max="4874" width="2.109375" style="22" customWidth="1"/>
    <col min="4875" max="4875" width="14" style="22" customWidth="1"/>
    <col min="4876" max="4876" width="0.6640625" style="22" customWidth="1"/>
    <col min="4877" max="4877" width="17.109375" style="22" customWidth="1"/>
    <col min="4878" max="4878" width="1.109375" style="22" customWidth="1"/>
    <col min="4879" max="4879" width="18.33203125" style="22" customWidth="1"/>
    <col min="4880" max="4880" width="1" style="22" customWidth="1"/>
    <col min="4881" max="4881" width="39.6640625" style="22" customWidth="1"/>
    <col min="4882" max="4882" width="1" style="22" customWidth="1"/>
    <col min="4883" max="4883" width="12.6640625" style="22" customWidth="1"/>
    <col min="4884" max="4884" width="1.33203125" style="22" customWidth="1"/>
    <col min="4885" max="4885" width="11.44140625" style="22" customWidth="1"/>
    <col min="4886" max="4886" width="1" style="22" customWidth="1"/>
    <col min="4887" max="4887" width="10.44140625" style="22" customWidth="1"/>
    <col min="4888" max="4888" width="0.88671875" style="22" customWidth="1"/>
    <col min="4889" max="4889" width="14" style="22" customWidth="1"/>
    <col min="4890" max="4890" width="0.88671875" style="22" customWidth="1"/>
    <col min="4891" max="4891" width="8.44140625" style="22" customWidth="1"/>
    <col min="4892" max="4892" width="1.6640625" style="22" customWidth="1"/>
    <col min="4893" max="4893" width="9.33203125" style="22" customWidth="1"/>
    <col min="4894" max="4894" width="16" style="22" customWidth="1"/>
    <col min="4895" max="4895" width="0.5546875" style="22" customWidth="1"/>
    <col min="4896" max="4896" width="9.44140625" style="22" bestFit="1" customWidth="1"/>
    <col min="4897" max="4897" width="1.109375" style="22" customWidth="1"/>
    <col min="4898" max="5129" width="9.109375" style="22"/>
    <col min="5130" max="5130" width="2.109375" style="22" customWidth="1"/>
    <col min="5131" max="5131" width="14" style="22" customWidth="1"/>
    <col min="5132" max="5132" width="0.6640625" style="22" customWidth="1"/>
    <col min="5133" max="5133" width="17.109375" style="22" customWidth="1"/>
    <col min="5134" max="5134" width="1.109375" style="22" customWidth="1"/>
    <col min="5135" max="5135" width="18.33203125" style="22" customWidth="1"/>
    <col min="5136" max="5136" width="1" style="22" customWidth="1"/>
    <col min="5137" max="5137" width="39.6640625" style="22" customWidth="1"/>
    <col min="5138" max="5138" width="1" style="22" customWidth="1"/>
    <col min="5139" max="5139" width="12.6640625" style="22" customWidth="1"/>
    <col min="5140" max="5140" width="1.33203125" style="22" customWidth="1"/>
    <col min="5141" max="5141" width="11.44140625" style="22" customWidth="1"/>
    <col min="5142" max="5142" width="1" style="22" customWidth="1"/>
    <col min="5143" max="5143" width="10.44140625" style="22" customWidth="1"/>
    <col min="5144" max="5144" width="0.88671875" style="22" customWidth="1"/>
    <col min="5145" max="5145" width="14" style="22" customWidth="1"/>
    <col min="5146" max="5146" width="0.88671875" style="22" customWidth="1"/>
    <col min="5147" max="5147" width="8.44140625" style="22" customWidth="1"/>
    <col min="5148" max="5148" width="1.6640625" style="22" customWidth="1"/>
    <col min="5149" max="5149" width="9.33203125" style="22" customWidth="1"/>
    <col min="5150" max="5150" width="16" style="22" customWidth="1"/>
    <col min="5151" max="5151" width="0.5546875" style="22" customWidth="1"/>
    <col min="5152" max="5152" width="9.44140625" style="22" bestFit="1" customWidth="1"/>
    <col min="5153" max="5153" width="1.109375" style="22" customWidth="1"/>
    <col min="5154" max="5385" width="9.109375" style="22"/>
    <col min="5386" max="5386" width="2.109375" style="22" customWidth="1"/>
    <col min="5387" max="5387" width="14" style="22" customWidth="1"/>
    <col min="5388" max="5388" width="0.6640625" style="22" customWidth="1"/>
    <col min="5389" max="5389" width="17.109375" style="22" customWidth="1"/>
    <col min="5390" max="5390" width="1.109375" style="22" customWidth="1"/>
    <col min="5391" max="5391" width="18.33203125" style="22" customWidth="1"/>
    <col min="5392" max="5392" width="1" style="22" customWidth="1"/>
    <col min="5393" max="5393" width="39.6640625" style="22" customWidth="1"/>
    <col min="5394" max="5394" width="1" style="22" customWidth="1"/>
    <col min="5395" max="5395" width="12.6640625" style="22" customWidth="1"/>
    <col min="5396" max="5396" width="1.33203125" style="22" customWidth="1"/>
    <col min="5397" max="5397" width="11.44140625" style="22" customWidth="1"/>
    <col min="5398" max="5398" width="1" style="22" customWidth="1"/>
    <col min="5399" max="5399" width="10.44140625" style="22" customWidth="1"/>
    <col min="5400" max="5400" width="0.88671875" style="22" customWidth="1"/>
    <col min="5401" max="5401" width="14" style="22" customWidth="1"/>
    <col min="5402" max="5402" width="0.88671875" style="22" customWidth="1"/>
    <col min="5403" max="5403" width="8.44140625" style="22" customWidth="1"/>
    <col min="5404" max="5404" width="1.6640625" style="22" customWidth="1"/>
    <col min="5405" max="5405" width="9.33203125" style="22" customWidth="1"/>
    <col min="5406" max="5406" width="16" style="22" customWidth="1"/>
    <col min="5407" max="5407" width="0.5546875" style="22" customWidth="1"/>
    <col min="5408" max="5408" width="9.44140625" style="22" bestFit="1" customWidth="1"/>
    <col min="5409" max="5409" width="1.109375" style="22" customWidth="1"/>
    <col min="5410" max="5641" width="9.109375" style="22"/>
    <col min="5642" max="5642" width="2.109375" style="22" customWidth="1"/>
    <col min="5643" max="5643" width="14" style="22" customWidth="1"/>
    <col min="5644" max="5644" width="0.6640625" style="22" customWidth="1"/>
    <col min="5645" max="5645" width="17.109375" style="22" customWidth="1"/>
    <col min="5646" max="5646" width="1.109375" style="22" customWidth="1"/>
    <col min="5647" max="5647" width="18.33203125" style="22" customWidth="1"/>
    <col min="5648" max="5648" width="1" style="22" customWidth="1"/>
    <col min="5649" max="5649" width="39.6640625" style="22" customWidth="1"/>
    <col min="5650" max="5650" width="1" style="22" customWidth="1"/>
    <col min="5651" max="5651" width="12.6640625" style="22" customWidth="1"/>
    <col min="5652" max="5652" width="1.33203125" style="22" customWidth="1"/>
    <col min="5653" max="5653" width="11.44140625" style="22" customWidth="1"/>
    <col min="5654" max="5654" width="1" style="22" customWidth="1"/>
    <col min="5655" max="5655" width="10.44140625" style="22" customWidth="1"/>
    <col min="5656" max="5656" width="0.88671875" style="22" customWidth="1"/>
    <col min="5657" max="5657" width="14" style="22" customWidth="1"/>
    <col min="5658" max="5658" width="0.88671875" style="22" customWidth="1"/>
    <col min="5659" max="5659" width="8.44140625" style="22" customWidth="1"/>
    <col min="5660" max="5660" width="1.6640625" style="22" customWidth="1"/>
    <col min="5661" max="5661" width="9.33203125" style="22" customWidth="1"/>
    <col min="5662" max="5662" width="16" style="22" customWidth="1"/>
    <col min="5663" max="5663" width="0.5546875" style="22" customWidth="1"/>
    <col min="5664" max="5664" width="9.44140625" style="22" bestFit="1" customWidth="1"/>
    <col min="5665" max="5665" width="1.109375" style="22" customWidth="1"/>
    <col min="5666" max="5897" width="9.109375" style="22"/>
    <col min="5898" max="5898" width="2.109375" style="22" customWidth="1"/>
    <col min="5899" max="5899" width="14" style="22" customWidth="1"/>
    <col min="5900" max="5900" width="0.6640625" style="22" customWidth="1"/>
    <col min="5901" max="5901" width="17.109375" style="22" customWidth="1"/>
    <col min="5902" max="5902" width="1.109375" style="22" customWidth="1"/>
    <col min="5903" max="5903" width="18.33203125" style="22" customWidth="1"/>
    <col min="5904" max="5904" width="1" style="22" customWidth="1"/>
    <col min="5905" max="5905" width="39.6640625" style="22" customWidth="1"/>
    <col min="5906" max="5906" width="1" style="22" customWidth="1"/>
    <col min="5907" max="5907" width="12.6640625" style="22" customWidth="1"/>
    <col min="5908" max="5908" width="1.33203125" style="22" customWidth="1"/>
    <col min="5909" max="5909" width="11.44140625" style="22" customWidth="1"/>
    <col min="5910" max="5910" width="1" style="22" customWidth="1"/>
    <col min="5911" max="5911" width="10.44140625" style="22" customWidth="1"/>
    <col min="5912" max="5912" width="0.88671875" style="22" customWidth="1"/>
    <col min="5913" max="5913" width="14" style="22" customWidth="1"/>
    <col min="5914" max="5914" width="0.88671875" style="22" customWidth="1"/>
    <col min="5915" max="5915" width="8.44140625" style="22" customWidth="1"/>
    <col min="5916" max="5916" width="1.6640625" style="22" customWidth="1"/>
    <col min="5917" max="5917" width="9.33203125" style="22" customWidth="1"/>
    <col min="5918" max="5918" width="16" style="22" customWidth="1"/>
    <col min="5919" max="5919" width="0.5546875" style="22" customWidth="1"/>
    <col min="5920" max="5920" width="9.44140625" style="22" bestFit="1" customWidth="1"/>
    <col min="5921" max="5921" width="1.109375" style="22" customWidth="1"/>
    <col min="5922" max="6153" width="9.109375" style="22"/>
    <col min="6154" max="6154" width="2.109375" style="22" customWidth="1"/>
    <col min="6155" max="6155" width="14" style="22" customWidth="1"/>
    <col min="6156" max="6156" width="0.6640625" style="22" customWidth="1"/>
    <col min="6157" max="6157" width="17.109375" style="22" customWidth="1"/>
    <col min="6158" max="6158" width="1.109375" style="22" customWidth="1"/>
    <col min="6159" max="6159" width="18.33203125" style="22" customWidth="1"/>
    <col min="6160" max="6160" width="1" style="22" customWidth="1"/>
    <col min="6161" max="6161" width="39.6640625" style="22" customWidth="1"/>
    <col min="6162" max="6162" width="1" style="22" customWidth="1"/>
    <col min="6163" max="6163" width="12.6640625" style="22" customWidth="1"/>
    <col min="6164" max="6164" width="1.33203125" style="22" customWidth="1"/>
    <col min="6165" max="6165" width="11.44140625" style="22" customWidth="1"/>
    <col min="6166" max="6166" width="1" style="22" customWidth="1"/>
    <col min="6167" max="6167" width="10.44140625" style="22" customWidth="1"/>
    <col min="6168" max="6168" width="0.88671875" style="22" customWidth="1"/>
    <col min="6169" max="6169" width="14" style="22" customWidth="1"/>
    <col min="6170" max="6170" width="0.88671875" style="22" customWidth="1"/>
    <col min="6171" max="6171" width="8.44140625" style="22" customWidth="1"/>
    <col min="6172" max="6172" width="1.6640625" style="22" customWidth="1"/>
    <col min="6173" max="6173" width="9.33203125" style="22" customWidth="1"/>
    <col min="6174" max="6174" width="16" style="22" customWidth="1"/>
    <col min="6175" max="6175" width="0.5546875" style="22" customWidth="1"/>
    <col min="6176" max="6176" width="9.44140625" style="22" bestFit="1" customWidth="1"/>
    <col min="6177" max="6177" width="1.109375" style="22" customWidth="1"/>
    <col min="6178" max="6409" width="9.109375" style="22"/>
    <col min="6410" max="6410" width="2.109375" style="22" customWidth="1"/>
    <col min="6411" max="6411" width="14" style="22" customWidth="1"/>
    <col min="6412" max="6412" width="0.6640625" style="22" customWidth="1"/>
    <col min="6413" max="6413" width="17.109375" style="22" customWidth="1"/>
    <col min="6414" max="6414" width="1.109375" style="22" customWidth="1"/>
    <col min="6415" max="6415" width="18.33203125" style="22" customWidth="1"/>
    <col min="6416" max="6416" width="1" style="22" customWidth="1"/>
    <col min="6417" max="6417" width="39.6640625" style="22" customWidth="1"/>
    <col min="6418" max="6418" width="1" style="22" customWidth="1"/>
    <col min="6419" max="6419" width="12.6640625" style="22" customWidth="1"/>
    <col min="6420" max="6420" width="1.33203125" style="22" customWidth="1"/>
    <col min="6421" max="6421" width="11.44140625" style="22" customWidth="1"/>
    <col min="6422" max="6422" width="1" style="22" customWidth="1"/>
    <col min="6423" max="6423" width="10.44140625" style="22" customWidth="1"/>
    <col min="6424" max="6424" width="0.88671875" style="22" customWidth="1"/>
    <col min="6425" max="6425" width="14" style="22" customWidth="1"/>
    <col min="6426" max="6426" width="0.88671875" style="22" customWidth="1"/>
    <col min="6427" max="6427" width="8.44140625" style="22" customWidth="1"/>
    <col min="6428" max="6428" width="1.6640625" style="22" customWidth="1"/>
    <col min="6429" max="6429" width="9.33203125" style="22" customWidth="1"/>
    <col min="6430" max="6430" width="16" style="22" customWidth="1"/>
    <col min="6431" max="6431" width="0.5546875" style="22" customWidth="1"/>
    <col min="6432" max="6432" width="9.44140625" style="22" bestFit="1" customWidth="1"/>
    <col min="6433" max="6433" width="1.109375" style="22" customWidth="1"/>
    <col min="6434" max="6665" width="9.109375" style="22"/>
    <col min="6666" max="6666" width="2.109375" style="22" customWidth="1"/>
    <col min="6667" max="6667" width="14" style="22" customWidth="1"/>
    <col min="6668" max="6668" width="0.6640625" style="22" customWidth="1"/>
    <col min="6669" max="6669" width="17.109375" style="22" customWidth="1"/>
    <col min="6670" max="6670" width="1.109375" style="22" customWidth="1"/>
    <col min="6671" max="6671" width="18.33203125" style="22" customWidth="1"/>
    <col min="6672" max="6672" width="1" style="22" customWidth="1"/>
    <col min="6673" max="6673" width="39.6640625" style="22" customWidth="1"/>
    <col min="6674" max="6674" width="1" style="22" customWidth="1"/>
    <col min="6675" max="6675" width="12.6640625" style="22" customWidth="1"/>
    <col min="6676" max="6676" width="1.33203125" style="22" customWidth="1"/>
    <col min="6677" max="6677" width="11.44140625" style="22" customWidth="1"/>
    <col min="6678" max="6678" width="1" style="22" customWidth="1"/>
    <col min="6679" max="6679" width="10.44140625" style="22" customWidth="1"/>
    <col min="6680" max="6680" width="0.88671875" style="22" customWidth="1"/>
    <col min="6681" max="6681" width="14" style="22" customWidth="1"/>
    <col min="6682" max="6682" width="0.88671875" style="22" customWidth="1"/>
    <col min="6683" max="6683" width="8.44140625" style="22" customWidth="1"/>
    <col min="6684" max="6684" width="1.6640625" style="22" customWidth="1"/>
    <col min="6685" max="6685" width="9.33203125" style="22" customWidth="1"/>
    <col min="6686" max="6686" width="16" style="22" customWidth="1"/>
    <col min="6687" max="6687" width="0.5546875" style="22" customWidth="1"/>
    <col min="6688" max="6688" width="9.44140625" style="22" bestFit="1" customWidth="1"/>
    <col min="6689" max="6689" width="1.109375" style="22" customWidth="1"/>
    <col min="6690" max="6921" width="9.109375" style="22"/>
    <col min="6922" max="6922" width="2.109375" style="22" customWidth="1"/>
    <col min="6923" max="6923" width="14" style="22" customWidth="1"/>
    <col min="6924" max="6924" width="0.6640625" style="22" customWidth="1"/>
    <col min="6925" max="6925" width="17.109375" style="22" customWidth="1"/>
    <col min="6926" max="6926" width="1.109375" style="22" customWidth="1"/>
    <col min="6927" max="6927" width="18.33203125" style="22" customWidth="1"/>
    <col min="6928" max="6928" width="1" style="22" customWidth="1"/>
    <col min="6929" max="6929" width="39.6640625" style="22" customWidth="1"/>
    <col min="6930" max="6930" width="1" style="22" customWidth="1"/>
    <col min="6931" max="6931" width="12.6640625" style="22" customWidth="1"/>
    <col min="6932" max="6932" width="1.33203125" style="22" customWidth="1"/>
    <col min="6933" max="6933" width="11.44140625" style="22" customWidth="1"/>
    <col min="6934" max="6934" width="1" style="22" customWidth="1"/>
    <col min="6935" max="6935" width="10.44140625" style="22" customWidth="1"/>
    <col min="6936" max="6936" width="0.88671875" style="22" customWidth="1"/>
    <col min="6937" max="6937" width="14" style="22" customWidth="1"/>
    <col min="6938" max="6938" width="0.88671875" style="22" customWidth="1"/>
    <col min="6939" max="6939" width="8.44140625" style="22" customWidth="1"/>
    <col min="6940" max="6940" width="1.6640625" style="22" customWidth="1"/>
    <col min="6941" max="6941" width="9.33203125" style="22" customWidth="1"/>
    <col min="6942" max="6942" width="16" style="22" customWidth="1"/>
    <col min="6943" max="6943" width="0.5546875" style="22" customWidth="1"/>
    <col min="6944" max="6944" width="9.44140625" style="22" bestFit="1" customWidth="1"/>
    <col min="6945" max="6945" width="1.109375" style="22" customWidth="1"/>
    <col min="6946" max="7177" width="9.109375" style="22"/>
    <col min="7178" max="7178" width="2.109375" style="22" customWidth="1"/>
    <col min="7179" max="7179" width="14" style="22" customWidth="1"/>
    <col min="7180" max="7180" width="0.6640625" style="22" customWidth="1"/>
    <col min="7181" max="7181" width="17.109375" style="22" customWidth="1"/>
    <col min="7182" max="7182" width="1.109375" style="22" customWidth="1"/>
    <col min="7183" max="7183" width="18.33203125" style="22" customWidth="1"/>
    <col min="7184" max="7184" width="1" style="22" customWidth="1"/>
    <col min="7185" max="7185" width="39.6640625" style="22" customWidth="1"/>
    <col min="7186" max="7186" width="1" style="22" customWidth="1"/>
    <col min="7187" max="7187" width="12.6640625" style="22" customWidth="1"/>
    <col min="7188" max="7188" width="1.33203125" style="22" customWidth="1"/>
    <col min="7189" max="7189" width="11.44140625" style="22" customWidth="1"/>
    <col min="7190" max="7190" width="1" style="22" customWidth="1"/>
    <col min="7191" max="7191" width="10.44140625" style="22" customWidth="1"/>
    <col min="7192" max="7192" width="0.88671875" style="22" customWidth="1"/>
    <col min="7193" max="7193" width="14" style="22" customWidth="1"/>
    <col min="7194" max="7194" width="0.88671875" style="22" customWidth="1"/>
    <col min="7195" max="7195" width="8.44140625" style="22" customWidth="1"/>
    <col min="7196" max="7196" width="1.6640625" style="22" customWidth="1"/>
    <col min="7197" max="7197" width="9.33203125" style="22" customWidth="1"/>
    <col min="7198" max="7198" width="16" style="22" customWidth="1"/>
    <col min="7199" max="7199" width="0.5546875" style="22" customWidth="1"/>
    <col min="7200" max="7200" width="9.44140625" style="22" bestFit="1" customWidth="1"/>
    <col min="7201" max="7201" width="1.109375" style="22" customWidth="1"/>
    <col min="7202" max="7433" width="9.109375" style="22"/>
    <col min="7434" max="7434" width="2.109375" style="22" customWidth="1"/>
    <col min="7435" max="7435" width="14" style="22" customWidth="1"/>
    <col min="7436" max="7436" width="0.6640625" style="22" customWidth="1"/>
    <col min="7437" max="7437" width="17.109375" style="22" customWidth="1"/>
    <col min="7438" max="7438" width="1.109375" style="22" customWidth="1"/>
    <col min="7439" max="7439" width="18.33203125" style="22" customWidth="1"/>
    <col min="7440" max="7440" width="1" style="22" customWidth="1"/>
    <col min="7441" max="7441" width="39.6640625" style="22" customWidth="1"/>
    <col min="7442" max="7442" width="1" style="22" customWidth="1"/>
    <col min="7443" max="7443" width="12.6640625" style="22" customWidth="1"/>
    <col min="7444" max="7444" width="1.33203125" style="22" customWidth="1"/>
    <col min="7445" max="7445" width="11.44140625" style="22" customWidth="1"/>
    <col min="7446" max="7446" width="1" style="22" customWidth="1"/>
    <col min="7447" max="7447" width="10.44140625" style="22" customWidth="1"/>
    <col min="7448" max="7448" width="0.88671875" style="22" customWidth="1"/>
    <col min="7449" max="7449" width="14" style="22" customWidth="1"/>
    <col min="7450" max="7450" width="0.88671875" style="22" customWidth="1"/>
    <col min="7451" max="7451" width="8.44140625" style="22" customWidth="1"/>
    <col min="7452" max="7452" width="1.6640625" style="22" customWidth="1"/>
    <col min="7453" max="7453" width="9.33203125" style="22" customWidth="1"/>
    <col min="7454" max="7454" width="16" style="22" customWidth="1"/>
    <col min="7455" max="7455" width="0.5546875" style="22" customWidth="1"/>
    <col min="7456" max="7456" width="9.44140625" style="22" bestFit="1" customWidth="1"/>
    <col min="7457" max="7457" width="1.109375" style="22" customWidth="1"/>
    <col min="7458" max="7689" width="9.109375" style="22"/>
    <col min="7690" max="7690" width="2.109375" style="22" customWidth="1"/>
    <col min="7691" max="7691" width="14" style="22" customWidth="1"/>
    <col min="7692" max="7692" width="0.6640625" style="22" customWidth="1"/>
    <col min="7693" max="7693" width="17.109375" style="22" customWidth="1"/>
    <col min="7694" max="7694" width="1.109375" style="22" customWidth="1"/>
    <col min="7695" max="7695" width="18.33203125" style="22" customWidth="1"/>
    <col min="7696" max="7696" width="1" style="22" customWidth="1"/>
    <col min="7697" max="7697" width="39.6640625" style="22" customWidth="1"/>
    <col min="7698" max="7698" width="1" style="22" customWidth="1"/>
    <col min="7699" max="7699" width="12.6640625" style="22" customWidth="1"/>
    <col min="7700" max="7700" width="1.33203125" style="22" customWidth="1"/>
    <col min="7701" max="7701" width="11.44140625" style="22" customWidth="1"/>
    <col min="7702" max="7702" width="1" style="22" customWidth="1"/>
    <col min="7703" max="7703" width="10.44140625" style="22" customWidth="1"/>
    <col min="7704" max="7704" width="0.88671875" style="22" customWidth="1"/>
    <col min="7705" max="7705" width="14" style="22" customWidth="1"/>
    <col min="7706" max="7706" width="0.88671875" style="22" customWidth="1"/>
    <col min="7707" max="7707" width="8.44140625" style="22" customWidth="1"/>
    <col min="7708" max="7708" width="1.6640625" style="22" customWidth="1"/>
    <col min="7709" max="7709" width="9.33203125" style="22" customWidth="1"/>
    <col min="7710" max="7710" width="16" style="22" customWidth="1"/>
    <col min="7711" max="7711" width="0.5546875" style="22" customWidth="1"/>
    <col min="7712" max="7712" width="9.44140625" style="22" bestFit="1" customWidth="1"/>
    <col min="7713" max="7713" width="1.109375" style="22" customWidth="1"/>
    <col min="7714" max="7945" width="9.109375" style="22"/>
    <col min="7946" max="7946" width="2.109375" style="22" customWidth="1"/>
    <col min="7947" max="7947" width="14" style="22" customWidth="1"/>
    <col min="7948" max="7948" width="0.6640625" style="22" customWidth="1"/>
    <col min="7949" max="7949" width="17.109375" style="22" customWidth="1"/>
    <col min="7950" max="7950" width="1.109375" style="22" customWidth="1"/>
    <col min="7951" max="7951" width="18.33203125" style="22" customWidth="1"/>
    <col min="7952" max="7952" width="1" style="22" customWidth="1"/>
    <col min="7953" max="7953" width="39.6640625" style="22" customWidth="1"/>
    <col min="7954" max="7954" width="1" style="22" customWidth="1"/>
    <col min="7955" max="7955" width="12.6640625" style="22" customWidth="1"/>
    <col min="7956" max="7956" width="1.33203125" style="22" customWidth="1"/>
    <col min="7957" max="7957" width="11.44140625" style="22" customWidth="1"/>
    <col min="7958" max="7958" width="1" style="22" customWidth="1"/>
    <col min="7959" max="7959" width="10.44140625" style="22" customWidth="1"/>
    <col min="7960" max="7960" width="0.88671875" style="22" customWidth="1"/>
    <col min="7961" max="7961" width="14" style="22" customWidth="1"/>
    <col min="7962" max="7962" width="0.88671875" style="22" customWidth="1"/>
    <col min="7963" max="7963" width="8.44140625" style="22" customWidth="1"/>
    <col min="7964" max="7964" width="1.6640625" style="22" customWidth="1"/>
    <col min="7965" max="7965" width="9.33203125" style="22" customWidth="1"/>
    <col min="7966" max="7966" width="16" style="22" customWidth="1"/>
    <col min="7967" max="7967" width="0.5546875" style="22" customWidth="1"/>
    <col min="7968" max="7968" width="9.44140625" style="22" bestFit="1" customWidth="1"/>
    <col min="7969" max="7969" width="1.109375" style="22" customWidth="1"/>
    <col min="7970" max="8201" width="9.109375" style="22"/>
    <col min="8202" max="8202" width="2.109375" style="22" customWidth="1"/>
    <col min="8203" max="8203" width="14" style="22" customWidth="1"/>
    <col min="8204" max="8204" width="0.6640625" style="22" customWidth="1"/>
    <col min="8205" max="8205" width="17.109375" style="22" customWidth="1"/>
    <col min="8206" max="8206" width="1.109375" style="22" customWidth="1"/>
    <col min="8207" max="8207" width="18.33203125" style="22" customWidth="1"/>
    <col min="8208" max="8208" width="1" style="22" customWidth="1"/>
    <col min="8209" max="8209" width="39.6640625" style="22" customWidth="1"/>
    <col min="8210" max="8210" width="1" style="22" customWidth="1"/>
    <col min="8211" max="8211" width="12.6640625" style="22" customWidth="1"/>
    <col min="8212" max="8212" width="1.33203125" style="22" customWidth="1"/>
    <col min="8213" max="8213" width="11.44140625" style="22" customWidth="1"/>
    <col min="8214" max="8214" width="1" style="22" customWidth="1"/>
    <col min="8215" max="8215" width="10.44140625" style="22" customWidth="1"/>
    <col min="8216" max="8216" width="0.88671875" style="22" customWidth="1"/>
    <col min="8217" max="8217" width="14" style="22" customWidth="1"/>
    <col min="8218" max="8218" width="0.88671875" style="22" customWidth="1"/>
    <col min="8219" max="8219" width="8.44140625" style="22" customWidth="1"/>
    <col min="8220" max="8220" width="1.6640625" style="22" customWidth="1"/>
    <col min="8221" max="8221" width="9.33203125" style="22" customWidth="1"/>
    <col min="8222" max="8222" width="16" style="22" customWidth="1"/>
    <col min="8223" max="8223" width="0.5546875" style="22" customWidth="1"/>
    <col min="8224" max="8224" width="9.44140625" style="22" bestFit="1" customWidth="1"/>
    <col min="8225" max="8225" width="1.109375" style="22" customWidth="1"/>
    <col min="8226" max="8457" width="9.109375" style="22"/>
    <col min="8458" max="8458" width="2.109375" style="22" customWidth="1"/>
    <col min="8459" max="8459" width="14" style="22" customWidth="1"/>
    <col min="8460" max="8460" width="0.6640625" style="22" customWidth="1"/>
    <col min="8461" max="8461" width="17.109375" style="22" customWidth="1"/>
    <col min="8462" max="8462" width="1.109375" style="22" customWidth="1"/>
    <col min="8463" max="8463" width="18.33203125" style="22" customWidth="1"/>
    <col min="8464" max="8464" width="1" style="22" customWidth="1"/>
    <col min="8465" max="8465" width="39.6640625" style="22" customWidth="1"/>
    <col min="8466" max="8466" width="1" style="22" customWidth="1"/>
    <col min="8467" max="8467" width="12.6640625" style="22" customWidth="1"/>
    <col min="8468" max="8468" width="1.33203125" style="22" customWidth="1"/>
    <col min="8469" max="8469" width="11.44140625" style="22" customWidth="1"/>
    <col min="8470" max="8470" width="1" style="22" customWidth="1"/>
    <col min="8471" max="8471" width="10.44140625" style="22" customWidth="1"/>
    <col min="8472" max="8472" width="0.88671875" style="22" customWidth="1"/>
    <col min="8473" max="8473" width="14" style="22" customWidth="1"/>
    <col min="8474" max="8474" width="0.88671875" style="22" customWidth="1"/>
    <col min="8475" max="8475" width="8.44140625" style="22" customWidth="1"/>
    <col min="8476" max="8476" width="1.6640625" style="22" customWidth="1"/>
    <col min="8477" max="8477" width="9.33203125" style="22" customWidth="1"/>
    <col min="8478" max="8478" width="16" style="22" customWidth="1"/>
    <col min="8479" max="8479" width="0.5546875" style="22" customWidth="1"/>
    <col min="8480" max="8480" width="9.44140625" style="22" bestFit="1" customWidth="1"/>
    <col min="8481" max="8481" width="1.109375" style="22" customWidth="1"/>
    <col min="8482" max="8713" width="9.109375" style="22"/>
    <col min="8714" max="8714" width="2.109375" style="22" customWidth="1"/>
    <col min="8715" max="8715" width="14" style="22" customWidth="1"/>
    <col min="8716" max="8716" width="0.6640625" style="22" customWidth="1"/>
    <col min="8717" max="8717" width="17.109375" style="22" customWidth="1"/>
    <col min="8718" max="8718" width="1.109375" style="22" customWidth="1"/>
    <col min="8719" max="8719" width="18.33203125" style="22" customWidth="1"/>
    <col min="8720" max="8720" width="1" style="22" customWidth="1"/>
    <col min="8721" max="8721" width="39.6640625" style="22" customWidth="1"/>
    <col min="8722" max="8722" width="1" style="22" customWidth="1"/>
    <col min="8723" max="8723" width="12.6640625" style="22" customWidth="1"/>
    <col min="8724" max="8724" width="1.33203125" style="22" customWidth="1"/>
    <col min="8725" max="8725" width="11.44140625" style="22" customWidth="1"/>
    <col min="8726" max="8726" width="1" style="22" customWidth="1"/>
    <col min="8727" max="8727" width="10.44140625" style="22" customWidth="1"/>
    <col min="8728" max="8728" width="0.88671875" style="22" customWidth="1"/>
    <col min="8729" max="8729" width="14" style="22" customWidth="1"/>
    <col min="8730" max="8730" width="0.88671875" style="22" customWidth="1"/>
    <col min="8731" max="8731" width="8.44140625" style="22" customWidth="1"/>
    <col min="8732" max="8732" width="1.6640625" style="22" customWidth="1"/>
    <col min="8733" max="8733" width="9.33203125" style="22" customWidth="1"/>
    <col min="8734" max="8734" width="16" style="22" customWidth="1"/>
    <col min="8735" max="8735" width="0.5546875" style="22" customWidth="1"/>
    <col min="8736" max="8736" width="9.44140625" style="22" bestFit="1" customWidth="1"/>
    <col min="8737" max="8737" width="1.109375" style="22" customWidth="1"/>
    <col min="8738" max="8969" width="9.109375" style="22"/>
    <col min="8970" max="8970" width="2.109375" style="22" customWidth="1"/>
    <col min="8971" max="8971" width="14" style="22" customWidth="1"/>
    <col min="8972" max="8972" width="0.6640625" style="22" customWidth="1"/>
    <col min="8973" max="8973" width="17.109375" style="22" customWidth="1"/>
    <col min="8974" max="8974" width="1.109375" style="22" customWidth="1"/>
    <col min="8975" max="8975" width="18.33203125" style="22" customWidth="1"/>
    <col min="8976" max="8976" width="1" style="22" customWidth="1"/>
    <col min="8977" max="8977" width="39.6640625" style="22" customWidth="1"/>
    <col min="8978" max="8978" width="1" style="22" customWidth="1"/>
    <col min="8979" max="8979" width="12.6640625" style="22" customWidth="1"/>
    <col min="8980" max="8980" width="1.33203125" style="22" customWidth="1"/>
    <col min="8981" max="8981" width="11.44140625" style="22" customWidth="1"/>
    <col min="8982" max="8982" width="1" style="22" customWidth="1"/>
    <col min="8983" max="8983" width="10.44140625" style="22" customWidth="1"/>
    <col min="8984" max="8984" width="0.88671875" style="22" customWidth="1"/>
    <col min="8985" max="8985" width="14" style="22" customWidth="1"/>
    <col min="8986" max="8986" width="0.88671875" style="22" customWidth="1"/>
    <col min="8987" max="8987" width="8.44140625" style="22" customWidth="1"/>
    <col min="8988" max="8988" width="1.6640625" style="22" customWidth="1"/>
    <col min="8989" max="8989" width="9.33203125" style="22" customWidth="1"/>
    <col min="8990" max="8990" width="16" style="22" customWidth="1"/>
    <col min="8991" max="8991" width="0.5546875" style="22" customWidth="1"/>
    <col min="8992" max="8992" width="9.44140625" style="22" bestFit="1" customWidth="1"/>
    <col min="8993" max="8993" width="1.109375" style="22" customWidth="1"/>
    <col min="8994" max="9225" width="9.109375" style="22"/>
    <col min="9226" max="9226" width="2.109375" style="22" customWidth="1"/>
    <col min="9227" max="9227" width="14" style="22" customWidth="1"/>
    <col min="9228" max="9228" width="0.6640625" style="22" customWidth="1"/>
    <col min="9229" max="9229" width="17.109375" style="22" customWidth="1"/>
    <col min="9230" max="9230" width="1.109375" style="22" customWidth="1"/>
    <col min="9231" max="9231" width="18.33203125" style="22" customWidth="1"/>
    <col min="9232" max="9232" width="1" style="22" customWidth="1"/>
    <col min="9233" max="9233" width="39.6640625" style="22" customWidth="1"/>
    <col min="9234" max="9234" width="1" style="22" customWidth="1"/>
    <col min="9235" max="9235" width="12.6640625" style="22" customWidth="1"/>
    <col min="9236" max="9236" width="1.33203125" style="22" customWidth="1"/>
    <col min="9237" max="9237" width="11.44140625" style="22" customWidth="1"/>
    <col min="9238" max="9238" width="1" style="22" customWidth="1"/>
    <col min="9239" max="9239" width="10.44140625" style="22" customWidth="1"/>
    <col min="9240" max="9240" width="0.88671875" style="22" customWidth="1"/>
    <col min="9241" max="9241" width="14" style="22" customWidth="1"/>
    <col min="9242" max="9242" width="0.88671875" style="22" customWidth="1"/>
    <col min="9243" max="9243" width="8.44140625" style="22" customWidth="1"/>
    <col min="9244" max="9244" width="1.6640625" style="22" customWidth="1"/>
    <col min="9245" max="9245" width="9.33203125" style="22" customWidth="1"/>
    <col min="9246" max="9246" width="16" style="22" customWidth="1"/>
    <col min="9247" max="9247" width="0.5546875" style="22" customWidth="1"/>
    <col min="9248" max="9248" width="9.44140625" style="22" bestFit="1" customWidth="1"/>
    <col min="9249" max="9249" width="1.109375" style="22" customWidth="1"/>
    <col min="9250" max="9481" width="9.109375" style="22"/>
    <col min="9482" max="9482" width="2.109375" style="22" customWidth="1"/>
    <col min="9483" max="9483" width="14" style="22" customWidth="1"/>
    <col min="9484" max="9484" width="0.6640625" style="22" customWidth="1"/>
    <col min="9485" max="9485" width="17.109375" style="22" customWidth="1"/>
    <col min="9486" max="9486" width="1.109375" style="22" customWidth="1"/>
    <col min="9487" max="9487" width="18.33203125" style="22" customWidth="1"/>
    <col min="9488" max="9488" width="1" style="22" customWidth="1"/>
    <col min="9489" max="9489" width="39.6640625" style="22" customWidth="1"/>
    <col min="9490" max="9490" width="1" style="22" customWidth="1"/>
    <col min="9491" max="9491" width="12.6640625" style="22" customWidth="1"/>
    <col min="9492" max="9492" width="1.33203125" style="22" customWidth="1"/>
    <col min="9493" max="9493" width="11.44140625" style="22" customWidth="1"/>
    <col min="9494" max="9494" width="1" style="22" customWidth="1"/>
    <col min="9495" max="9495" width="10.44140625" style="22" customWidth="1"/>
    <col min="9496" max="9496" width="0.88671875" style="22" customWidth="1"/>
    <col min="9497" max="9497" width="14" style="22" customWidth="1"/>
    <col min="9498" max="9498" width="0.88671875" style="22" customWidth="1"/>
    <col min="9499" max="9499" width="8.44140625" style="22" customWidth="1"/>
    <col min="9500" max="9500" width="1.6640625" style="22" customWidth="1"/>
    <col min="9501" max="9501" width="9.33203125" style="22" customWidth="1"/>
    <col min="9502" max="9502" width="16" style="22" customWidth="1"/>
    <col min="9503" max="9503" width="0.5546875" style="22" customWidth="1"/>
    <col min="9504" max="9504" width="9.44140625" style="22" bestFit="1" customWidth="1"/>
    <col min="9505" max="9505" width="1.109375" style="22" customWidth="1"/>
    <col min="9506" max="9737" width="9.109375" style="22"/>
    <col min="9738" max="9738" width="2.109375" style="22" customWidth="1"/>
    <col min="9739" max="9739" width="14" style="22" customWidth="1"/>
    <col min="9740" max="9740" width="0.6640625" style="22" customWidth="1"/>
    <col min="9741" max="9741" width="17.109375" style="22" customWidth="1"/>
    <col min="9742" max="9742" width="1.109375" style="22" customWidth="1"/>
    <col min="9743" max="9743" width="18.33203125" style="22" customWidth="1"/>
    <col min="9744" max="9744" width="1" style="22" customWidth="1"/>
    <col min="9745" max="9745" width="39.6640625" style="22" customWidth="1"/>
    <col min="9746" max="9746" width="1" style="22" customWidth="1"/>
    <col min="9747" max="9747" width="12.6640625" style="22" customWidth="1"/>
    <col min="9748" max="9748" width="1.33203125" style="22" customWidth="1"/>
    <col min="9749" max="9749" width="11.44140625" style="22" customWidth="1"/>
    <col min="9750" max="9750" width="1" style="22" customWidth="1"/>
    <col min="9751" max="9751" width="10.44140625" style="22" customWidth="1"/>
    <col min="9752" max="9752" width="0.88671875" style="22" customWidth="1"/>
    <col min="9753" max="9753" width="14" style="22" customWidth="1"/>
    <col min="9754" max="9754" width="0.88671875" style="22" customWidth="1"/>
    <col min="9755" max="9755" width="8.44140625" style="22" customWidth="1"/>
    <col min="9756" max="9756" width="1.6640625" style="22" customWidth="1"/>
    <col min="9757" max="9757" width="9.33203125" style="22" customWidth="1"/>
    <col min="9758" max="9758" width="16" style="22" customWidth="1"/>
    <col min="9759" max="9759" width="0.5546875" style="22" customWidth="1"/>
    <col min="9760" max="9760" width="9.44140625" style="22" bestFit="1" customWidth="1"/>
    <col min="9761" max="9761" width="1.109375" style="22" customWidth="1"/>
    <col min="9762" max="9993" width="9.109375" style="22"/>
    <col min="9994" max="9994" width="2.109375" style="22" customWidth="1"/>
    <col min="9995" max="9995" width="14" style="22" customWidth="1"/>
    <col min="9996" max="9996" width="0.6640625" style="22" customWidth="1"/>
    <col min="9997" max="9997" width="17.109375" style="22" customWidth="1"/>
    <col min="9998" max="9998" width="1.109375" style="22" customWidth="1"/>
    <col min="9999" max="9999" width="18.33203125" style="22" customWidth="1"/>
    <col min="10000" max="10000" width="1" style="22" customWidth="1"/>
    <col min="10001" max="10001" width="39.6640625" style="22" customWidth="1"/>
    <col min="10002" max="10002" width="1" style="22" customWidth="1"/>
    <col min="10003" max="10003" width="12.6640625" style="22" customWidth="1"/>
    <col min="10004" max="10004" width="1.33203125" style="22" customWidth="1"/>
    <col min="10005" max="10005" width="11.44140625" style="22" customWidth="1"/>
    <col min="10006" max="10006" width="1" style="22" customWidth="1"/>
    <col min="10007" max="10007" width="10.44140625" style="22" customWidth="1"/>
    <col min="10008" max="10008" width="0.88671875" style="22" customWidth="1"/>
    <col min="10009" max="10009" width="14" style="22" customWidth="1"/>
    <col min="10010" max="10010" width="0.88671875" style="22" customWidth="1"/>
    <col min="10011" max="10011" width="8.44140625" style="22" customWidth="1"/>
    <col min="10012" max="10012" width="1.6640625" style="22" customWidth="1"/>
    <col min="10013" max="10013" width="9.33203125" style="22" customWidth="1"/>
    <col min="10014" max="10014" width="16" style="22" customWidth="1"/>
    <col min="10015" max="10015" width="0.5546875" style="22" customWidth="1"/>
    <col min="10016" max="10016" width="9.44140625" style="22" bestFit="1" customWidth="1"/>
    <col min="10017" max="10017" width="1.109375" style="22" customWidth="1"/>
    <col min="10018" max="10249" width="9.109375" style="22"/>
    <col min="10250" max="10250" width="2.109375" style="22" customWidth="1"/>
    <col min="10251" max="10251" width="14" style="22" customWidth="1"/>
    <col min="10252" max="10252" width="0.6640625" style="22" customWidth="1"/>
    <col min="10253" max="10253" width="17.109375" style="22" customWidth="1"/>
    <col min="10254" max="10254" width="1.109375" style="22" customWidth="1"/>
    <col min="10255" max="10255" width="18.33203125" style="22" customWidth="1"/>
    <col min="10256" max="10256" width="1" style="22" customWidth="1"/>
    <col min="10257" max="10257" width="39.6640625" style="22" customWidth="1"/>
    <col min="10258" max="10258" width="1" style="22" customWidth="1"/>
    <col min="10259" max="10259" width="12.6640625" style="22" customWidth="1"/>
    <col min="10260" max="10260" width="1.33203125" style="22" customWidth="1"/>
    <col min="10261" max="10261" width="11.44140625" style="22" customWidth="1"/>
    <col min="10262" max="10262" width="1" style="22" customWidth="1"/>
    <col min="10263" max="10263" width="10.44140625" style="22" customWidth="1"/>
    <col min="10264" max="10264" width="0.88671875" style="22" customWidth="1"/>
    <col min="10265" max="10265" width="14" style="22" customWidth="1"/>
    <col min="10266" max="10266" width="0.88671875" style="22" customWidth="1"/>
    <col min="10267" max="10267" width="8.44140625" style="22" customWidth="1"/>
    <col min="10268" max="10268" width="1.6640625" style="22" customWidth="1"/>
    <col min="10269" max="10269" width="9.33203125" style="22" customWidth="1"/>
    <col min="10270" max="10270" width="16" style="22" customWidth="1"/>
    <col min="10271" max="10271" width="0.5546875" style="22" customWidth="1"/>
    <col min="10272" max="10272" width="9.44140625" style="22" bestFit="1" customWidth="1"/>
    <col min="10273" max="10273" width="1.109375" style="22" customWidth="1"/>
    <col min="10274" max="10505" width="9.109375" style="22"/>
    <col min="10506" max="10506" width="2.109375" style="22" customWidth="1"/>
    <col min="10507" max="10507" width="14" style="22" customWidth="1"/>
    <col min="10508" max="10508" width="0.6640625" style="22" customWidth="1"/>
    <col min="10509" max="10509" width="17.109375" style="22" customWidth="1"/>
    <col min="10510" max="10510" width="1.109375" style="22" customWidth="1"/>
    <col min="10511" max="10511" width="18.33203125" style="22" customWidth="1"/>
    <col min="10512" max="10512" width="1" style="22" customWidth="1"/>
    <col min="10513" max="10513" width="39.6640625" style="22" customWidth="1"/>
    <col min="10514" max="10514" width="1" style="22" customWidth="1"/>
    <col min="10515" max="10515" width="12.6640625" style="22" customWidth="1"/>
    <col min="10516" max="10516" width="1.33203125" style="22" customWidth="1"/>
    <col min="10517" max="10517" width="11.44140625" style="22" customWidth="1"/>
    <col min="10518" max="10518" width="1" style="22" customWidth="1"/>
    <col min="10519" max="10519" width="10.44140625" style="22" customWidth="1"/>
    <col min="10520" max="10520" width="0.88671875" style="22" customWidth="1"/>
    <col min="10521" max="10521" width="14" style="22" customWidth="1"/>
    <col min="10522" max="10522" width="0.88671875" style="22" customWidth="1"/>
    <col min="10523" max="10523" width="8.44140625" style="22" customWidth="1"/>
    <col min="10524" max="10524" width="1.6640625" style="22" customWidth="1"/>
    <col min="10525" max="10525" width="9.33203125" style="22" customWidth="1"/>
    <col min="10526" max="10526" width="16" style="22" customWidth="1"/>
    <col min="10527" max="10527" width="0.5546875" style="22" customWidth="1"/>
    <col min="10528" max="10528" width="9.44140625" style="22" bestFit="1" customWidth="1"/>
    <col min="10529" max="10529" width="1.109375" style="22" customWidth="1"/>
    <col min="10530" max="10761" width="9.109375" style="22"/>
    <col min="10762" max="10762" width="2.109375" style="22" customWidth="1"/>
    <col min="10763" max="10763" width="14" style="22" customWidth="1"/>
    <col min="10764" max="10764" width="0.6640625" style="22" customWidth="1"/>
    <col min="10765" max="10765" width="17.109375" style="22" customWidth="1"/>
    <col min="10766" max="10766" width="1.109375" style="22" customWidth="1"/>
    <col min="10767" max="10767" width="18.33203125" style="22" customWidth="1"/>
    <col min="10768" max="10768" width="1" style="22" customWidth="1"/>
    <col min="10769" max="10769" width="39.6640625" style="22" customWidth="1"/>
    <col min="10770" max="10770" width="1" style="22" customWidth="1"/>
    <col min="10771" max="10771" width="12.6640625" style="22" customWidth="1"/>
    <col min="10772" max="10772" width="1.33203125" style="22" customWidth="1"/>
    <col min="10773" max="10773" width="11.44140625" style="22" customWidth="1"/>
    <col min="10774" max="10774" width="1" style="22" customWidth="1"/>
    <col min="10775" max="10775" width="10.44140625" style="22" customWidth="1"/>
    <col min="10776" max="10776" width="0.88671875" style="22" customWidth="1"/>
    <col min="10777" max="10777" width="14" style="22" customWidth="1"/>
    <col min="10778" max="10778" width="0.88671875" style="22" customWidth="1"/>
    <col min="10779" max="10779" width="8.44140625" style="22" customWidth="1"/>
    <col min="10780" max="10780" width="1.6640625" style="22" customWidth="1"/>
    <col min="10781" max="10781" width="9.33203125" style="22" customWidth="1"/>
    <col min="10782" max="10782" width="16" style="22" customWidth="1"/>
    <col min="10783" max="10783" width="0.5546875" style="22" customWidth="1"/>
    <col min="10784" max="10784" width="9.44140625" style="22" bestFit="1" customWidth="1"/>
    <col min="10785" max="10785" width="1.109375" style="22" customWidth="1"/>
    <col min="10786" max="11017" width="9.109375" style="22"/>
    <col min="11018" max="11018" width="2.109375" style="22" customWidth="1"/>
    <col min="11019" max="11019" width="14" style="22" customWidth="1"/>
    <col min="11020" max="11020" width="0.6640625" style="22" customWidth="1"/>
    <col min="11021" max="11021" width="17.109375" style="22" customWidth="1"/>
    <col min="11022" max="11022" width="1.109375" style="22" customWidth="1"/>
    <col min="11023" max="11023" width="18.33203125" style="22" customWidth="1"/>
    <col min="11024" max="11024" width="1" style="22" customWidth="1"/>
    <col min="11025" max="11025" width="39.6640625" style="22" customWidth="1"/>
    <col min="11026" max="11026" width="1" style="22" customWidth="1"/>
    <col min="11027" max="11027" width="12.6640625" style="22" customWidth="1"/>
    <col min="11028" max="11028" width="1.33203125" style="22" customWidth="1"/>
    <col min="11029" max="11029" width="11.44140625" style="22" customWidth="1"/>
    <col min="11030" max="11030" width="1" style="22" customWidth="1"/>
    <col min="11031" max="11031" width="10.44140625" style="22" customWidth="1"/>
    <col min="11032" max="11032" width="0.88671875" style="22" customWidth="1"/>
    <col min="11033" max="11033" width="14" style="22" customWidth="1"/>
    <col min="11034" max="11034" width="0.88671875" style="22" customWidth="1"/>
    <col min="11035" max="11035" width="8.44140625" style="22" customWidth="1"/>
    <col min="11036" max="11036" width="1.6640625" style="22" customWidth="1"/>
    <col min="11037" max="11037" width="9.33203125" style="22" customWidth="1"/>
    <col min="11038" max="11038" width="16" style="22" customWidth="1"/>
    <col min="11039" max="11039" width="0.5546875" style="22" customWidth="1"/>
    <col min="11040" max="11040" width="9.44140625" style="22" bestFit="1" customWidth="1"/>
    <col min="11041" max="11041" width="1.109375" style="22" customWidth="1"/>
    <col min="11042" max="11273" width="9.109375" style="22"/>
    <col min="11274" max="11274" width="2.109375" style="22" customWidth="1"/>
    <col min="11275" max="11275" width="14" style="22" customWidth="1"/>
    <col min="11276" max="11276" width="0.6640625" style="22" customWidth="1"/>
    <col min="11277" max="11277" width="17.109375" style="22" customWidth="1"/>
    <col min="11278" max="11278" width="1.109375" style="22" customWidth="1"/>
    <col min="11279" max="11279" width="18.33203125" style="22" customWidth="1"/>
    <col min="11280" max="11280" width="1" style="22" customWidth="1"/>
    <col min="11281" max="11281" width="39.6640625" style="22" customWidth="1"/>
    <col min="11282" max="11282" width="1" style="22" customWidth="1"/>
    <col min="11283" max="11283" width="12.6640625" style="22" customWidth="1"/>
    <col min="11284" max="11284" width="1.33203125" style="22" customWidth="1"/>
    <col min="11285" max="11285" width="11.44140625" style="22" customWidth="1"/>
    <col min="11286" max="11286" width="1" style="22" customWidth="1"/>
    <col min="11287" max="11287" width="10.44140625" style="22" customWidth="1"/>
    <col min="11288" max="11288" width="0.88671875" style="22" customWidth="1"/>
    <col min="11289" max="11289" width="14" style="22" customWidth="1"/>
    <col min="11290" max="11290" width="0.88671875" style="22" customWidth="1"/>
    <col min="11291" max="11291" width="8.44140625" style="22" customWidth="1"/>
    <col min="11292" max="11292" width="1.6640625" style="22" customWidth="1"/>
    <col min="11293" max="11293" width="9.33203125" style="22" customWidth="1"/>
    <col min="11294" max="11294" width="16" style="22" customWidth="1"/>
    <col min="11295" max="11295" width="0.5546875" style="22" customWidth="1"/>
    <col min="11296" max="11296" width="9.44140625" style="22" bestFit="1" customWidth="1"/>
    <col min="11297" max="11297" width="1.109375" style="22" customWidth="1"/>
    <col min="11298" max="11529" width="9.109375" style="22"/>
    <col min="11530" max="11530" width="2.109375" style="22" customWidth="1"/>
    <col min="11531" max="11531" width="14" style="22" customWidth="1"/>
    <col min="11532" max="11532" width="0.6640625" style="22" customWidth="1"/>
    <col min="11533" max="11533" width="17.109375" style="22" customWidth="1"/>
    <col min="11534" max="11534" width="1.109375" style="22" customWidth="1"/>
    <col min="11535" max="11535" width="18.33203125" style="22" customWidth="1"/>
    <col min="11536" max="11536" width="1" style="22" customWidth="1"/>
    <col min="11537" max="11537" width="39.6640625" style="22" customWidth="1"/>
    <col min="11538" max="11538" width="1" style="22" customWidth="1"/>
    <col min="11539" max="11539" width="12.6640625" style="22" customWidth="1"/>
    <col min="11540" max="11540" width="1.33203125" style="22" customWidth="1"/>
    <col min="11541" max="11541" width="11.44140625" style="22" customWidth="1"/>
    <col min="11542" max="11542" width="1" style="22" customWidth="1"/>
    <col min="11543" max="11543" width="10.44140625" style="22" customWidth="1"/>
    <col min="11544" max="11544" width="0.88671875" style="22" customWidth="1"/>
    <col min="11545" max="11545" width="14" style="22" customWidth="1"/>
    <col min="11546" max="11546" width="0.88671875" style="22" customWidth="1"/>
    <col min="11547" max="11547" width="8.44140625" style="22" customWidth="1"/>
    <col min="11548" max="11548" width="1.6640625" style="22" customWidth="1"/>
    <col min="11549" max="11549" width="9.33203125" style="22" customWidth="1"/>
    <col min="11550" max="11550" width="16" style="22" customWidth="1"/>
    <col min="11551" max="11551" width="0.5546875" style="22" customWidth="1"/>
    <col min="11552" max="11552" width="9.44140625" style="22" bestFit="1" customWidth="1"/>
    <col min="11553" max="11553" width="1.109375" style="22" customWidth="1"/>
    <col min="11554" max="11785" width="9.109375" style="22"/>
    <col min="11786" max="11786" width="2.109375" style="22" customWidth="1"/>
    <col min="11787" max="11787" width="14" style="22" customWidth="1"/>
    <col min="11788" max="11788" width="0.6640625" style="22" customWidth="1"/>
    <col min="11789" max="11789" width="17.109375" style="22" customWidth="1"/>
    <col min="11790" max="11790" width="1.109375" style="22" customWidth="1"/>
    <col min="11791" max="11791" width="18.33203125" style="22" customWidth="1"/>
    <col min="11792" max="11792" width="1" style="22" customWidth="1"/>
    <col min="11793" max="11793" width="39.6640625" style="22" customWidth="1"/>
    <col min="11794" max="11794" width="1" style="22" customWidth="1"/>
    <col min="11795" max="11795" width="12.6640625" style="22" customWidth="1"/>
    <col min="11796" max="11796" width="1.33203125" style="22" customWidth="1"/>
    <col min="11797" max="11797" width="11.44140625" style="22" customWidth="1"/>
    <col min="11798" max="11798" width="1" style="22" customWidth="1"/>
    <col min="11799" max="11799" width="10.44140625" style="22" customWidth="1"/>
    <col min="11800" max="11800" width="0.88671875" style="22" customWidth="1"/>
    <col min="11801" max="11801" width="14" style="22" customWidth="1"/>
    <col min="11802" max="11802" width="0.88671875" style="22" customWidth="1"/>
    <col min="11803" max="11803" width="8.44140625" style="22" customWidth="1"/>
    <col min="11804" max="11804" width="1.6640625" style="22" customWidth="1"/>
    <col min="11805" max="11805" width="9.33203125" style="22" customWidth="1"/>
    <col min="11806" max="11806" width="16" style="22" customWidth="1"/>
    <col min="11807" max="11807" width="0.5546875" style="22" customWidth="1"/>
    <col min="11808" max="11808" width="9.44140625" style="22" bestFit="1" customWidth="1"/>
    <col min="11809" max="11809" width="1.109375" style="22" customWidth="1"/>
    <col min="11810" max="12041" width="9.109375" style="22"/>
    <col min="12042" max="12042" width="2.109375" style="22" customWidth="1"/>
    <col min="12043" max="12043" width="14" style="22" customWidth="1"/>
    <col min="12044" max="12044" width="0.6640625" style="22" customWidth="1"/>
    <col min="12045" max="12045" width="17.109375" style="22" customWidth="1"/>
    <col min="12046" max="12046" width="1.109375" style="22" customWidth="1"/>
    <col min="12047" max="12047" width="18.33203125" style="22" customWidth="1"/>
    <col min="12048" max="12048" width="1" style="22" customWidth="1"/>
    <col min="12049" max="12049" width="39.6640625" style="22" customWidth="1"/>
    <col min="12050" max="12050" width="1" style="22" customWidth="1"/>
    <col min="12051" max="12051" width="12.6640625" style="22" customWidth="1"/>
    <col min="12052" max="12052" width="1.33203125" style="22" customWidth="1"/>
    <col min="12053" max="12053" width="11.44140625" style="22" customWidth="1"/>
    <col min="12054" max="12054" width="1" style="22" customWidth="1"/>
    <col min="12055" max="12055" width="10.44140625" style="22" customWidth="1"/>
    <col min="12056" max="12056" width="0.88671875" style="22" customWidth="1"/>
    <col min="12057" max="12057" width="14" style="22" customWidth="1"/>
    <col min="12058" max="12058" width="0.88671875" style="22" customWidth="1"/>
    <col min="12059" max="12059" width="8.44140625" style="22" customWidth="1"/>
    <col min="12060" max="12060" width="1.6640625" style="22" customWidth="1"/>
    <col min="12061" max="12061" width="9.33203125" style="22" customWidth="1"/>
    <col min="12062" max="12062" width="16" style="22" customWidth="1"/>
    <col min="12063" max="12063" width="0.5546875" style="22" customWidth="1"/>
    <col min="12064" max="12064" width="9.44140625" style="22" bestFit="1" customWidth="1"/>
    <col min="12065" max="12065" width="1.109375" style="22" customWidth="1"/>
    <col min="12066" max="12297" width="9.109375" style="22"/>
    <col min="12298" max="12298" width="2.109375" style="22" customWidth="1"/>
    <col min="12299" max="12299" width="14" style="22" customWidth="1"/>
    <col min="12300" max="12300" width="0.6640625" style="22" customWidth="1"/>
    <col min="12301" max="12301" width="17.109375" style="22" customWidth="1"/>
    <col min="12302" max="12302" width="1.109375" style="22" customWidth="1"/>
    <col min="12303" max="12303" width="18.33203125" style="22" customWidth="1"/>
    <col min="12304" max="12304" width="1" style="22" customWidth="1"/>
    <col min="12305" max="12305" width="39.6640625" style="22" customWidth="1"/>
    <col min="12306" max="12306" width="1" style="22" customWidth="1"/>
    <col min="12307" max="12307" width="12.6640625" style="22" customWidth="1"/>
    <col min="12308" max="12308" width="1.33203125" style="22" customWidth="1"/>
    <col min="12309" max="12309" width="11.44140625" style="22" customWidth="1"/>
    <col min="12310" max="12310" width="1" style="22" customWidth="1"/>
    <col min="12311" max="12311" width="10.44140625" style="22" customWidth="1"/>
    <col min="12312" max="12312" width="0.88671875" style="22" customWidth="1"/>
    <col min="12313" max="12313" width="14" style="22" customWidth="1"/>
    <col min="12314" max="12314" width="0.88671875" style="22" customWidth="1"/>
    <col min="12315" max="12315" width="8.44140625" style="22" customWidth="1"/>
    <col min="12316" max="12316" width="1.6640625" style="22" customWidth="1"/>
    <col min="12317" max="12317" width="9.33203125" style="22" customWidth="1"/>
    <col min="12318" max="12318" width="16" style="22" customWidth="1"/>
    <col min="12319" max="12319" width="0.5546875" style="22" customWidth="1"/>
    <col min="12320" max="12320" width="9.44140625" style="22" bestFit="1" customWidth="1"/>
    <col min="12321" max="12321" width="1.109375" style="22" customWidth="1"/>
    <col min="12322" max="12553" width="9.109375" style="22"/>
    <col min="12554" max="12554" width="2.109375" style="22" customWidth="1"/>
    <col min="12555" max="12555" width="14" style="22" customWidth="1"/>
    <col min="12556" max="12556" width="0.6640625" style="22" customWidth="1"/>
    <col min="12557" max="12557" width="17.109375" style="22" customWidth="1"/>
    <col min="12558" max="12558" width="1.109375" style="22" customWidth="1"/>
    <col min="12559" max="12559" width="18.33203125" style="22" customWidth="1"/>
    <col min="12560" max="12560" width="1" style="22" customWidth="1"/>
    <col min="12561" max="12561" width="39.6640625" style="22" customWidth="1"/>
    <col min="12562" max="12562" width="1" style="22" customWidth="1"/>
    <col min="12563" max="12563" width="12.6640625" style="22" customWidth="1"/>
    <col min="12564" max="12564" width="1.33203125" style="22" customWidth="1"/>
    <col min="12565" max="12565" width="11.44140625" style="22" customWidth="1"/>
    <col min="12566" max="12566" width="1" style="22" customWidth="1"/>
    <col min="12567" max="12567" width="10.44140625" style="22" customWidth="1"/>
    <col min="12568" max="12568" width="0.88671875" style="22" customWidth="1"/>
    <col min="12569" max="12569" width="14" style="22" customWidth="1"/>
    <col min="12570" max="12570" width="0.88671875" style="22" customWidth="1"/>
    <col min="12571" max="12571" width="8.44140625" style="22" customWidth="1"/>
    <col min="12572" max="12572" width="1.6640625" style="22" customWidth="1"/>
    <col min="12573" max="12573" width="9.33203125" style="22" customWidth="1"/>
    <col min="12574" max="12574" width="16" style="22" customWidth="1"/>
    <col min="12575" max="12575" width="0.5546875" style="22" customWidth="1"/>
    <col min="12576" max="12576" width="9.44140625" style="22" bestFit="1" customWidth="1"/>
    <col min="12577" max="12577" width="1.109375" style="22" customWidth="1"/>
    <col min="12578" max="12809" width="9.109375" style="22"/>
    <col min="12810" max="12810" width="2.109375" style="22" customWidth="1"/>
    <col min="12811" max="12811" width="14" style="22" customWidth="1"/>
    <col min="12812" max="12812" width="0.6640625" style="22" customWidth="1"/>
    <col min="12813" max="12813" width="17.109375" style="22" customWidth="1"/>
    <col min="12814" max="12814" width="1.109375" style="22" customWidth="1"/>
    <col min="12815" max="12815" width="18.33203125" style="22" customWidth="1"/>
    <col min="12816" max="12816" width="1" style="22" customWidth="1"/>
    <col min="12817" max="12817" width="39.6640625" style="22" customWidth="1"/>
    <col min="12818" max="12818" width="1" style="22" customWidth="1"/>
    <col min="12819" max="12819" width="12.6640625" style="22" customWidth="1"/>
    <col min="12820" max="12820" width="1.33203125" style="22" customWidth="1"/>
    <col min="12821" max="12821" width="11.44140625" style="22" customWidth="1"/>
    <col min="12822" max="12822" width="1" style="22" customWidth="1"/>
    <col min="12823" max="12823" width="10.44140625" style="22" customWidth="1"/>
    <col min="12824" max="12824" width="0.88671875" style="22" customWidth="1"/>
    <col min="12825" max="12825" width="14" style="22" customWidth="1"/>
    <col min="12826" max="12826" width="0.88671875" style="22" customWidth="1"/>
    <col min="12827" max="12827" width="8.44140625" style="22" customWidth="1"/>
    <col min="12828" max="12828" width="1.6640625" style="22" customWidth="1"/>
    <col min="12829" max="12829" width="9.33203125" style="22" customWidth="1"/>
    <col min="12830" max="12830" width="16" style="22" customWidth="1"/>
    <col min="12831" max="12831" width="0.5546875" style="22" customWidth="1"/>
    <col min="12832" max="12832" width="9.44140625" style="22" bestFit="1" customWidth="1"/>
    <col min="12833" max="12833" width="1.109375" style="22" customWidth="1"/>
    <col min="12834" max="13065" width="9.109375" style="22"/>
    <col min="13066" max="13066" width="2.109375" style="22" customWidth="1"/>
    <col min="13067" max="13067" width="14" style="22" customWidth="1"/>
    <col min="13068" max="13068" width="0.6640625" style="22" customWidth="1"/>
    <col min="13069" max="13069" width="17.109375" style="22" customWidth="1"/>
    <col min="13070" max="13070" width="1.109375" style="22" customWidth="1"/>
    <col min="13071" max="13071" width="18.33203125" style="22" customWidth="1"/>
    <col min="13072" max="13072" width="1" style="22" customWidth="1"/>
    <col min="13073" max="13073" width="39.6640625" style="22" customWidth="1"/>
    <col min="13074" max="13074" width="1" style="22" customWidth="1"/>
    <col min="13075" max="13075" width="12.6640625" style="22" customWidth="1"/>
    <col min="13076" max="13076" width="1.33203125" style="22" customWidth="1"/>
    <col min="13077" max="13077" width="11.44140625" style="22" customWidth="1"/>
    <col min="13078" max="13078" width="1" style="22" customWidth="1"/>
    <col min="13079" max="13079" width="10.44140625" style="22" customWidth="1"/>
    <col min="13080" max="13080" width="0.88671875" style="22" customWidth="1"/>
    <col min="13081" max="13081" width="14" style="22" customWidth="1"/>
    <col min="13082" max="13082" width="0.88671875" style="22" customWidth="1"/>
    <col min="13083" max="13083" width="8.44140625" style="22" customWidth="1"/>
    <col min="13084" max="13084" width="1.6640625" style="22" customWidth="1"/>
    <col min="13085" max="13085" width="9.33203125" style="22" customWidth="1"/>
    <col min="13086" max="13086" width="16" style="22" customWidth="1"/>
    <col min="13087" max="13087" width="0.5546875" style="22" customWidth="1"/>
    <col min="13088" max="13088" width="9.44140625" style="22" bestFit="1" customWidth="1"/>
    <col min="13089" max="13089" width="1.109375" style="22" customWidth="1"/>
    <col min="13090" max="13321" width="9.109375" style="22"/>
    <col min="13322" max="13322" width="2.109375" style="22" customWidth="1"/>
    <col min="13323" max="13323" width="14" style="22" customWidth="1"/>
    <col min="13324" max="13324" width="0.6640625" style="22" customWidth="1"/>
    <col min="13325" max="13325" width="17.109375" style="22" customWidth="1"/>
    <col min="13326" max="13326" width="1.109375" style="22" customWidth="1"/>
    <col min="13327" max="13327" width="18.33203125" style="22" customWidth="1"/>
    <col min="13328" max="13328" width="1" style="22" customWidth="1"/>
    <col min="13329" max="13329" width="39.6640625" style="22" customWidth="1"/>
    <col min="13330" max="13330" width="1" style="22" customWidth="1"/>
    <col min="13331" max="13331" width="12.6640625" style="22" customWidth="1"/>
    <col min="13332" max="13332" width="1.33203125" style="22" customWidth="1"/>
    <col min="13333" max="13333" width="11.44140625" style="22" customWidth="1"/>
    <col min="13334" max="13334" width="1" style="22" customWidth="1"/>
    <col min="13335" max="13335" width="10.44140625" style="22" customWidth="1"/>
    <col min="13336" max="13336" width="0.88671875" style="22" customWidth="1"/>
    <col min="13337" max="13337" width="14" style="22" customWidth="1"/>
    <col min="13338" max="13338" width="0.88671875" style="22" customWidth="1"/>
    <col min="13339" max="13339" width="8.44140625" style="22" customWidth="1"/>
    <col min="13340" max="13340" width="1.6640625" style="22" customWidth="1"/>
    <col min="13341" max="13341" width="9.33203125" style="22" customWidth="1"/>
    <col min="13342" max="13342" width="16" style="22" customWidth="1"/>
    <col min="13343" max="13343" width="0.5546875" style="22" customWidth="1"/>
    <col min="13344" max="13344" width="9.44140625" style="22" bestFit="1" customWidth="1"/>
    <col min="13345" max="13345" width="1.109375" style="22" customWidth="1"/>
    <col min="13346" max="13577" width="9.109375" style="22"/>
    <col min="13578" max="13578" width="2.109375" style="22" customWidth="1"/>
    <col min="13579" max="13579" width="14" style="22" customWidth="1"/>
    <col min="13580" max="13580" width="0.6640625" style="22" customWidth="1"/>
    <col min="13581" max="13581" width="17.109375" style="22" customWidth="1"/>
    <col min="13582" max="13582" width="1.109375" style="22" customWidth="1"/>
    <col min="13583" max="13583" width="18.33203125" style="22" customWidth="1"/>
    <col min="13584" max="13584" width="1" style="22" customWidth="1"/>
    <col min="13585" max="13585" width="39.6640625" style="22" customWidth="1"/>
    <col min="13586" max="13586" width="1" style="22" customWidth="1"/>
    <col min="13587" max="13587" width="12.6640625" style="22" customWidth="1"/>
    <col min="13588" max="13588" width="1.33203125" style="22" customWidth="1"/>
    <col min="13589" max="13589" width="11.44140625" style="22" customWidth="1"/>
    <col min="13590" max="13590" width="1" style="22" customWidth="1"/>
    <col min="13591" max="13591" width="10.44140625" style="22" customWidth="1"/>
    <col min="13592" max="13592" width="0.88671875" style="22" customWidth="1"/>
    <col min="13593" max="13593" width="14" style="22" customWidth="1"/>
    <col min="13594" max="13594" width="0.88671875" style="22" customWidth="1"/>
    <col min="13595" max="13595" width="8.44140625" style="22" customWidth="1"/>
    <col min="13596" max="13596" width="1.6640625" style="22" customWidth="1"/>
    <col min="13597" max="13597" width="9.33203125" style="22" customWidth="1"/>
    <col min="13598" max="13598" width="16" style="22" customWidth="1"/>
    <col min="13599" max="13599" width="0.5546875" style="22" customWidth="1"/>
    <col min="13600" max="13600" width="9.44140625" style="22" bestFit="1" customWidth="1"/>
    <col min="13601" max="13601" width="1.109375" style="22" customWidth="1"/>
    <col min="13602" max="13833" width="9.109375" style="22"/>
    <col min="13834" max="13834" width="2.109375" style="22" customWidth="1"/>
    <col min="13835" max="13835" width="14" style="22" customWidth="1"/>
    <col min="13836" max="13836" width="0.6640625" style="22" customWidth="1"/>
    <col min="13837" max="13837" width="17.109375" style="22" customWidth="1"/>
    <col min="13838" max="13838" width="1.109375" style="22" customWidth="1"/>
    <col min="13839" max="13839" width="18.33203125" style="22" customWidth="1"/>
    <col min="13840" max="13840" width="1" style="22" customWidth="1"/>
    <col min="13841" max="13841" width="39.6640625" style="22" customWidth="1"/>
    <col min="13842" max="13842" width="1" style="22" customWidth="1"/>
    <col min="13843" max="13843" width="12.6640625" style="22" customWidth="1"/>
    <col min="13844" max="13844" width="1.33203125" style="22" customWidth="1"/>
    <col min="13845" max="13845" width="11.44140625" style="22" customWidth="1"/>
    <col min="13846" max="13846" width="1" style="22" customWidth="1"/>
    <col min="13847" max="13847" width="10.44140625" style="22" customWidth="1"/>
    <col min="13848" max="13848" width="0.88671875" style="22" customWidth="1"/>
    <col min="13849" max="13849" width="14" style="22" customWidth="1"/>
    <col min="13850" max="13850" width="0.88671875" style="22" customWidth="1"/>
    <col min="13851" max="13851" width="8.44140625" style="22" customWidth="1"/>
    <col min="13852" max="13852" width="1.6640625" style="22" customWidth="1"/>
    <col min="13853" max="13853" width="9.33203125" style="22" customWidth="1"/>
    <col min="13854" max="13854" width="16" style="22" customWidth="1"/>
    <col min="13855" max="13855" width="0.5546875" style="22" customWidth="1"/>
    <col min="13856" max="13856" width="9.44140625" style="22" bestFit="1" customWidth="1"/>
    <col min="13857" max="13857" width="1.109375" style="22" customWidth="1"/>
    <col min="13858" max="14089" width="9.109375" style="22"/>
    <col min="14090" max="14090" width="2.109375" style="22" customWidth="1"/>
    <col min="14091" max="14091" width="14" style="22" customWidth="1"/>
    <col min="14092" max="14092" width="0.6640625" style="22" customWidth="1"/>
    <col min="14093" max="14093" width="17.109375" style="22" customWidth="1"/>
    <col min="14094" max="14094" width="1.109375" style="22" customWidth="1"/>
    <col min="14095" max="14095" width="18.33203125" style="22" customWidth="1"/>
    <col min="14096" max="14096" width="1" style="22" customWidth="1"/>
    <col min="14097" max="14097" width="39.6640625" style="22" customWidth="1"/>
    <col min="14098" max="14098" width="1" style="22" customWidth="1"/>
    <col min="14099" max="14099" width="12.6640625" style="22" customWidth="1"/>
    <col min="14100" max="14100" width="1.33203125" style="22" customWidth="1"/>
    <col min="14101" max="14101" width="11.44140625" style="22" customWidth="1"/>
    <col min="14102" max="14102" width="1" style="22" customWidth="1"/>
    <col min="14103" max="14103" width="10.44140625" style="22" customWidth="1"/>
    <col min="14104" max="14104" width="0.88671875" style="22" customWidth="1"/>
    <col min="14105" max="14105" width="14" style="22" customWidth="1"/>
    <col min="14106" max="14106" width="0.88671875" style="22" customWidth="1"/>
    <col min="14107" max="14107" width="8.44140625" style="22" customWidth="1"/>
    <col min="14108" max="14108" width="1.6640625" style="22" customWidth="1"/>
    <col min="14109" max="14109" width="9.33203125" style="22" customWidth="1"/>
    <col min="14110" max="14110" width="16" style="22" customWidth="1"/>
    <col min="14111" max="14111" width="0.5546875" style="22" customWidth="1"/>
    <col min="14112" max="14112" width="9.44140625" style="22" bestFit="1" customWidth="1"/>
    <col min="14113" max="14113" width="1.109375" style="22" customWidth="1"/>
    <col min="14114" max="14345" width="9.109375" style="22"/>
    <col min="14346" max="14346" width="2.109375" style="22" customWidth="1"/>
    <col min="14347" max="14347" width="14" style="22" customWidth="1"/>
    <col min="14348" max="14348" width="0.6640625" style="22" customWidth="1"/>
    <col min="14349" max="14349" width="17.109375" style="22" customWidth="1"/>
    <col min="14350" max="14350" width="1.109375" style="22" customWidth="1"/>
    <col min="14351" max="14351" width="18.33203125" style="22" customWidth="1"/>
    <col min="14352" max="14352" width="1" style="22" customWidth="1"/>
    <col min="14353" max="14353" width="39.6640625" style="22" customWidth="1"/>
    <col min="14354" max="14354" width="1" style="22" customWidth="1"/>
    <col min="14355" max="14355" width="12.6640625" style="22" customWidth="1"/>
    <col min="14356" max="14356" width="1.33203125" style="22" customWidth="1"/>
    <col min="14357" max="14357" width="11.44140625" style="22" customWidth="1"/>
    <col min="14358" max="14358" width="1" style="22" customWidth="1"/>
    <col min="14359" max="14359" width="10.44140625" style="22" customWidth="1"/>
    <col min="14360" max="14360" width="0.88671875" style="22" customWidth="1"/>
    <col min="14361" max="14361" width="14" style="22" customWidth="1"/>
    <col min="14362" max="14362" width="0.88671875" style="22" customWidth="1"/>
    <col min="14363" max="14363" width="8.44140625" style="22" customWidth="1"/>
    <col min="14364" max="14364" width="1.6640625" style="22" customWidth="1"/>
    <col min="14365" max="14365" width="9.33203125" style="22" customWidth="1"/>
    <col min="14366" max="14366" width="16" style="22" customWidth="1"/>
    <col min="14367" max="14367" width="0.5546875" style="22" customWidth="1"/>
    <col min="14368" max="14368" width="9.44140625" style="22" bestFit="1" customWidth="1"/>
    <col min="14369" max="14369" width="1.109375" style="22" customWidth="1"/>
    <col min="14370" max="14601" width="9.109375" style="22"/>
    <col min="14602" max="14602" width="2.109375" style="22" customWidth="1"/>
    <col min="14603" max="14603" width="14" style="22" customWidth="1"/>
    <col min="14604" max="14604" width="0.6640625" style="22" customWidth="1"/>
    <col min="14605" max="14605" width="17.109375" style="22" customWidth="1"/>
    <col min="14606" max="14606" width="1.109375" style="22" customWidth="1"/>
    <col min="14607" max="14607" width="18.33203125" style="22" customWidth="1"/>
    <col min="14608" max="14608" width="1" style="22" customWidth="1"/>
    <col min="14609" max="14609" width="39.6640625" style="22" customWidth="1"/>
    <col min="14610" max="14610" width="1" style="22" customWidth="1"/>
    <col min="14611" max="14611" width="12.6640625" style="22" customWidth="1"/>
    <col min="14612" max="14612" width="1.33203125" style="22" customWidth="1"/>
    <col min="14613" max="14613" width="11.44140625" style="22" customWidth="1"/>
    <col min="14614" max="14614" width="1" style="22" customWidth="1"/>
    <col min="14615" max="14615" width="10.44140625" style="22" customWidth="1"/>
    <col min="14616" max="14616" width="0.88671875" style="22" customWidth="1"/>
    <col min="14617" max="14617" width="14" style="22" customWidth="1"/>
    <col min="14618" max="14618" width="0.88671875" style="22" customWidth="1"/>
    <col min="14619" max="14619" width="8.44140625" style="22" customWidth="1"/>
    <col min="14620" max="14620" width="1.6640625" style="22" customWidth="1"/>
    <col min="14621" max="14621" width="9.33203125" style="22" customWidth="1"/>
    <col min="14622" max="14622" width="16" style="22" customWidth="1"/>
    <col min="14623" max="14623" width="0.5546875" style="22" customWidth="1"/>
    <col min="14624" max="14624" width="9.44140625" style="22" bestFit="1" customWidth="1"/>
    <col min="14625" max="14625" width="1.109375" style="22" customWidth="1"/>
    <col min="14626" max="14857" width="9.109375" style="22"/>
    <col min="14858" max="14858" width="2.109375" style="22" customWidth="1"/>
    <col min="14859" max="14859" width="14" style="22" customWidth="1"/>
    <col min="14860" max="14860" width="0.6640625" style="22" customWidth="1"/>
    <col min="14861" max="14861" width="17.109375" style="22" customWidth="1"/>
    <col min="14862" max="14862" width="1.109375" style="22" customWidth="1"/>
    <col min="14863" max="14863" width="18.33203125" style="22" customWidth="1"/>
    <col min="14864" max="14864" width="1" style="22" customWidth="1"/>
    <col min="14865" max="14865" width="39.6640625" style="22" customWidth="1"/>
    <col min="14866" max="14866" width="1" style="22" customWidth="1"/>
    <col min="14867" max="14867" width="12.6640625" style="22" customWidth="1"/>
    <col min="14868" max="14868" width="1.33203125" style="22" customWidth="1"/>
    <col min="14869" max="14869" width="11.44140625" style="22" customWidth="1"/>
    <col min="14870" max="14870" width="1" style="22" customWidth="1"/>
    <col min="14871" max="14871" width="10.44140625" style="22" customWidth="1"/>
    <col min="14872" max="14872" width="0.88671875" style="22" customWidth="1"/>
    <col min="14873" max="14873" width="14" style="22" customWidth="1"/>
    <col min="14874" max="14874" width="0.88671875" style="22" customWidth="1"/>
    <col min="14875" max="14875" width="8.44140625" style="22" customWidth="1"/>
    <col min="14876" max="14876" width="1.6640625" style="22" customWidth="1"/>
    <col min="14877" max="14877" width="9.33203125" style="22" customWidth="1"/>
    <col min="14878" max="14878" width="16" style="22" customWidth="1"/>
    <col min="14879" max="14879" width="0.5546875" style="22" customWidth="1"/>
    <col min="14880" max="14880" width="9.44140625" style="22" bestFit="1" customWidth="1"/>
    <col min="14881" max="14881" width="1.109375" style="22" customWidth="1"/>
    <col min="14882" max="15113" width="9.109375" style="22"/>
    <col min="15114" max="15114" width="2.109375" style="22" customWidth="1"/>
    <col min="15115" max="15115" width="14" style="22" customWidth="1"/>
    <col min="15116" max="15116" width="0.6640625" style="22" customWidth="1"/>
    <col min="15117" max="15117" width="17.109375" style="22" customWidth="1"/>
    <col min="15118" max="15118" width="1.109375" style="22" customWidth="1"/>
    <col min="15119" max="15119" width="18.33203125" style="22" customWidth="1"/>
    <col min="15120" max="15120" width="1" style="22" customWidth="1"/>
    <col min="15121" max="15121" width="39.6640625" style="22" customWidth="1"/>
    <col min="15122" max="15122" width="1" style="22" customWidth="1"/>
    <col min="15123" max="15123" width="12.6640625" style="22" customWidth="1"/>
    <col min="15124" max="15124" width="1.33203125" style="22" customWidth="1"/>
    <col min="15125" max="15125" width="11.44140625" style="22" customWidth="1"/>
    <col min="15126" max="15126" width="1" style="22" customWidth="1"/>
    <col min="15127" max="15127" width="10.44140625" style="22" customWidth="1"/>
    <col min="15128" max="15128" width="0.88671875" style="22" customWidth="1"/>
    <col min="15129" max="15129" width="14" style="22" customWidth="1"/>
    <col min="15130" max="15130" width="0.88671875" style="22" customWidth="1"/>
    <col min="15131" max="15131" width="8.44140625" style="22" customWidth="1"/>
    <col min="15132" max="15132" width="1.6640625" style="22" customWidth="1"/>
    <col min="15133" max="15133" width="9.33203125" style="22" customWidth="1"/>
    <col min="15134" max="15134" width="16" style="22" customWidth="1"/>
    <col min="15135" max="15135" width="0.5546875" style="22" customWidth="1"/>
    <col min="15136" max="15136" width="9.44140625" style="22" bestFit="1" customWidth="1"/>
    <col min="15137" max="15137" width="1.109375" style="22" customWidth="1"/>
    <col min="15138" max="15369" width="9.109375" style="22"/>
    <col min="15370" max="15370" width="2.109375" style="22" customWidth="1"/>
    <col min="15371" max="15371" width="14" style="22" customWidth="1"/>
    <col min="15372" max="15372" width="0.6640625" style="22" customWidth="1"/>
    <col min="15373" max="15373" width="17.109375" style="22" customWidth="1"/>
    <col min="15374" max="15374" width="1.109375" style="22" customWidth="1"/>
    <col min="15375" max="15375" width="18.33203125" style="22" customWidth="1"/>
    <col min="15376" max="15376" width="1" style="22" customWidth="1"/>
    <col min="15377" max="15377" width="39.6640625" style="22" customWidth="1"/>
    <col min="15378" max="15378" width="1" style="22" customWidth="1"/>
    <col min="15379" max="15379" width="12.6640625" style="22" customWidth="1"/>
    <col min="15380" max="15380" width="1.33203125" style="22" customWidth="1"/>
    <col min="15381" max="15381" width="11.44140625" style="22" customWidth="1"/>
    <col min="15382" max="15382" width="1" style="22" customWidth="1"/>
    <col min="15383" max="15383" width="10.44140625" style="22" customWidth="1"/>
    <col min="15384" max="15384" width="0.88671875" style="22" customWidth="1"/>
    <col min="15385" max="15385" width="14" style="22" customWidth="1"/>
    <col min="15386" max="15386" width="0.88671875" style="22" customWidth="1"/>
    <col min="15387" max="15387" width="8.44140625" style="22" customWidth="1"/>
    <col min="15388" max="15388" width="1.6640625" style="22" customWidth="1"/>
    <col min="15389" max="15389" width="9.33203125" style="22" customWidth="1"/>
    <col min="15390" max="15390" width="16" style="22" customWidth="1"/>
    <col min="15391" max="15391" width="0.5546875" style="22" customWidth="1"/>
    <col min="15392" max="15392" width="9.44140625" style="22" bestFit="1" customWidth="1"/>
    <col min="15393" max="15393" width="1.109375" style="22" customWidth="1"/>
    <col min="15394" max="15625" width="9.109375" style="22"/>
    <col min="15626" max="15626" width="2.109375" style="22" customWidth="1"/>
    <col min="15627" max="15627" width="14" style="22" customWidth="1"/>
    <col min="15628" max="15628" width="0.6640625" style="22" customWidth="1"/>
    <col min="15629" max="15629" width="17.109375" style="22" customWidth="1"/>
    <col min="15630" max="15630" width="1.109375" style="22" customWidth="1"/>
    <col min="15631" max="15631" width="18.33203125" style="22" customWidth="1"/>
    <col min="15632" max="15632" width="1" style="22" customWidth="1"/>
    <col min="15633" max="15633" width="39.6640625" style="22" customWidth="1"/>
    <col min="15634" max="15634" width="1" style="22" customWidth="1"/>
    <col min="15635" max="15635" width="12.6640625" style="22" customWidth="1"/>
    <col min="15636" max="15636" width="1.33203125" style="22" customWidth="1"/>
    <col min="15637" max="15637" width="11.44140625" style="22" customWidth="1"/>
    <col min="15638" max="15638" width="1" style="22" customWidth="1"/>
    <col min="15639" max="15639" width="10.44140625" style="22" customWidth="1"/>
    <col min="15640" max="15640" width="0.88671875" style="22" customWidth="1"/>
    <col min="15641" max="15641" width="14" style="22" customWidth="1"/>
    <col min="15642" max="15642" width="0.88671875" style="22" customWidth="1"/>
    <col min="15643" max="15643" width="8.44140625" style="22" customWidth="1"/>
    <col min="15644" max="15644" width="1.6640625" style="22" customWidth="1"/>
    <col min="15645" max="15645" width="9.33203125" style="22" customWidth="1"/>
    <col min="15646" max="15646" width="16" style="22" customWidth="1"/>
    <col min="15647" max="15647" width="0.5546875" style="22" customWidth="1"/>
    <col min="15648" max="15648" width="9.44140625" style="22" bestFit="1" customWidth="1"/>
    <col min="15649" max="15649" width="1.109375" style="22" customWidth="1"/>
    <col min="15650" max="15881" width="9.109375" style="22"/>
    <col min="15882" max="15882" width="2.109375" style="22" customWidth="1"/>
    <col min="15883" max="15883" width="14" style="22" customWidth="1"/>
    <col min="15884" max="15884" width="0.6640625" style="22" customWidth="1"/>
    <col min="15885" max="15885" width="17.109375" style="22" customWidth="1"/>
    <col min="15886" max="15886" width="1.109375" style="22" customWidth="1"/>
    <col min="15887" max="15887" width="18.33203125" style="22" customWidth="1"/>
    <col min="15888" max="15888" width="1" style="22" customWidth="1"/>
    <col min="15889" max="15889" width="39.6640625" style="22" customWidth="1"/>
    <col min="15890" max="15890" width="1" style="22" customWidth="1"/>
    <col min="15891" max="15891" width="12.6640625" style="22" customWidth="1"/>
    <col min="15892" max="15892" width="1.33203125" style="22" customWidth="1"/>
    <col min="15893" max="15893" width="11.44140625" style="22" customWidth="1"/>
    <col min="15894" max="15894" width="1" style="22" customWidth="1"/>
    <col min="15895" max="15895" width="10.44140625" style="22" customWidth="1"/>
    <col min="15896" max="15896" width="0.88671875" style="22" customWidth="1"/>
    <col min="15897" max="15897" width="14" style="22" customWidth="1"/>
    <col min="15898" max="15898" width="0.88671875" style="22" customWidth="1"/>
    <col min="15899" max="15899" width="8.44140625" style="22" customWidth="1"/>
    <col min="15900" max="15900" width="1.6640625" style="22" customWidth="1"/>
    <col min="15901" max="15901" width="9.33203125" style="22" customWidth="1"/>
    <col min="15902" max="15902" width="16" style="22" customWidth="1"/>
    <col min="15903" max="15903" width="0.5546875" style="22" customWidth="1"/>
    <col min="15904" max="15904" width="9.44140625" style="22" bestFit="1" customWidth="1"/>
    <col min="15905" max="15905" width="1.109375" style="22" customWidth="1"/>
    <col min="15906" max="16137" width="9.109375" style="22"/>
    <col min="16138" max="16138" width="2.109375" style="22" customWidth="1"/>
    <col min="16139" max="16139" width="14" style="22" customWidth="1"/>
    <col min="16140" max="16140" width="0.6640625" style="22" customWidth="1"/>
    <col min="16141" max="16141" width="17.109375" style="22" customWidth="1"/>
    <col min="16142" max="16142" width="1.109375" style="22" customWidth="1"/>
    <col min="16143" max="16143" width="18.33203125" style="22" customWidth="1"/>
    <col min="16144" max="16144" width="1" style="22" customWidth="1"/>
    <col min="16145" max="16145" width="39.6640625" style="22" customWidth="1"/>
    <col min="16146" max="16146" width="1" style="22" customWidth="1"/>
    <col min="16147" max="16147" width="12.6640625" style="22" customWidth="1"/>
    <col min="16148" max="16148" width="1.33203125" style="22" customWidth="1"/>
    <col min="16149" max="16149" width="11.44140625" style="22" customWidth="1"/>
    <col min="16150" max="16150" width="1" style="22" customWidth="1"/>
    <col min="16151" max="16151" width="10.44140625" style="22" customWidth="1"/>
    <col min="16152" max="16152" width="0.88671875" style="22" customWidth="1"/>
    <col min="16153" max="16153" width="14" style="22" customWidth="1"/>
    <col min="16154" max="16154" width="0.88671875" style="22" customWidth="1"/>
    <col min="16155" max="16155" width="8.44140625" style="22" customWidth="1"/>
    <col min="16156" max="16156" width="1.6640625" style="22" customWidth="1"/>
    <col min="16157" max="16157" width="9.33203125" style="22" customWidth="1"/>
    <col min="16158" max="16158" width="16" style="22" customWidth="1"/>
    <col min="16159" max="16159" width="0.5546875" style="22" customWidth="1"/>
    <col min="16160" max="16160" width="9.44140625" style="22" bestFit="1" customWidth="1"/>
    <col min="16161" max="16161" width="1.109375" style="22" customWidth="1"/>
    <col min="16162" max="16384" width="9.109375" style="22"/>
  </cols>
  <sheetData>
    <row r="1" spans="1:38" ht="48" x14ac:dyDescent="0.25">
      <c r="A1" s="1"/>
      <c r="B1" s="2" t="s">
        <v>9</v>
      </c>
      <c r="C1" s="1"/>
      <c r="D1" s="2" t="s">
        <v>40</v>
      </c>
      <c r="E1" s="1"/>
      <c r="F1" s="3" t="s">
        <v>0</v>
      </c>
      <c r="G1" s="2"/>
      <c r="H1" s="3" t="s">
        <v>1</v>
      </c>
      <c r="I1" s="2"/>
      <c r="J1" s="4" t="s">
        <v>4</v>
      </c>
      <c r="K1" s="1"/>
      <c r="L1" s="2" t="s">
        <v>2</v>
      </c>
      <c r="M1" s="1"/>
      <c r="N1" s="2" t="s">
        <v>7</v>
      </c>
      <c r="O1" s="1"/>
      <c r="P1" s="2" t="s">
        <v>8</v>
      </c>
      <c r="Q1" s="2" t="s">
        <v>24</v>
      </c>
      <c r="R1" s="5" t="s">
        <v>5</v>
      </c>
      <c r="S1" s="1"/>
      <c r="T1" s="61" t="s">
        <v>6</v>
      </c>
      <c r="U1" s="1"/>
      <c r="V1" s="83" t="s">
        <v>592</v>
      </c>
      <c r="W1" s="1"/>
      <c r="X1" s="89" t="s">
        <v>593</v>
      </c>
      <c r="Y1" s="189" t="s">
        <v>719</v>
      </c>
      <c r="Z1" s="277"/>
      <c r="AA1" s="89" t="s">
        <v>720</v>
      </c>
      <c r="AB1" s="277"/>
      <c r="AC1" s="189" t="s">
        <v>721</v>
      </c>
      <c r="AD1" s="277"/>
      <c r="AE1" s="89" t="s">
        <v>722</v>
      </c>
      <c r="AF1" s="189" t="s">
        <v>723</v>
      </c>
      <c r="AG1" s="277"/>
      <c r="AH1" s="89" t="s">
        <v>724</v>
      </c>
      <c r="AI1" s="1"/>
      <c r="AJ1" s="22" t="s">
        <v>25</v>
      </c>
      <c r="AL1" s="22" t="s">
        <v>3</v>
      </c>
    </row>
    <row r="2" spans="1:38" ht="33.6" customHeight="1" x14ac:dyDescent="0.2">
      <c r="A2" s="26"/>
      <c r="B2" s="278" t="s">
        <v>41</v>
      </c>
      <c r="C2" s="279"/>
      <c r="D2" s="282" t="s">
        <v>308</v>
      </c>
      <c r="E2" s="281"/>
      <c r="F2" s="282" t="s">
        <v>309</v>
      </c>
      <c r="G2" s="280"/>
      <c r="H2" s="282" t="s">
        <v>310</v>
      </c>
      <c r="I2" s="280"/>
      <c r="J2" s="286">
        <v>60</v>
      </c>
      <c r="K2" s="281"/>
      <c r="L2" s="280" t="s">
        <v>21</v>
      </c>
      <c r="M2" s="281"/>
      <c r="N2" s="281" t="s">
        <v>311</v>
      </c>
      <c r="O2" s="281"/>
      <c r="P2" s="281">
        <v>2008</v>
      </c>
      <c r="Q2" s="287" t="s">
        <v>312</v>
      </c>
      <c r="R2" s="281">
        <v>423</v>
      </c>
      <c r="S2" s="281"/>
      <c r="T2" s="288">
        <v>25380</v>
      </c>
      <c r="U2" s="281"/>
      <c r="V2" s="281">
        <v>404</v>
      </c>
      <c r="W2" s="281"/>
      <c r="X2" s="288">
        <v>24240</v>
      </c>
      <c r="Y2" s="281">
        <v>392</v>
      </c>
      <c r="Z2" s="281"/>
      <c r="AA2" s="288">
        <v>23520</v>
      </c>
      <c r="AB2" s="281"/>
      <c r="AC2" s="281">
        <v>383</v>
      </c>
      <c r="AD2" s="281"/>
      <c r="AE2" s="288">
        <v>22980</v>
      </c>
      <c r="AF2" s="281">
        <v>379</v>
      </c>
      <c r="AG2" s="281"/>
      <c r="AH2" s="288">
        <v>32200</v>
      </c>
      <c r="AI2" s="281"/>
      <c r="AJ2" s="22" t="s">
        <v>313</v>
      </c>
    </row>
    <row r="3" spans="1:38" ht="44.4" customHeight="1" x14ac:dyDescent="0.2">
      <c r="B3" s="159" t="s">
        <v>41</v>
      </c>
      <c r="C3" s="160"/>
      <c r="D3" s="162" t="s">
        <v>308</v>
      </c>
      <c r="E3" s="203"/>
      <c r="F3" s="162" t="s">
        <v>314</v>
      </c>
      <c r="G3" s="161"/>
      <c r="H3" s="162" t="s">
        <v>310</v>
      </c>
      <c r="I3" s="161"/>
      <c r="J3" s="139">
        <v>100</v>
      </c>
      <c r="K3" s="203"/>
      <c r="L3" s="161" t="s">
        <v>315</v>
      </c>
      <c r="M3" s="203"/>
      <c r="N3" s="161" t="s">
        <v>311</v>
      </c>
      <c r="O3" s="203"/>
      <c r="P3" s="203">
        <v>2008</v>
      </c>
      <c r="Q3" s="269" t="s">
        <v>316</v>
      </c>
      <c r="R3" s="203">
        <v>30</v>
      </c>
      <c r="S3" s="203"/>
      <c r="T3" s="60">
        <v>3000</v>
      </c>
      <c r="U3" s="203"/>
      <c r="V3" s="203">
        <v>13</v>
      </c>
      <c r="W3" s="203"/>
      <c r="X3" s="60">
        <v>1300</v>
      </c>
      <c r="Y3" s="203">
        <v>6</v>
      </c>
      <c r="Z3" s="203"/>
      <c r="AA3" s="60">
        <v>600</v>
      </c>
      <c r="AB3" s="203"/>
      <c r="AC3" s="203">
        <v>11</v>
      </c>
      <c r="AD3" s="203"/>
      <c r="AE3" s="60">
        <v>1100</v>
      </c>
      <c r="AF3" s="203">
        <v>13</v>
      </c>
      <c r="AG3" s="203"/>
      <c r="AH3" s="60">
        <v>1300</v>
      </c>
      <c r="AI3" s="281"/>
      <c r="AJ3" s="292" t="s">
        <v>313</v>
      </c>
      <c r="AL3" s="22" t="s">
        <v>317</v>
      </c>
    </row>
    <row r="4" spans="1:38" ht="45.6" customHeight="1" x14ac:dyDescent="0.2">
      <c r="A4" s="26"/>
      <c r="B4" s="159" t="s">
        <v>41</v>
      </c>
      <c r="C4" s="160"/>
      <c r="D4" s="162" t="s">
        <v>308</v>
      </c>
      <c r="E4" s="203"/>
      <c r="F4" s="162" t="s">
        <v>318</v>
      </c>
      <c r="G4" s="161"/>
      <c r="H4" s="162" t="s">
        <v>319</v>
      </c>
      <c r="I4" s="161"/>
      <c r="J4" s="139">
        <v>100</v>
      </c>
      <c r="K4" s="203"/>
      <c r="L4" s="161" t="s">
        <v>320</v>
      </c>
      <c r="M4" s="203"/>
      <c r="N4" s="203" t="s">
        <v>311</v>
      </c>
      <c r="O4" s="203"/>
      <c r="P4" s="203">
        <v>2008</v>
      </c>
      <c r="Q4" s="269" t="s">
        <v>321</v>
      </c>
      <c r="R4" s="203">
        <v>13</v>
      </c>
      <c r="S4" s="203"/>
      <c r="T4" s="60">
        <v>1300</v>
      </c>
      <c r="U4" s="203"/>
      <c r="V4" s="203">
        <v>8</v>
      </c>
      <c r="W4" s="203"/>
      <c r="X4" s="60">
        <v>800</v>
      </c>
      <c r="Y4" s="203">
        <v>10</v>
      </c>
      <c r="Z4" s="203"/>
      <c r="AA4" s="60">
        <v>1000</v>
      </c>
      <c r="AB4" s="203"/>
      <c r="AC4" s="203">
        <v>19</v>
      </c>
      <c r="AD4" s="203"/>
      <c r="AE4" s="60">
        <v>1900</v>
      </c>
      <c r="AF4" s="203">
        <v>15</v>
      </c>
      <c r="AG4" s="203"/>
      <c r="AH4" s="60">
        <v>3000</v>
      </c>
      <c r="AI4" s="203"/>
      <c r="AJ4" s="32" t="s">
        <v>313</v>
      </c>
      <c r="AL4" s="22" t="s">
        <v>322</v>
      </c>
    </row>
    <row r="5" spans="1:38" ht="51.6" customHeight="1" x14ac:dyDescent="0.2">
      <c r="B5" s="270" t="s">
        <v>41</v>
      </c>
      <c r="C5" s="163"/>
      <c r="D5" s="167" t="s">
        <v>308</v>
      </c>
      <c r="E5" s="166"/>
      <c r="F5" s="167" t="s">
        <v>323</v>
      </c>
      <c r="G5" s="165"/>
      <c r="H5" s="167" t="s">
        <v>310</v>
      </c>
      <c r="I5" s="165"/>
      <c r="J5" s="293">
        <v>50</v>
      </c>
      <c r="K5" s="166"/>
      <c r="L5" s="165" t="s">
        <v>324</v>
      </c>
      <c r="M5" s="166"/>
      <c r="N5" s="166" t="s">
        <v>311</v>
      </c>
      <c r="O5" s="166"/>
      <c r="P5" s="166">
        <v>1996</v>
      </c>
      <c r="Q5" s="269" t="s">
        <v>325</v>
      </c>
      <c r="R5" s="166">
        <v>6</v>
      </c>
      <c r="S5" s="166"/>
      <c r="T5" s="68">
        <v>300</v>
      </c>
      <c r="U5" s="166"/>
      <c r="V5" s="223">
        <v>8</v>
      </c>
      <c r="W5" s="166"/>
      <c r="X5" s="285">
        <v>400</v>
      </c>
      <c r="Y5" s="166">
        <v>6</v>
      </c>
      <c r="Z5" s="166"/>
      <c r="AA5" s="68">
        <v>300</v>
      </c>
      <c r="AB5" s="166"/>
      <c r="AC5" s="223">
        <v>6</v>
      </c>
      <c r="AD5" s="166"/>
      <c r="AE5" s="285">
        <v>300</v>
      </c>
      <c r="AF5" s="223">
        <v>11</v>
      </c>
      <c r="AG5" s="166"/>
      <c r="AH5" s="285">
        <v>550</v>
      </c>
      <c r="AI5" s="166"/>
      <c r="AJ5" s="32" t="s">
        <v>313</v>
      </c>
      <c r="AL5" s="22" t="s">
        <v>326</v>
      </c>
    </row>
    <row r="6" spans="1:38" ht="52.2" customHeight="1" x14ac:dyDescent="0.2">
      <c r="A6" s="26"/>
      <c r="B6" s="159" t="s">
        <v>41</v>
      </c>
      <c r="C6" s="160"/>
      <c r="D6" s="162" t="s">
        <v>308</v>
      </c>
      <c r="E6" s="203"/>
      <c r="F6" s="162" t="s">
        <v>327</v>
      </c>
      <c r="G6" s="161"/>
      <c r="H6" s="162" t="s">
        <v>310</v>
      </c>
      <c r="I6" s="161"/>
      <c r="J6" s="139">
        <v>100</v>
      </c>
      <c r="K6" s="203"/>
      <c r="L6" s="161" t="s">
        <v>328</v>
      </c>
      <c r="M6" s="203"/>
      <c r="N6" s="203" t="s">
        <v>311</v>
      </c>
      <c r="O6" s="203"/>
      <c r="P6" s="203">
        <v>2008</v>
      </c>
      <c r="Q6" s="269" t="s">
        <v>329</v>
      </c>
      <c r="R6" s="203">
        <v>1</v>
      </c>
      <c r="S6" s="203"/>
      <c r="T6" s="60">
        <v>100</v>
      </c>
      <c r="U6" s="203"/>
      <c r="V6" s="203">
        <v>0</v>
      </c>
      <c r="W6" s="203"/>
      <c r="X6" s="60">
        <v>0</v>
      </c>
      <c r="Y6" s="203">
        <v>0</v>
      </c>
      <c r="Z6" s="203"/>
      <c r="AA6" s="60">
        <v>0</v>
      </c>
      <c r="AB6" s="203"/>
      <c r="AC6" s="203">
        <v>1</v>
      </c>
      <c r="AD6" s="203"/>
      <c r="AE6" s="60">
        <v>100</v>
      </c>
      <c r="AF6" s="203">
        <v>3</v>
      </c>
      <c r="AG6" s="203"/>
      <c r="AH6" s="60">
        <v>300</v>
      </c>
      <c r="AI6" s="203"/>
      <c r="AJ6" s="32" t="s">
        <v>313</v>
      </c>
      <c r="AL6" s="22" t="s">
        <v>330</v>
      </c>
    </row>
    <row r="7" spans="1:38" ht="40.950000000000003" customHeight="1" x14ac:dyDescent="0.2">
      <c r="B7" s="159" t="s">
        <v>41</v>
      </c>
      <c r="C7" s="163"/>
      <c r="D7" s="167" t="s">
        <v>308</v>
      </c>
      <c r="E7" s="166"/>
      <c r="F7" s="167" t="s">
        <v>331</v>
      </c>
      <c r="G7" s="165"/>
      <c r="H7" s="167" t="s">
        <v>310</v>
      </c>
      <c r="I7" s="165"/>
      <c r="J7" s="293">
        <v>50</v>
      </c>
      <c r="K7" s="166"/>
      <c r="L7" s="165" t="s">
        <v>328</v>
      </c>
      <c r="M7" s="166"/>
      <c r="N7" s="166" t="s">
        <v>311</v>
      </c>
      <c r="O7" s="166"/>
      <c r="P7" s="166">
        <v>2008</v>
      </c>
      <c r="Q7" s="269" t="s">
        <v>332</v>
      </c>
      <c r="R7" s="166">
        <v>3</v>
      </c>
      <c r="S7" s="166"/>
      <c r="T7" s="68">
        <v>150</v>
      </c>
      <c r="U7" s="166"/>
      <c r="V7" s="203">
        <v>2</v>
      </c>
      <c r="W7" s="166"/>
      <c r="X7" s="60">
        <v>100</v>
      </c>
      <c r="Y7" s="166">
        <v>1</v>
      </c>
      <c r="Z7" s="166"/>
      <c r="AA7" s="68">
        <v>50</v>
      </c>
      <c r="AB7" s="166"/>
      <c r="AC7" s="203">
        <v>1</v>
      </c>
      <c r="AD7" s="166"/>
      <c r="AE7" s="60">
        <v>50</v>
      </c>
      <c r="AF7" s="203">
        <v>2</v>
      </c>
      <c r="AG7" s="166"/>
      <c r="AH7" s="60">
        <v>100</v>
      </c>
      <c r="AI7" s="166"/>
      <c r="AJ7" s="32" t="s">
        <v>313</v>
      </c>
      <c r="AL7" s="22" t="s">
        <v>330</v>
      </c>
    </row>
    <row r="8" spans="1:38" ht="34.950000000000003" customHeight="1" x14ac:dyDescent="0.2">
      <c r="A8" s="26"/>
      <c r="B8" s="159" t="s">
        <v>41</v>
      </c>
      <c r="C8" s="160"/>
      <c r="D8" s="162" t="s">
        <v>333</v>
      </c>
      <c r="E8" s="203"/>
      <c r="F8" s="162" t="s">
        <v>334</v>
      </c>
      <c r="G8" s="161"/>
      <c r="H8" s="162" t="s">
        <v>335</v>
      </c>
      <c r="I8" s="161"/>
      <c r="J8" s="139">
        <v>25</v>
      </c>
      <c r="K8" s="203"/>
      <c r="L8" s="161" t="s">
        <v>336</v>
      </c>
      <c r="M8" s="203"/>
      <c r="N8" s="203" t="s">
        <v>311</v>
      </c>
      <c r="O8" s="203"/>
      <c r="P8" s="203" t="s">
        <v>337</v>
      </c>
      <c r="Q8" s="269" t="s">
        <v>338</v>
      </c>
      <c r="R8" s="203">
        <v>19</v>
      </c>
      <c r="S8" s="203"/>
      <c r="T8" s="60">
        <v>475</v>
      </c>
      <c r="U8" s="203"/>
      <c r="V8" s="203">
        <v>38</v>
      </c>
      <c r="W8" s="203"/>
      <c r="X8" s="60">
        <v>950</v>
      </c>
      <c r="Y8" s="203">
        <v>26</v>
      </c>
      <c r="Z8" s="203"/>
      <c r="AA8" s="60">
        <v>650</v>
      </c>
      <c r="AB8" s="203"/>
      <c r="AC8" s="203">
        <v>20</v>
      </c>
      <c r="AD8" s="203"/>
      <c r="AE8" s="60">
        <v>500</v>
      </c>
      <c r="AF8" s="203">
        <v>21</v>
      </c>
      <c r="AG8" s="203"/>
      <c r="AH8" s="60">
        <v>840</v>
      </c>
      <c r="AI8" s="203"/>
      <c r="AJ8" s="32" t="s">
        <v>313</v>
      </c>
    </row>
    <row r="9" spans="1:38" ht="53.4" customHeight="1" x14ac:dyDescent="0.2">
      <c r="A9" s="23" t="s">
        <v>531</v>
      </c>
      <c r="B9" s="159" t="s">
        <v>41</v>
      </c>
      <c r="C9" s="163"/>
      <c r="D9" s="167" t="s">
        <v>333</v>
      </c>
      <c r="E9" s="166"/>
      <c r="F9" s="167" t="s">
        <v>339</v>
      </c>
      <c r="G9" s="165"/>
      <c r="H9" s="167" t="s">
        <v>335</v>
      </c>
      <c r="I9" s="165"/>
      <c r="J9" s="293">
        <v>75</v>
      </c>
      <c r="K9" s="166"/>
      <c r="L9" s="165" t="s">
        <v>340</v>
      </c>
      <c r="M9" s="166"/>
      <c r="N9" s="165" t="s">
        <v>311</v>
      </c>
      <c r="O9" s="166"/>
      <c r="P9" s="166">
        <v>2009</v>
      </c>
      <c r="Q9" s="269" t="s">
        <v>341</v>
      </c>
      <c r="R9" s="166">
        <v>251</v>
      </c>
      <c r="S9" s="166"/>
      <c r="T9" s="68">
        <v>32925</v>
      </c>
      <c r="U9" s="166"/>
      <c r="V9" s="203">
        <v>272</v>
      </c>
      <c r="W9" s="166"/>
      <c r="X9" s="60">
        <v>35400</v>
      </c>
      <c r="Y9" s="203">
        <v>317</v>
      </c>
      <c r="Z9" s="166"/>
      <c r="AA9" s="68">
        <v>42625</v>
      </c>
      <c r="AB9" s="166"/>
      <c r="AC9" s="203">
        <v>278</v>
      </c>
      <c r="AD9" s="166"/>
      <c r="AE9" s="60">
        <v>37025</v>
      </c>
      <c r="AF9" s="203">
        <v>261</v>
      </c>
      <c r="AG9" s="166"/>
      <c r="AH9" s="60">
        <v>56335</v>
      </c>
      <c r="AI9" s="166"/>
      <c r="AJ9" s="32" t="s">
        <v>313</v>
      </c>
      <c r="AL9" s="22" t="s">
        <v>342</v>
      </c>
    </row>
    <row r="10" spans="1:38" ht="55.2" customHeight="1" x14ac:dyDescent="0.2">
      <c r="A10" s="26"/>
      <c r="B10" s="159" t="s">
        <v>41</v>
      </c>
      <c r="C10" s="160"/>
      <c r="D10" s="162" t="s">
        <v>333</v>
      </c>
      <c r="E10" s="203"/>
      <c r="F10" s="162" t="s">
        <v>343</v>
      </c>
      <c r="G10" s="161"/>
      <c r="H10" s="162" t="s">
        <v>344</v>
      </c>
      <c r="I10" s="161"/>
      <c r="J10" s="139">
        <v>325</v>
      </c>
      <c r="K10" s="203"/>
      <c r="L10" s="161" t="s">
        <v>345</v>
      </c>
      <c r="M10" s="203"/>
      <c r="N10" s="203" t="s">
        <v>311</v>
      </c>
      <c r="O10" s="203"/>
      <c r="P10" s="203" t="s">
        <v>337</v>
      </c>
      <c r="Q10" s="269" t="s">
        <v>346</v>
      </c>
      <c r="R10" s="203">
        <v>414</v>
      </c>
      <c r="S10" s="203"/>
      <c r="T10" s="60">
        <v>134550</v>
      </c>
      <c r="U10" s="203"/>
      <c r="V10" s="203">
        <v>437</v>
      </c>
      <c r="W10" s="203"/>
      <c r="X10" s="60">
        <v>142025</v>
      </c>
      <c r="Y10" s="203">
        <v>423</v>
      </c>
      <c r="Z10" s="203"/>
      <c r="AA10" s="60">
        <v>137475</v>
      </c>
      <c r="AB10" s="203"/>
      <c r="AC10" s="203">
        <v>406</v>
      </c>
      <c r="AD10" s="203"/>
      <c r="AE10" s="60">
        <v>131950</v>
      </c>
      <c r="AF10" s="203">
        <v>373</v>
      </c>
      <c r="AG10" s="203"/>
      <c r="AH10" s="60">
        <v>167175</v>
      </c>
      <c r="AI10" s="203"/>
      <c r="AJ10" s="32" t="s">
        <v>313</v>
      </c>
    </row>
    <row r="11" spans="1:38" ht="52.2" customHeight="1" x14ac:dyDescent="0.2">
      <c r="A11" s="23" t="s">
        <v>531</v>
      </c>
      <c r="B11" s="159" t="s">
        <v>41</v>
      </c>
      <c r="C11" s="163"/>
      <c r="D11" s="167" t="s">
        <v>333</v>
      </c>
      <c r="E11" s="166"/>
      <c r="F11" s="167" t="s">
        <v>347</v>
      </c>
      <c r="G11" s="165"/>
      <c r="H11" s="167" t="s">
        <v>348</v>
      </c>
      <c r="I11" s="165"/>
      <c r="J11" s="293">
        <v>325</v>
      </c>
      <c r="K11" s="166"/>
      <c r="L11" s="165" t="s">
        <v>349</v>
      </c>
      <c r="M11" s="166"/>
      <c r="N11" s="166" t="s">
        <v>311</v>
      </c>
      <c r="O11" s="166"/>
      <c r="P11" s="166">
        <v>2010</v>
      </c>
      <c r="Q11" s="269" t="s">
        <v>350</v>
      </c>
      <c r="R11" s="166">
        <v>79</v>
      </c>
      <c r="S11" s="166"/>
      <c r="T11" s="68">
        <v>39425</v>
      </c>
      <c r="U11" s="166"/>
      <c r="V11" s="203">
        <v>108</v>
      </c>
      <c r="W11" s="166"/>
      <c r="X11" s="60">
        <v>35100</v>
      </c>
      <c r="Y11" s="166">
        <v>88</v>
      </c>
      <c r="Z11" s="166"/>
      <c r="AA11" s="68">
        <v>28600</v>
      </c>
      <c r="AB11" s="166"/>
      <c r="AC11" s="203">
        <v>91</v>
      </c>
      <c r="AD11" s="166"/>
      <c r="AE11" s="60">
        <v>29575</v>
      </c>
      <c r="AF11" s="203">
        <v>117</v>
      </c>
      <c r="AG11" s="166"/>
      <c r="AH11" s="60">
        <v>58825</v>
      </c>
      <c r="AI11" s="166"/>
      <c r="AJ11" s="32" t="s">
        <v>313</v>
      </c>
      <c r="AL11" s="22" t="s">
        <v>351</v>
      </c>
    </row>
    <row r="12" spans="1:38" ht="34.200000000000003" x14ac:dyDescent="0.2">
      <c r="A12" s="26"/>
      <c r="B12" s="159" t="s">
        <v>41</v>
      </c>
      <c r="C12" s="160"/>
      <c r="D12" s="161" t="s">
        <v>352</v>
      </c>
      <c r="E12" s="203"/>
      <c r="F12" s="162" t="s">
        <v>353</v>
      </c>
      <c r="G12" s="161"/>
      <c r="H12" s="162" t="s">
        <v>354</v>
      </c>
      <c r="I12" s="161"/>
      <c r="J12" s="139">
        <v>25</v>
      </c>
      <c r="K12" s="203"/>
      <c r="L12" s="161" t="s">
        <v>355</v>
      </c>
      <c r="M12" s="203"/>
      <c r="N12" s="203" t="s">
        <v>311</v>
      </c>
      <c r="O12" s="203"/>
      <c r="P12" s="203">
        <v>2009</v>
      </c>
      <c r="Q12" s="269" t="s">
        <v>356</v>
      </c>
      <c r="R12" s="203">
        <v>38</v>
      </c>
      <c r="S12" s="203"/>
      <c r="T12" s="60">
        <v>950</v>
      </c>
      <c r="U12" s="203"/>
      <c r="V12" s="203">
        <v>28</v>
      </c>
      <c r="W12" s="203"/>
      <c r="X12" s="60">
        <v>700</v>
      </c>
      <c r="Y12" s="203">
        <v>32</v>
      </c>
      <c r="Z12" s="203"/>
      <c r="AA12" s="60">
        <v>800</v>
      </c>
      <c r="AB12" s="203"/>
      <c r="AC12" s="203">
        <v>18</v>
      </c>
      <c r="AD12" s="203"/>
      <c r="AE12" s="60">
        <v>450</v>
      </c>
      <c r="AF12" s="203">
        <v>26</v>
      </c>
      <c r="AG12" s="203"/>
      <c r="AH12" s="60">
        <v>650</v>
      </c>
      <c r="AI12" s="203"/>
      <c r="AJ12" s="32" t="s">
        <v>313</v>
      </c>
    </row>
    <row r="13" spans="1:38" ht="34.200000000000003" x14ac:dyDescent="0.2">
      <c r="A13" s="23" t="s">
        <v>531</v>
      </c>
      <c r="B13" s="159" t="s">
        <v>41</v>
      </c>
      <c r="C13" s="163"/>
      <c r="D13" s="165" t="s">
        <v>352</v>
      </c>
      <c r="E13" s="166"/>
      <c r="F13" s="167" t="s">
        <v>534</v>
      </c>
      <c r="G13" s="165"/>
      <c r="H13" s="167" t="s">
        <v>535</v>
      </c>
      <c r="I13" s="165"/>
      <c r="J13" s="293">
        <v>40</v>
      </c>
      <c r="K13" s="166"/>
      <c r="L13" s="165" t="s">
        <v>355</v>
      </c>
      <c r="M13" s="166"/>
      <c r="N13" s="166" t="s">
        <v>311</v>
      </c>
      <c r="O13" s="166"/>
      <c r="P13" s="166">
        <v>2009</v>
      </c>
      <c r="Q13" s="269" t="s">
        <v>357</v>
      </c>
      <c r="R13" s="166">
        <v>31</v>
      </c>
      <c r="S13" s="166"/>
      <c r="T13" s="68">
        <v>1080</v>
      </c>
      <c r="U13" s="166"/>
      <c r="V13" s="203">
        <v>32</v>
      </c>
      <c r="W13" s="166"/>
      <c r="X13" s="60">
        <v>1000</v>
      </c>
      <c r="Y13" s="166">
        <v>16</v>
      </c>
      <c r="Z13" s="166"/>
      <c r="AA13" s="68">
        <v>500</v>
      </c>
      <c r="AB13" s="166"/>
      <c r="AC13" s="203">
        <v>24</v>
      </c>
      <c r="AD13" s="166"/>
      <c r="AE13" s="60">
        <v>740</v>
      </c>
      <c r="AF13" s="203">
        <v>28</v>
      </c>
      <c r="AG13" s="166"/>
      <c r="AH13" s="60">
        <v>960</v>
      </c>
      <c r="AI13" s="166"/>
      <c r="AJ13" s="32" t="s">
        <v>313</v>
      </c>
      <c r="AL13" s="22" t="s">
        <v>358</v>
      </c>
    </row>
    <row r="14" spans="1:38" ht="58.8" customHeight="1" x14ac:dyDescent="0.2">
      <c r="A14" s="26" t="s">
        <v>531</v>
      </c>
      <c r="B14" s="159" t="s">
        <v>41</v>
      </c>
      <c r="C14" s="160"/>
      <c r="D14" s="161" t="s">
        <v>352</v>
      </c>
      <c r="E14" s="203"/>
      <c r="F14" s="162" t="s">
        <v>359</v>
      </c>
      <c r="G14" s="161"/>
      <c r="H14" s="162" t="s">
        <v>360</v>
      </c>
      <c r="I14" s="161"/>
      <c r="J14" s="139">
        <v>200</v>
      </c>
      <c r="K14" s="203"/>
      <c r="L14" s="161" t="s">
        <v>355</v>
      </c>
      <c r="M14" s="203"/>
      <c r="N14" s="203" t="s">
        <v>311</v>
      </c>
      <c r="O14" s="203"/>
      <c r="P14" s="203">
        <v>2009</v>
      </c>
      <c r="Q14" s="159" t="s">
        <v>361</v>
      </c>
      <c r="R14" s="203">
        <v>11</v>
      </c>
      <c r="S14" s="203"/>
      <c r="T14" s="60">
        <v>2050</v>
      </c>
      <c r="U14" s="203"/>
      <c r="V14" s="203">
        <v>10</v>
      </c>
      <c r="W14" s="203"/>
      <c r="X14" s="60">
        <v>1800</v>
      </c>
      <c r="Y14" s="203">
        <v>8</v>
      </c>
      <c r="Z14" s="203"/>
      <c r="AA14" s="60">
        <v>1400</v>
      </c>
      <c r="AB14" s="203"/>
      <c r="AC14" s="203">
        <v>6</v>
      </c>
      <c r="AD14" s="203"/>
      <c r="AE14" s="60">
        <v>1100</v>
      </c>
      <c r="AF14" s="203">
        <v>3</v>
      </c>
      <c r="AG14" s="203"/>
      <c r="AH14" s="60">
        <v>500</v>
      </c>
      <c r="AI14" s="203"/>
      <c r="AJ14" s="294" t="s">
        <v>313</v>
      </c>
      <c r="AL14" s="22" t="s">
        <v>362</v>
      </c>
    </row>
    <row r="15" spans="1:38" ht="28.95" customHeight="1" x14ac:dyDescent="0.25">
      <c r="A15" s="26"/>
      <c r="B15" s="289" t="s">
        <v>591</v>
      </c>
      <c r="C15" s="290"/>
      <c r="D15" s="290"/>
      <c r="E15" s="223"/>
      <c r="F15" s="222"/>
      <c r="G15" s="221"/>
      <c r="H15" s="222"/>
      <c r="I15" s="221"/>
      <c r="J15" s="221"/>
      <c r="K15" s="223"/>
      <c r="L15" s="221"/>
      <c r="M15" s="223"/>
      <c r="N15" s="223"/>
      <c r="O15" s="223"/>
      <c r="P15" s="223"/>
      <c r="Q15" s="269"/>
      <c r="R15" s="260">
        <f>SUM(R2:R14)</f>
        <v>1319</v>
      </c>
      <c r="S15" s="223"/>
      <c r="T15" s="291">
        <f>SUM(T2:T14)</f>
        <v>241685</v>
      </c>
      <c r="U15" s="223"/>
      <c r="V15" s="260">
        <f>SUM(V2:V14)</f>
        <v>1360</v>
      </c>
      <c r="W15" s="223"/>
      <c r="X15" s="291">
        <f>SUM(X2:X14)</f>
        <v>243815</v>
      </c>
      <c r="Y15" s="291">
        <f t="shared" ref="Y15:AH15" si="0">SUM(Y2:Y14)</f>
        <v>1325</v>
      </c>
      <c r="Z15" s="291">
        <f t="shared" si="0"/>
        <v>0</v>
      </c>
      <c r="AA15" s="291">
        <f t="shared" si="0"/>
        <v>237520</v>
      </c>
      <c r="AB15" s="291">
        <f t="shared" si="0"/>
        <v>0</v>
      </c>
      <c r="AC15" s="291">
        <f t="shared" si="0"/>
        <v>1264</v>
      </c>
      <c r="AD15" s="291">
        <f t="shared" si="0"/>
        <v>0</v>
      </c>
      <c r="AE15" s="291">
        <f t="shared" si="0"/>
        <v>227770</v>
      </c>
      <c r="AF15" s="291">
        <f t="shared" si="0"/>
        <v>1252</v>
      </c>
      <c r="AG15" s="291">
        <f t="shared" si="0"/>
        <v>0</v>
      </c>
      <c r="AH15" s="291">
        <f t="shared" si="0"/>
        <v>322735</v>
      </c>
      <c r="AI15" s="223"/>
    </row>
    <row r="16" spans="1:38" ht="12.6" customHeight="1" x14ac:dyDescent="0.2">
      <c r="A16" s="27"/>
      <c r="B16" s="344" t="s">
        <v>798</v>
      </c>
      <c r="C16" s="344"/>
      <c r="D16" s="344"/>
      <c r="E16" s="344"/>
      <c r="F16" s="344"/>
      <c r="G16" s="344"/>
      <c r="H16" s="344"/>
      <c r="I16" s="344"/>
      <c r="J16" s="344"/>
      <c r="K16" s="344"/>
      <c r="L16" s="29"/>
      <c r="M16" s="30"/>
      <c r="N16" s="30"/>
      <c r="O16" s="30"/>
      <c r="P16" s="30"/>
      <c r="R16" s="30"/>
      <c r="S16" s="30"/>
      <c r="T16" s="77"/>
      <c r="U16" s="30"/>
      <c r="V16" s="30"/>
      <c r="W16" s="30"/>
      <c r="X16" s="30"/>
      <c r="Y16" s="166"/>
      <c r="Z16" s="166"/>
      <c r="AA16" s="77"/>
      <c r="AB16" s="166"/>
      <c r="AC16" s="166"/>
      <c r="AD16" s="166"/>
      <c r="AE16" s="166"/>
      <c r="AF16" s="166"/>
      <c r="AG16" s="166"/>
      <c r="AH16" s="166"/>
      <c r="AI16" s="30"/>
    </row>
    <row r="17" spans="1:35" s="32" customFormat="1" x14ac:dyDescent="0.2">
      <c r="A17" s="27" t="s">
        <v>532</v>
      </c>
      <c r="B17" s="28"/>
      <c r="C17" s="27"/>
      <c r="D17" s="29"/>
      <c r="E17" s="30"/>
      <c r="F17" s="31"/>
      <c r="G17" s="29"/>
      <c r="H17" s="31"/>
      <c r="I17" s="29"/>
      <c r="J17" s="29"/>
      <c r="K17" s="30"/>
      <c r="L17" s="29"/>
      <c r="M17" s="30"/>
      <c r="N17" s="30"/>
      <c r="O17" s="30"/>
      <c r="P17" s="30"/>
      <c r="Q17" s="76"/>
      <c r="R17" s="30"/>
      <c r="S17" s="30"/>
      <c r="T17" s="68"/>
      <c r="U17" s="30"/>
      <c r="V17" s="30"/>
      <c r="W17" s="30"/>
      <c r="X17" s="30"/>
      <c r="Y17" s="166"/>
      <c r="Z17" s="166"/>
      <c r="AA17" s="68"/>
      <c r="AB17" s="166"/>
      <c r="AC17" s="166"/>
      <c r="AD17" s="166"/>
      <c r="AE17" s="166"/>
      <c r="AF17" s="166"/>
      <c r="AG17" s="166"/>
      <c r="AH17" s="166"/>
      <c r="AI17" s="30"/>
    </row>
    <row r="18" spans="1:35" s="32" customFormat="1" x14ac:dyDescent="0.2">
      <c r="A18" s="143" t="s">
        <v>666</v>
      </c>
      <c r="B18" s="143"/>
      <c r="C18" s="143"/>
      <c r="D18" s="143"/>
      <c r="E18" s="143"/>
      <c r="F18" s="143"/>
      <c r="G18" s="143"/>
      <c r="H18" s="143"/>
      <c r="I18" s="143"/>
      <c r="J18" s="143"/>
      <c r="K18" s="143"/>
      <c r="L18" s="143"/>
      <c r="M18" s="143"/>
      <c r="N18" s="143"/>
      <c r="O18" s="143"/>
      <c r="P18" s="143"/>
      <c r="Q18" s="76"/>
      <c r="R18" s="143"/>
      <c r="S18" s="143"/>
      <c r="T18" s="143"/>
      <c r="U18" s="143"/>
      <c r="V18" s="143"/>
      <c r="W18" s="143"/>
      <c r="X18" s="143"/>
      <c r="Y18" s="166"/>
      <c r="Z18" s="166"/>
      <c r="AA18" s="68"/>
      <c r="AB18" s="166"/>
      <c r="AC18" s="166"/>
      <c r="AD18" s="166"/>
      <c r="AE18" s="166"/>
      <c r="AF18" s="166"/>
      <c r="AG18" s="166"/>
      <c r="AH18" s="166"/>
      <c r="AI18" s="30"/>
    </row>
    <row r="19" spans="1:35" s="32" customFormat="1" x14ac:dyDescent="0.2">
      <c r="A19" s="143" t="s">
        <v>583</v>
      </c>
      <c r="B19" s="143"/>
      <c r="C19" s="143"/>
      <c r="D19" s="143"/>
      <c r="E19" s="143"/>
      <c r="F19" s="143"/>
      <c r="G19" s="143"/>
      <c r="H19" s="143"/>
      <c r="I19" s="143"/>
      <c r="J19" s="143"/>
      <c r="K19" s="143"/>
      <c r="L19" s="143"/>
      <c r="M19" s="143"/>
      <c r="N19" s="143"/>
      <c r="O19" s="143"/>
      <c r="P19" s="143"/>
      <c r="Q19" s="76"/>
      <c r="R19" s="143"/>
      <c r="S19" s="143"/>
      <c r="T19" s="143"/>
      <c r="U19" s="143"/>
      <c r="V19" s="143"/>
      <c r="W19" s="143"/>
      <c r="X19" s="143"/>
      <c r="Y19" s="166"/>
      <c r="Z19" s="166"/>
      <c r="AA19" s="68"/>
      <c r="AB19" s="166"/>
      <c r="AC19" s="166"/>
      <c r="AD19" s="166"/>
      <c r="AE19" s="166"/>
      <c r="AF19" s="166"/>
      <c r="AG19" s="166"/>
      <c r="AH19" s="166"/>
      <c r="AI19" s="30"/>
    </row>
    <row r="20" spans="1:35" s="32" customFormat="1" x14ac:dyDescent="0.2">
      <c r="A20" s="143" t="s">
        <v>584</v>
      </c>
      <c r="B20" s="143"/>
      <c r="C20" s="143"/>
      <c r="D20" s="143"/>
      <c r="E20" s="143"/>
      <c r="F20" s="143"/>
      <c r="G20" s="143"/>
      <c r="H20" s="143"/>
      <c r="I20" s="143"/>
      <c r="J20" s="143"/>
      <c r="K20" s="143"/>
      <c r="L20" s="143"/>
      <c r="M20" s="143"/>
      <c r="N20" s="143"/>
      <c r="O20" s="143"/>
      <c r="P20" s="143"/>
      <c r="Q20" s="76"/>
      <c r="R20" s="143"/>
      <c r="S20" s="143"/>
      <c r="T20" s="143"/>
      <c r="U20" s="143"/>
      <c r="V20" s="143"/>
      <c r="W20" s="143"/>
      <c r="X20" s="143"/>
      <c r="Y20" s="284"/>
      <c r="Z20" s="284"/>
      <c r="AA20" s="284"/>
      <c r="AB20" s="284"/>
      <c r="AC20" s="284"/>
      <c r="AD20" s="284"/>
      <c r="AE20" s="284"/>
      <c r="AF20" s="284"/>
      <c r="AG20" s="284"/>
      <c r="AH20" s="284"/>
      <c r="AI20" s="30"/>
    </row>
    <row r="21" spans="1:35" s="34" customFormat="1" x14ac:dyDescent="0.2">
      <c r="A21" s="33" t="s">
        <v>533</v>
      </c>
      <c r="B21" s="28"/>
      <c r="C21" s="33"/>
      <c r="D21" s="29"/>
      <c r="E21" s="30"/>
      <c r="F21" s="31"/>
      <c r="G21" s="29"/>
      <c r="H21" s="31"/>
      <c r="I21" s="29"/>
      <c r="J21" s="29"/>
      <c r="K21" s="30"/>
      <c r="L21" s="29"/>
      <c r="M21" s="30"/>
      <c r="N21" s="30"/>
      <c r="O21" s="30"/>
      <c r="P21" s="30"/>
      <c r="Q21" s="146"/>
      <c r="R21" s="30"/>
      <c r="S21" s="30"/>
      <c r="T21" s="68"/>
      <c r="U21" s="30"/>
      <c r="V21" s="30"/>
      <c r="W21" s="30"/>
      <c r="X21" s="30"/>
      <c r="Y21" s="284"/>
      <c r="Z21" s="284"/>
      <c r="AA21" s="284"/>
      <c r="AB21" s="284"/>
      <c r="AC21" s="284"/>
      <c r="AD21" s="284"/>
      <c r="AE21" s="284"/>
      <c r="AF21" s="284"/>
      <c r="AG21" s="284"/>
      <c r="AH21" s="284"/>
      <c r="AI21" s="30"/>
    </row>
    <row r="22" spans="1:35" s="32" customFormat="1" x14ac:dyDescent="0.2">
      <c r="A22" s="27"/>
      <c r="B22" s="28"/>
      <c r="C22" s="27"/>
      <c r="D22" s="29"/>
      <c r="E22" s="30"/>
      <c r="F22" s="31"/>
      <c r="G22" s="29"/>
      <c r="H22" s="31"/>
      <c r="I22" s="29"/>
      <c r="J22" s="29"/>
      <c r="K22" s="30"/>
      <c r="L22" s="29"/>
      <c r="M22" s="30"/>
      <c r="N22" s="29"/>
      <c r="O22" s="30"/>
      <c r="P22" s="30"/>
      <c r="Q22" s="76"/>
      <c r="R22" s="30"/>
      <c r="S22" s="30"/>
      <c r="T22" s="68"/>
      <c r="U22" s="30"/>
      <c r="V22" s="30"/>
      <c r="W22" s="30"/>
      <c r="X22" s="30"/>
      <c r="Y22" s="144"/>
      <c r="Z22" s="144"/>
      <c r="AA22" s="144"/>
      <c r="AB22" s="30"/>
      <c r="AC22" s="30"/>
      <c r="AD22" s="30"/>
      <c r="AE22" s="30"/>
      <c r="AF22" s="30"/>
      <c r="AG22" s="30"/>
      <c r="AH22" s="30"/>
      <c r="AI22" s="30"/>
    </row>
    <row r="23" spans="1:35" s="133" customFormat="1" ht="19.8" customHeight="1" x14ac:dyDescent="0.25">
      <c r="A23" s="134"/>
      <c r="D23" s="135"/>
      <c r="E23" s="136"/>
      <c r="F23" s="137"/>
      <c r="G23" s="135"/>
      <c r="H23" s="137"/>
      <c r="I23" s="135"/>
      <c r="J23" s="135"/>
      <c r="K23" s="136"/>
      <c r="L23" s="136"/>
      <c r="M23" s="136"/>
      <c r="N23" s="136"/>
      <c r="O23" s="136"/>
      <c r="P23" s="136"/>
      <c r="Q23" s="135"/>
      <c r="R23" s="136"/>
      <c r="S23" s="136"/>
      <c r="T23" s="138"/>
      <c r="U23" s="136"/>
      <c r="V23" s="136"/>
      <c r="W23" s="136"/>
      <c r="X23" s="136"/>
      <c r="Y23" s="143"/>
      <c r="Z23" s="143"/>
      <c r="AA23" s="143"/>
      <c r="AB23" s="143"/>
      <c r="AC23" s="143"/>
      <c r="AD23" s="143"/>
      <c r="AE23" s="143"/>
      <c r="AF23" s="143"/>
      <c r="AG23" s="143"/>
      <c r="AH23" s="143"/>
      <c r="AI23" s="136"/>
    </row>
    <row r="24" spans="1:35" s="32" customFormat="1" x14ac:dyDescent="0.2">
      <c r="A24" s="27"/>
      <c r="B24" s="28"/>
      <c r="C24" s="27"/>
      <c r="D24" s="29"/>
      <c r="E24" s="30"/>
      <c r="F24" s="31"/>
      <c r="G24" s="29"/>
      <c r="H24" s="31"/>
      <c r="I24" s="29"/>
      <c r="J24" s="29"/>
      <c r="K24" s="30"/>
      <c r="L24" s="29"/>
      <c r="M24" s="30"/>
      <c r="N24" s="30"/>
      <c r="O24" s="30"/>
      <c r="P24" s="30"/>
      <c r="Q24" s="76"/>
      <c r="R24" s="30"/>
      <c r="S24" s="30"/>
      <c r="T24" s="68"/>
      <c r="U24" s="30"/>
      <c r="V24" s="30"/>
      <c r="W24" s="30"/>
      <c r="X24" s="30"/>
      <c r="Y24" s="143"/>
      <c r="Z24" s="143"/>
      <c r="AA24" s="143"/>
      <c r="AB24" s="143"/>
      <c r="AC24" s="143"/>
      <c r="AD24" s="143"/>
      <c r="AE24" s="143"/>
      <c r="AF24" s="143"/>
      <c r="AG24" s="143"/>
      <c r="AH24" s="143"/>
      <c r="AI24" s="30"/>
    </row>
    <row r="25" spans="1:35" s="32" customFormat="1" x14ac:dyDescent="0.2">
      <c r="A25" s="27"/>
      <c r="B25" s="28"/>
      <c r="C25" s="27"/>
      <c r="D25" s="29"/>
      <c r="E25" s="30"/>
      <c r="F25" s="31"/>
      <c r="G25" s="29"/>
      <c r="H25" s="31"/>
      <c r="I25" s="29"/>
      <c r="J25" s="29"/>
      <c r="K25" s="30"/>
      <c r="L25" s="29"/>
      <c r="M25" s="30"/>
      <c r="N25" s="30"/>
      <c r="O25" s="30"/>
      <c r="P25" s="30"/>
      <c r="Q25" s="76"/>
      <c r="R25" s="30"/>
      <c r="S25" s="30"/>
      <c r="T25" s="68"/>
      <c r="U25" s="30"/>
      <c r="V25" s="30"/>
      <c r="W25" s="30"/>
      <c r="X25" s="30"/>
      <c r="Y25" s="30"/>
      <c r="Z25" s="30"/>
      <c r="AA25" s="68"/>
      <c r="AB25" s="30"/>
      <c r="AC25" s="30"/>
      <c r="AD25" s="30"/>
      <c r="AE25" s="30"/>
      <c r="AF25" s="30"/>
      <c r="AG25" s="30"/>
      <c r="AH25" s="30"/>
      <c r="AI25" s="30"/>
    </row>
    <row r="26" spans="1:35" s="32" customFormat="1" x14ac:dyDescent="0.2">
      <c r="A26" s="27"/>
      <c r="B26" s="28"/>
      <c r="C26" s="27"/>
      <c r="D26" s="29"/>
      <c r="E26" s="30"/>
      <c r="F26" s="31"/>
      <c r="G26" s="29"/>
      <c r="H26" s="31"/>
      <c r="I26" s="29"/>
      <c r="J26" s="29"/>
      <c r="K26" s="30"/>
      <c r="L26" s="29"/>
      <c r="M26" s="30"/>
      <c r="N26" s="30"/>
      <c r="O26" s="30"/>
      <c r="P26" s="30"/>
      <c r="Q26" s="76"/>
      <c r="R26" s="30"/>
      <c r="S26" s="30"/>
      <c r="T26" s="68"/>
      <c r="U26" s="30"/>
      <c r="V26" s="30"/>
      <c r="W26" s="30"/>
      <c r="X26" s="30"/>
      <c r="Y26" s="30"/>
      <c r="Z26" s="30"/>
      <c r="AA26" s="68"/>
      <c r="AB26" s="30"/>
      <c r="AC26" s="30"/>
      <c r="AD26" s="30"/>
      <c r="AE26" s="30"/>
      <c r="AF26" s="30"/>
      <c r="AG26" s="30"/>
      <c r="AH26" s="30"/>
      <c r="AI26" s="30"/>
    </row>
    <row r="27" spans="1:35" s="32" customFormat="1" x14ac:dyDescent="0.2">
      <c r="A27" s="27"/>
      <c r="B27" s="28"/>
      <c r="C27" s="27"/>
      <c r="D27" s="29"/>
      <c r="E27" s="30"/>
      <c r="F27" s="31"/>
      <c r="G27" s="29"/>
      <c r="H27" s="31"/>
      <c r="I27" s="29"/>
      <c r="J27" s="29"/>
      <c r="K27" s="30"/>
      <c r="L27" s="29"/>
      <c r="M27" s="30"/>
      <c r="N27" s="30"/>
      <c r="O27" s="30"/>
      <c r="P27" s="30"/>
      <c r="Q27" s="76"/>
      <c r="R27" s="30"/>
      <c r="S27" s="30"/>
      <c r="T27" s="68"/>
      <c r="U27" s="30"/>
      <c r="V27" s="30"/>
      <c r="W27" s="30"/>
      <c r="X27" s="30"/>
      <c r="Y27" s="30"/>
      <c r="Z27" s="30"/>
      <c r="AA27" s="68"/>
      <c r="AB27" s="30"/>
      <c r="AC27" s="30"/>
      <c r="AD27" s="30"/>
      <c r="AE27" s="30"/>
      <c r="AF27" s="30"/>
      <c r="AG27" s="30"/>
      <c r="AH27" s="30"/>
      <c r="AI27" s="30"/>
    </row>
    <row r="28" spans="1:35" s="34" customFormat="1" x14ac:dyDescent="0.2">
      <c r="A28" s="33"/>
      <c r="B28" s="28"/>
      <c r="C28" s="33"/>
      <c r="D28" s="29"/>
      <c r="E28" s="30"/>
      <c r="F28" s="31"/>
      <c r="G28" s="29"/>
      <c r="H28" s="31"/>
      <c r="I28" s="29"/>
      <c r="J28" s="29"/>
      <c r="K28" s="30"/>
      <c r="L28" s="29"/>
      <c r="M28" s="30"/>
      <c r="N28" s="30"/>
      <c r="O28" s="30"/>
      <c r="P28" s="30"/>
      <c r="Q28" s="146"/>
      <c r="R28" s="30"/>
      <c r="S28" s="30"/>
      <c r="T28" s="68"/>
      <c r="U28" s="30"/>
      <c r="V28" s="30"/>
      <c r="W28" s="30"/>
      <c r="X28" s="30"/>
      <c r="Y28" s="136"/>
      <c r="Z28" s="136"/>
      <c r="AA28" s="138"/>
      <c r="AB28" s="136"/>
      <c r="AC28" s="136"/>
      <c r="AD28" s="136"/>
      <c r="AE28" s="136"/>
      <c r="AF28" s="136"/>
      <c r="AG28" s="136"/>
      <c r="AH28" s="136"/>
      <c r="AI28" s="30"/>
    </row>
    <row r="29" spans="1:35" s="32" customFormat="1" x14ac:dyDescent="0.2">
      <c r="A29" s="27"/>
      <c r="B29" s="28"/>
      <c r="C29" s="27"/>
      <c r="D29" s="29"/>
      <c r="E29" s="30"/>
      <c r="F29" s="31"/>
      <c r="G29" s="29"/>
      <c r="H29" s="31"/>
      <c r="I29" s="29"/>
      <c r="J29" s="29"/>
      <c r="K29" s="30"/>
      <c r="L29" s="29"/>
      <c r="M29" s="30"/>
      <c r="N29" s="30"/>
      <c r="O29" s="30"/>
      <c r="P29" s="30"/>
      <c r="Q29" s="76"/>
      <c r="R29" s="30"/>
      <c r="S29" s="30"/>
      <c r="T29" s="68"/>
      <c r="U29" s="30"/>
      <c r="V29" s="30"/>
      <c r="W29" s="30"/>
      <c r="X29" s="30"/>
      <c r="Y29" s="30"/>
      <c r="Z29" s="30"/>
      <c r="AA29" s="68"/>
      <c r="AB29" s="30"/>
      <c r="AC29" s="30"/>
      <c r="AD29" s="30"/>
      <c r="AE29" s="30"/>
      <c r="AF29" s="30"/>
      <c r="AG29" s="30"/>
      <c r="AH29" s="30"/>
      <c r="AI29" s="30"/>
    </row>
    <row r="30" spans="1:35" s="34" customFormat="1" x14ac:dyDescent="0.2">
      <c r="A30" s="33"/>
      <c r="B30" s="28"/>
      <c r="C30" s="33"/>
      <c r="D30" s="29"/>
      <c r="E30" s="30"/>
      <c r="F30" s="31"/>
      <c r="G30" s="29"/>
      <c r="H30" s="31"/>
      <c r="I30" s="29"/>
      <c r="J30" s="29"/>
      <c r="K30" s="30"/>
      <c r="L30" s="29"/>
      <c r="M30" s="30"/>
      <c r="N30" s="30"/>
      <c r="O30" s="30"/>
      <c r="P30" s="30"/>
      <c r="Q30" s="146"/>
      <c r="R30" s="30"/>
      <c r="S30" s="30"/>
      <c r="T30" s="68"/>
      <c r="U30" s="30"/>
      <c r="V30" s="30"/>
      <c r="W30" s="30"/>
      <c r="X30" s="30"/>
      <c r="Y30" s="30"/>
      <c r="Z30" s="30"/>
      <c r="AA30" s="68"/>
      <c r="AB30" s="30"/>
      <c r="AC30" s="30"/>
      <c r="AD30" s="30"/>
      <c r="AE30" s="30"/>
      <c r="AF30" s="30"/>
      <c r="AG30" s="30"/>
      <c r="AH30" s="30"/>
      <c r="AI30" s="30"/>
    </row>
    <row r="31" spans="1:35" s="34" customFormat="1" x14ac:dyDescent="0.2">
      <c r="A31" s="33"/>
      <c r="B31" s="28"/>
      <c r="C31" s="33"/>
      <c r="D31" s="29"/>
      <c r="E31" s="30"/>
      <c r="F31" s="31"/>
      <c r="G31" s="29"/>
      <c r="H31" s="31"/>
      <c r="I31" s="29"/>
      <c r="J31" s="29"/>
      <c r="K31" s="30"/>
      <c r="L31" s="29"/>
      <c r="M31" s="30"/>
      <c r="N31" s="30"/>
      <c r="O31" s="30"/>
      <c r="P31" s="30"/>
      <c r="Q31" s="146"/>
      <c r="R31" s="30"/>
      <c r="S31" s="30"/>
      <c r="T31" s="68"/>
      <c r="U31" s="30"/>
      <c r="V31" s="30"/>
      <c r="W31" s="30"/>
      <c r="X31" s="30"/>
      <c r="Y31" s="30"/>
      <c r="Z31" s="30"/>
      <c r="AA31" s="68"/>
      <c r="AB31" s="30"/>
      <c r="AC31" s="30"/>
      <c r="AD31" s="30"/>
      <c r="AE31" s="30"/>
      <c r="AF31" s="30"/>
      <c r="AG31" s="30"/>
      <c r="AH31" s="30"/>
      <c r="AI31" s="30"/>
    </row>
    <row r="32" spans="1:35" s="32" customFormat="1" x14ac:dyDescent="0.2">
      <c r="A32" s="27"/>
      <c r="B32" s="28"/>
      <c r="C32" s="27"/>
      <c r="D32" s="29"/>
      <c r="E32" s="30"/>
      <c r="F32" s="31"/>
      <c r="G32" s="29"/>
      <c r="H32" s="31"/>
      <c r="I32" s="29"/>
      <c r="J32" s="29"/>
      <c r="K32" s="30"/>
      <c r="L32" s="29"/>
      <c r="M32" s="30"/>
      <c r="N32" s="30"/>
      <c r="O32" s="30"/>
      <c r="P32" s="30"/>
      <c r="Q32" s="76"/>
      <c r="R32" s="30"/>
      <c r="S32" s="30"/>
      <c r="T32" s="68"/>
      <c r="U32" s="30"/>
      <c r="V32" s="30"/>
      <c r="W32" s="30"/>
      <c r="X32" s="30"/>
      <c r="Y32" s="30"/>
      <c r="Z32" s="30"/>
      <c r="AA32" s="68"/>
      <c r="AB32" s="30"/>
      <c r="AC32" s="30"/>
      <c r="AD32" s="30"/>
      <c r="AE32" s="30"/>
      <c r="AF32" s="30"/>
      <c r="AG32" s="30"/>
      <c r="AH32" s="30"/>
      <c r="AI32" s="30"/>
    </row>
    <row r="33" spans="1:35" s="34" customFormat="1" x14ac:dyDescent="0.2">
      <c r="A33" s="33"/>
      <c r="B33" s="28"/>
      <c r="C33" s="33"/>
      <c r="D33" s="29"/>
      <c r="E33" s="30"/>
      <c r="F33" s="31"/>
      <c r="G33" s="29"/>
      <c r="H33" s="31"/>
      <c r="I33" s="29"/>
      <c r="J33" s="29"/>
      <c r="K33" s="30"/>
      <c r="L33" s="29"/>
      <c r="M33" s="30"/>
      <c r="N33" s="30"/>
      <c r="O33" s="30"/>
      <c r="P33" s="30"/>
      <c r="Q33" s="146"/>
      <c r="R33" s="30"/>
      <c r="S33" s="30"/>
      <c r="T33" s="68"/>
      <c r="U33" s="30"/>
      <c r="V33" s="30"/>
      <c r="W33" s="30"/>
      <c r="X33" s="30"/>
      <c r="Y33" s="30"/>
      <c r="Z33" s="30"/>
      <c r="AA33" s="68"/>
      <c r="AB33" s="30"/>
      <c r="AC33" s="30"/>
      <c r="AD33" s="30"/>
      <c r="AE33" s="30"/>
      <c r="AF33" s="30"/>
      <c r="AG33" s="30"/>
      <c r="AH33" s="30"/>
      <c r="AI33" s="30"/>
    </row>
    <row r="34" spans="1:35" s="32" customFormat="1" x14ac:dyDescent="0.2">
      <c r="A34" s="27"/>
      <c r="B34" s="28"/>
      <c r="C34" s="27"/>
      <c r="D34" s="29"/>
      <c r="E34" s="30"/>
      <c r="F34" s="31"/>
      <c r="G34" s="29"/>
      <c r="H34" s="31"/>
      <c r="I34" s="29"/>
      <c r="J34" s="29"/>
      <c r="K34" s="30"/>
      <c r="L34" s="29"/>
      <c r="M34" s="30"/>
      <c r="N34" s="30"/>
      <c r="O34" s="30"/>
      <c r="P34" s="30"/>
      <c r="Q34" s="76"/>
      <c r="R34" s="30"/>
      <c r="S34" s="30"/>
      <c r="T34" s="68"/>
      <c r="U34" s="30"/>
      <c r="V34" s="30"/>
      <c r="W34" s="30"/>
      <c r="X34" s="30"/>
      <c r="Y34" s="30"/>
      <c r="Z34" s="30"/>
      <c r="AA34" s="68"/>
      <c r="AB34" s="30"/>
      <c r="AC34" s="30"/>
      <c r="AD34" s="30"/>
      <c r="AE34" s="30"/>
      <c r="AF34" s="30"/>
      <c r="AG34" s="30"/>
      <c r="AH34" s="30"/>
      <c r="AI34" s="30"/>
    </row>
    <row r="35" spans="1:35" s="32" customFormat="1" x14ac:dyDescent="0.2">
      <c r="A35" s="27"/>
      <c r="B35" s="27"/>
      <c r="C35" s="27"/>
      <c r="D35" s="35"/>
      <c r="E35" s="27"/>
      <c r="F35" s="36"/>
      <c r="G35" s="28"/>
      <c r="H35" s="36"/>
      <c r="I35" s="28"/>
      <c r="J35" s="37"/>
      <c r="K35" s="38"/>
      <c r="L35" s="37"/>
      <c r="M35" s="38"/>
      <c r="N35" s="38"/>
      <c r="O35" s="38"/>
      <c r="P35" s="38"/>
      <c r="Q35" s="76"/>
      <c r="R35" s="38"/>
      <c r="S35" s="38"/>
      <c r="T35" s="69"/>
      <c r="U35" s="38"/>
      <c r="V35" s="84"/>
      <c r="W35" s="38"/>
      <c r="X35" s="84"/>
      <c r="Y35" s="30"/>
      <c r="Z35" s="30"/>
      <c r="AA35" s="68"/>
      <c r="AB35" s="30"/>
      <c r="AC35" s="30"/>
      <c r="AD35" s="30"/>
      <c r="AE35" s="30"/>
      <c r="AF35" s="30"/>
      <c r="AG35" s="30"/>
      <c r="AH35" s="30"/>
    </row>
    <row r="36" spans="1:35" s="32" customFormat="1" x14ac:dyDescent="0.2">
      <c r="A36" s="27"/>
      <c r="B36" s="27"/>
      <c r="C36" s="27"/>
      <c r="D36" s="35"/>
      <c r="E36" s="27"/>
      <c r="F36" s="36"/>
      <c r="G36" s="28"/>
      <c r="H36" s="36"/>
      <c r="I36" s="28"/>
      <c r="J36" s="37"/>
      <c r="K36" s="38"/>
      <c r="L36" s="37"/>
      <c r="M36" s="38"/>
      <c r="N36" s="38"/>
      <c r="O36" s="38"/>
      <c r="P36" s="38"/>
      <c r="Q36" s="76"/>
      <c r="R36" s="38"/>
      <c r="S36" s="38"/>
      <c r="T36" s="69"/>
      <c r="U36" s="38"/>
      <c r="V36" s="84"/>
      <c r="W36" s="38"/>
      <c r="X36" s="84"/>
      <c r="Y36" s="30"/>
      <c r="Z36" s="30"/>
      <c r="AA36" s="68"/>
      <c r="AB36" s="30"/>
      <c r="AC36" s="30"/>
      <c r="AD36" s="30"/>
      <c r="AE36" s="30"/>
      <c r="AF36" s="30"/>
      <c r="AG36" s="30"/>
      <c r="AH36" s="30"/>
    </row>
    <row r="37" spans="1:35" s="32" customFormat="1" x14ac:dyDescent="0.2">
      <c r="A37" s="27"/>
      <c r="B37" s="27"/>
      <c r="C37" s="27"/>
      <c r="D37" s="35"/>
      <c r="E37" s="27"/>
      <c r="F37" s="36"/>
      <c r="G37" s="28"/>
      <c r="H37" s="36"/>
      <c r="I37" s="28"/>
      <c r="J37" s="37"/>
      <c r="K37" s="38"/>
      <c r="L37" s="37"/>
      <c r="M37" s="38"/>
      <c r="N37" s="38"/>
      <c r="O37" s="38"/>
      <c r="P37" s="38"/>
      <c r="Q37" s="76"/>
      <c r="R37" s="38"/>
      <c r="S37" s="38"/>
      <c r="T37" s="69"/>
      <c r="U37" s="38"/>
      <c r="V37" s="84"/>
      <c r="W37" s="38"/>
      <c r="X37" s="84"/>
      <c r="Y37" s="30"/>
      <c r="Z37" s="30"/>
      <c r="AA37" s="68"/>
      <c r="AB37" s="30"/>
      <c r="AC37" s="30"/>
      <c r="AD37" s="30"/>
      <c r="AE37" s="30"/>
      <c r="AF37" s="30"/>
      <c r="AG37" s="30"/>
      <c r="AH37" s="30"/>
    </row>
    <row r="38" spans="1:35" s="32" customFormat="1" x14ac:dyDescent="0.2">
      <c r="A38" s="27"/>
      <c r="B38" s="27"/>
      <c r="C38" s="27"/>
      <c r="D38" s="35"/>
      <c r="E38" s="27"/>
      <c r="F38" s="36"/>
      <c r="G38" s="28"/>
      <c r="H38" s="36"/>
      <c r="I38" s="28"/>
      <c r="J38" s="37"/>
      <c r="K38" s="38"/>
      <c r="L38" s="37"/>
      <c r="M38" s="38"/>
      <c r="N38" s="38"/>
      <c r="O38" s="38"/>
      <c r="P38" s="38"/>
      <c r="Q38" s="76"/>
      <c r="R38" s="38"/>
      <c r="S38" s="38"/>
      <c r="T38" s="69"/>
      <c r="U38" s="38"/>
      <c r="V38" s="84"/>
      <c r="W38" s="38"/>
      <c r="X38" s="84"/>
      <c r="Y38" s="30"/>
      <c r="Z38" s="30"/>
      <c r="AA38" s="68"/>
      <c r="AB38" s="30"/>
      <c r="AC38" s="30"/>
      <c r="AD38" s="30"/>
      <c r="AE38" s="30"/>
      <c r="AF38" s="30"/>
      <c r="AG38" s="30"/>
      <c r="AH38" s="30"/>
    </row>
    <row r="39" spans="1:35" s="32" customFormat="1" x14ac:dyDescent="0.2">
      <c r="A39" s="27"/>
      <c r="B39" s="27"/>
      <c r="C39" s="27"/>
      <c r="D39" s="35"/>
      <c r="E39" s="27"/>
      <c r="F39" s="36"/>
      <c r="G39" s="28"/>
      <c r="H39" s="36"/>
      <c r="I39" s="28"/>
      <c r="J39" s="37"/>
      <c r="K39" s="38"/>
      <c r="L39" s="37"/>
      <c r="M39" s="38"/>
      <c r="N39" s="38"/>
      <c r="O39" s="38"/>
      <c r="P39" s="38"/>
      <c r="Q39" s="76"/>
      <c r="R39" s="38"/>
      <c r="S39" s="38"/>
      <c r="T39" s="69"/>
      <c r="U39" s="38"/>
      <c r="V39" s="84"/>
      <c r="W39" s="38"/>
      <c r="X39" s="84"/>
      <c r="Y39" s="30"/>
      <c r="Z39" s="30"/>
      <c r="AA39" s="68"/>
      <c r="AB39" s="30"/>
      <c r="AC39" s="30"/>
      <c r="AD39" s="30"/>
      <c r="AE39" s="30"/>
      <c r="AF39" s="30"/>
      <c r="AG39" s="30"/>
      <c r="AH39" s="30"/>
    </row>
    <row r="40" spans="1:35" s="32" customFormat="1" x14ac:dyDescent="0.2">
      <c r="A40" s="27"/>
      <c r="B40" s="27"/>
      <c r="C40" s="27"/>
      <c r="D40" s="35"/>
      <c r="E40" s="27"/>
      <c r="F40" s="36"/>
      <c r="G40" s="28"/>
      <c r="H40" s="36"/>
      <c r="I40" s="28"/>
      <c r="J40" s="37"/>
      <c r="K40" s="38"/>
      <c r="L40" s="37"/>
      <c r="M40" s="38"/>
      <c r="N40" s="38"/>
      <c r="O40" s="38"/>
      <c r="P40" s="38"/>
      <c r="Q40" s="76"/>
      <c r="R40" s="38"/>
      <c r="S40" s="38"/>
      <c r="T40" s="69"/>
      <c r="U40" s="38"/>
      <c r="V40" s="84"/>
      <c r="W40" s="38"/>
      <c r="X40" s="84"/>
      <c r="Y40" s="38"/>
      <c r="Z40" s="38"/>
      <c r="AA40" s="69"/>
      <c r="AB40" s="38"/>
      <c r="AC40" s="84"/>
      <c r="AD40" s="38"/>
      <c r="AE40" s="84"/>
      <c r="AF40" s="84"/>
      <c r="AG40" s="38"/>
      <c r="AH40" s="84"/>
    </row>
    <row r="41" spans="1:35" s="32" customFormat="1" x14ac:dyDescent="0.2">
      <c r="A41" s="27"/>
      <c r="B41" s="27"/>
      <c r="C41" s="27"/>
      <c r="D41" s="35"/>
      <c r="E41" s="27"/>
      <c r="F41" s="36"/>
      <c r="G41" s="28"/>
      <c r="H41" s="36"/>
      <c r="I41" s="28"/>
      <c r="J41" s="37"/>
      <c r="K41" s="38"/>
      <c r="L41" s="37"/>
      <c r="M41" s="38"/>
      <c r="N41" s="38"/>
      <c r="O41" s="38"/>
      <c r="P41" s="38"/>
      <c r="Q41" s="76"/>
      <c r="R41" s="38"/>
      <c r="S41" s="38"/>
      <c r="T41" s="69"/>
      <c r="U41" s="38"/>
      <c r="V41" s="84"/>
      <c r="W41" s="38"/>
      <c r="X41" s="84"/>
      <c r="Y41" s="38"/>
      <c r="Z41" s="38"/>
      <c r="AA41" s="69"/>
      <c r="AB41" s="38"/>
      <c r="AC41" s="84"/>
      <c r="AD41" s="38"/>
      <c r="AE41" s="84"/>
      <c r="AF41" s="84"/>
      <c r="AG41" s="38"/>
      <c r="AH41" s="84"/>
    </row>
    <row r="42" spans="1:35" x14ac:dyDescent="0.2">
      <c r="J42" s="42"/>
      <c r="K42" s="43"/>
      <c r="L42" s="42"/>
      <c r="M42" s="43"/>
      <c r="N42" s="43"/>
      <c r="O42" s="43"/>
      <c r="P42" s="43"/>
      <c r="R42" s="43"/>
      <c r="S42" s="43"/>
      <c r="T42" s="70"/>
      <c r="U42" s="43"/>
      <c r="V42" s="85"/>
      <c r="W42" s="43"/>
      <c r="X42" s="85"/>
      <c r="Y42" s="38"/>
      <c r="Z42" s="38"/>
      <c r="AA42" s="69"/>
      <c r="AB42" s="38"/>
      <c r="AC42" s="84"/>
      <c r="AD42" s="38"/>
      <c r="AE42" s="84"/>
      <c r="AF42" s="84"/>
      <c r="AG42" s="38"/>
      <c r="AH42" s="84"/>
    </row>
    <row r="43" spans="1:35" x14ac:dyDescent="0.2">
      <c r="J43" s="42"/>
      <c r="K43" s="43"/>
      <c r="L43" s="42"/>
      <c r="M43" s="43"/>
      <c r="N43" s="43"/>
      <c r="O43" s="43"/>
      <c r="P43" s="43"/>
      <c r="R43" s="43"/>
      <c r="S43" s="43"/>
      <c r="T43" s="70"/>
      <c r="U43" s="43"/>
      <c r="V43" s="85"/>
      <c r="W43" s="43"/>
      <c r="X43" s="85"/>
      <c r="Y43" s="38"/>
      <c r="Z43" s="38"/>
      <c r="AA43" s="69"/>
      <c r="AB43" s="38"/>
      <c r="AC43" s="84"/>
      <c r="AD43" s="38"/>
      <c r="AE43" s="84"/>
      <c r="AF43" s="84"/>
      <c r="AG43" s="38"/>
      <c r="AH43" s="84"/>
    </row>
    <row r="44" spans="1:35" x14ac:dyDescent="0.2">
      <c r="J44" s="42"/>
      <c r="K44" s="43"/>
      <c r="L44" s="42"/>
      <c r="M44" s="43"/>
      <c r="N44" s="43"/>
      <c r="O44" s="43"/>
      <c r="P44" s="43"/>
      <c r="R44" s="43"/>
      <c r="S44" s="43"/>
      <c r="T44" s="70"/>
      <c r="U44" s="43"/>
      <c r="V44" s="85"/>
      <c r="W44" s="43"/>
      <c r="X44" s="85"/>
      <c r="Y44" s="38"/>
      <c r="Z44" s="38"/>
      <c r="AA44" s="69"/>
      <c r="AB44" s="38"/>
      <c r="AC44" s="84"/>
      <c r="AD44" s="38"/>
      <c r="AE44" s="84"/>
      <c r="AF44" s="84"/>
      <c r="AG44" s="38"/>
      <c r="AH44" s="84"/>
    </row>
    <row r="45" spans="1:35" x14ac:dyDescent="0.2">
      <c r="J45" s="42"/>
      <c r="K45" s="43"/>
      <c r="L45" s="42"/>
      <c r="M45" s="43"/>
      <c r="N45" s="43"/>
      <c r="O45" s="43"/>
      <c r="P45" s="43"/>
      <c r="R45" s="43"/>
      <c r="S45" s="43"/>
      <c r="T45" s="70"/>
      <c r="U45" s="43"/>
      <c r="V45" s="85"/>
      <c r="W45" s="43"/>
      <c r="X45" s="85"/>
      <c r="Y45" s="38"/>
      <c r="Z45" s="38"/>
      <c r="AA45" s="69"/>
      <c r="AB45" s="38"/>
      <c r="AC45" s="84"/>
      <c r="AD45" s="38"/>
      <c r="AE45" s="84"/>
      <c r="AF45" s="84"/>
      <c r="AG45" s="38"/>
      <c r="AH45" s="84"/>
    </row>
    <row r="46" spans="1:35" x14ac:dyDescent="0.2">
      <c r="J46" s="42"/>
      <c r="K46" s="43"/>
      <c r="L46" s="42"/>
      <c r="M46" s="43"/>
      <c r="N46" s="43"/>
      <c r="O46" s="43"/>
      <c r="P46" s="43"/>
      <c r="R46" s="43"/>
      <c r="S46" s="43"/>
      <c r="T46" s="70"/>
      <c r="U46" s="43"/>
      <c r="V46" s="85"/>
      <c r="W46" s="43"/>
      <c r="X46" s="85"/>
      <c r="Y46" s="38"/>
      <c r="Z46" s="38"/>
      <c r="AA46" s="69"/>
      <c r="AB46" s="38"/>
      <c r="AC46" s="84"/>
      <c r="AD46" s="38"/>
      <c r="AE46" s="84"/>
      <c r="AF46" s="84"/>
      <c r="AG46" s="38"/>
      <c r="AH46" s="84"/>
    </row>
    <row r="47" spans="1:35" x14ac:dyDescent="0.2">
      <c r="J47" s="42"/>
      <c r="K47" s="43"/>
      <c r="L47" s="42"/>
      <c r="M47" s="43"/>
      <c r="N47" s="43"/>
      <c r="O47" s="43"/>
      <c r="P47" s="43"/>
      <c r="R47" s="43"/>
      <c r="S47" s="43"/>
      <c r="T47" s="70"/>
      <c r="U47" s="43"/>
      <c r="V47" s="85"/>
      <c r="W47" s="43"/>
      <c r="X47" s="85"/>
      <c r="Y47" s="43"/>
      <c r="Z47" s="43"/>
      <c r="AA47" s="70"/>
      <c r="AB47" s="43"/>
      <c r="AC47" s="85"/>
      <c r="AD47" s="43"/>
      <c r="AE47" s="85"/>
      <c r="AF47" s="85"/>
      <c r="AG47" s="43"/>
      <c r="AH47" s="85"/>
    </row>
    <row r="48" spans="1:35" x14ac:dyDescent="0.2">
      <c r="J48" s="42"/>
      <c r="K48" s="43"/>
      <c r="L48" s="42"/>
      <c r="M48" s="43"/>
      <c r="N48" s="43"/>
      <c r="O48" s="43"/>
      <c r="P48" s="43"/>
      <c r="R48" s="43"/>
      <c r="S48" s="43"/>
      <c r="T48" s="70"/>
      <c r="U48" s="43"/>
      <c r="V48" s="85"/>
      <c r="W48" s="43"/>
      <c r="X48" s="85"/>
      <c r="Y48" s="43"/>
      <c r="Z48" s="43"/>
      <c r="AA48" s="70"/>
      <c r="AB48" s="43"/>
      <c r="AC48" s="85"/>
      <c r="AD48" s="43"/>
      <c r="AE48" s="85"/>
      <c r="AF48" s="85"/>
      <c r="AG48" s="43"/>
      <c r="AH48" s="85"/>
    </row>
    <row r="49" spans="10:34" x14ac:dyDescent="0.2">
      <c r="J49" s="42"/>
      <c r="K49" s="43"/>
      <c r="L49" s="42"/>
      <c r="M49" s="43"/>
      <c r="N49" s="43"/>
      <c r="O49" s="43"/>
      <c r="P49" s="43"/>
      <c r="R49" s="43"/>
      <c r="S49" s="43"/>
      <c r="T49" s="70"/>
      <c r="U49" s="43"/>
      <c r="V49" s="85"/>
      <c r="W49" s="43"/>
      <c r="X49" s="85"/>
      <c r="Y49" s="43"/>
      <c r="Z49" s="43"/>
      <c r="AA49" s="70"/>
      <c r="AB49" s="43"/>
      <c r="AC49" s="85"/>
      <c r="AD49" s="43"/>
      <c r="AE49" s="85"/>
      <c r="AF49" s="85"/>
      <c r="AG49" s="43"/>
      <c r="AH49" s="85"/>
    </row>
    <row r="50" spans="10:34" x14ac:dyDescent="0.2">
      <c r="J50" s="42"/>
      <c r="K50" s="43"/>
      <c r="L50" s="42"/>
      <c r="M50" s="43"/>
      <c r="N50" s="43"/>
      <c r="O50" s="43"/>
      <c r="P50" s="43"/>
      <c r="R50" s="43"/>
      <c r="S50" s="43"/>
      <c r="T50" s="70"/>
      <c r="U50" s="43"/>
      <c r="V50" s="85"/>
      <c r="W50" s="43"/>
      <c r="X50" s="85"/>
      <c r="Y50" s="43"/>
      <c r="Z50" s="43"/>
      <c r="AA50" s="70"/>
      <c r="AB50" s="43"/>
      <c r="AC50" s="85"/>
      <c r="AD50" s="43"/>
      <c r="AE50" s="85"/>
      <c r="AF50" s="85"/>
      <c r="AG50" s="43"/>
      <c r="AH50" s="85"/>
    </row>
    <row r="51" spans="10:34" x14ac:dyDescent="0.2">
      <c r="J51" s="42"/>
      <c r="K51" s="43"/>
      <c r="L51" s="42"/>
      <c r="M51" s="43"/>
      <c r="N51" s="43"/>
      <c r="O51" s="43"/>
      <c r="P51" s="43"/>
      <c r="R51" s="43"/>
      <c r="S51" s="43"/>
      <c r="T51" s="70"/>
      <c r="U51" s="43"/>
      <c r="V51" s="85"/>
      <c r="W51" s="43"/>
      <c r="X51" s="85"/>
      <c r="Y51" s="43"/>
      <c r="Z51" s="43"/>
      <c r="AA51" s="70"/>
      <c r="AB51" s="43"/>
      <c r="AC51" s="85"/>
      <c r="AD51" s="43"/>
      <c r="AE51" s="85"/>
      <c r="AF51" s="85"/>
      <c r="AG51" s="43"/>
      <c r="AH51" s="85"/>
    </row>
    <row r="52" spans="10:34" x14ac:dyDescent="0.2">
      <c r="J52" s="42"/>
      <c r="K52" s="43"/>
      <c r="L52" s="42"/>
      <c r="M52" s="43"/>
      <c r="N52" s="43"/>
      <c r="O52" s="43"/>
      <c r="P52" s="43"/>
      <c r="R52" s="43"/>
      <c r="S52" s="43"/>
      <c r="T52" s="70"/>
      <c r="U52" s="43"/>
      <c r="V52" s="85"/>
      <c r="W52" s="43"/>
      <c r="X52" s="85"/>
      <c r="Y52" s="43"/>
      <c r="Z52" s="43"/>
      <c r="AA52" s="70"/>
      <c r="AB52" s="43"/>
      <c r="AC52" s="85"/>
      <c r="AD52" s="43"/>
      <c r="AE52" s="85"/>
      <c r="AF52" s="85"/>
      <c r="AG52" s="43"/>
      <c r="AH52" s="85"/>
    </row>
    <row r="53" spans="10:34" x14ac:dyDescent="0.2">
      <c r="J53" s="42"/>
      <c r="K53" s="43"/>
      <c r="L53" s="42"/>
      <c r="M53" s="43"/>
      <c r="N53" s="43"/>
      <c r="O53" s="43"/>
      <c r="P53" s="43"/>
      <c r="R53" s="43"/>
      <c r="S53" s="43"/>
      <c r="T53" s="70"/>
      <c r="U53" s="43"/>
      <c r="V53" s="85"/>
      <c r="W53" s="43"/>
      <c r="X53" s="85"/>
      <c r="Y53" s="43"/>
      <c r="Z53" s="43"/>
      <c r="AA53" s="70"/>
      <c r="AB53" s="43"/>
      <c r="AC53" s="85"/>
      <c r="AD53" s="43"/>
      <c r="AE53" s="85"/>
      <c r="AF53" s="85"/>
      <c r="AG53" s="43"/>
      <c r="AH53" s="85"/>
    </row>
    <row r="54" spans="10:34" x14ac:dyDescent="0.2">
      <c r="J54" s="42"/>
      <c r="K54" s="43"/>
      <c r="L54" s="42"/>
      <c r="M54" s="43"/>
      <c r="N54" s="43"/>
      <c r="O54" s="43"/>
      <c r="P54" s="43"/>
      <c r="R54" s="43"/>
      <c r="S54" s="43"/>
      <c r="T54" s="70"/>
      <c r="U54" s="43"/>
      <c r="V54" s="85"/>
      <c r="W54" s="43"/>
      <c r="X54" s="85"/>
      <c r="Y54" s="43"/>
      <c r="Z54" s="43"/>
      <c r="AA54" s="70"/>
      <c r="AB54" s="43"/>
      <c r="AC54" s="85"/>
      <c r="AD54" s="43"/>
      <c r="AE54" s="85"/>
      <c r="AF54" s="85"/>
      <c r="AG54" s="43"/>
      <c r="AH54" s="85"/>
    </row>
    <row r="55" spans="10:34" x14ac:dyDescent="0.2">
      <c r="J55" s="42"/>
      <c r="K55" s="43"/>
      <c r="L55" s="42"/>
      <c r="M55" s="43"/>
      <c r="N55" s="43"/>
      <c r="O55" s="43"/>
      <c r="P55" s="43"/>
      <c r="R55" s="43"/>
      <c r="S55" s="43"/>
      <c r="T55" s="70"/>
      <c r="U55" s="43"/>
      <c r="V55" s="85"/>
      <c r="W55" s="43"/>
      <c r="X55" s="85"/>
      <c r="Y55" s="43"/>
      <c r="Z55" s="43"/>
      <c r="AA55" s="70"/>
      <c r="AB55" s="43"/>
      <c r="AC55" s="85"/>
      <c r="AD55" s="43"/>
      <c r="AE55" s="85"/>
      <c r="AF55" s="85"/>
      <c r="AG55" s="43"/>
      <c r="AH55" s="85"/>
    </row>
    <row r="56" spans="10:34" x14ac:dyDescent="0.2">
      <c r="J56" s="42"/>
      <c r="K56" s="43"/>
      <c r="L56" s="42"/>
      <c r="M56" s="43"/>
      <c r="N56" s="43"/>
      <c r="O56" s="43"/>
      <c r="P56" s="43"/>
      <c r="R56" s="43"/>
      <c r="S56" s="43"/>
      <c r="T56" s="70"/>
      <c r="U56" s="43"/>
      <c r="V56" s="85"/>
      <c r="W56" s="43"/>
      <c r="X56" s="85"/>
      <c r="Y56" s="43"/>
      <c r="Z56" s="43"/>
      <c r="AA56" s="70"/>
      <c r="AB56" s="43"/>
      <c r="AC56" s="85"/>
      <c r="AD56" s="43"/>
      <c r="AE56" s="85"/>
      <c r="AF56" s="85"/>
      <c r="AG56" s="43"/>
      <c r="AH56" s="85"/>
    </row>
    <row r="57" spans="10:34" x14ac:dyDescent="0.2">
      <c r="J57" s="42"/>
      <c r="K57" s="43"/>
      <c r="L57" s="42"/>
      <c r="M57" s="43"/>
      <c r="N57" s="43"/>
      <c r="O57" s="43"/>
      <c r="P57" s="43"/>
      <c r="R57" s="43"/>
      <c r="S57" s="43"/>
      <c r="T57" s="70"/>
      <c r="U57" s="43"/>
      <c r="V57" s="85"/>
      <c r="W57" s="43"/>
      <c r="X57" s="85"/>
      <c r="Y57" s="43"/>
      <c r="Z57" s="43"/>
      <c r="AA57" s="70"/>
      <c r="AB57" s="43"/>
      <c r="AC57" s="85"/>
      <c r="AD57" s="43"/>
      <c r="AE57" s="85"/>
      <c r="AF57" s="85"/>
      <c r="AG57" s="43"/>
      <c r="AH57" s="85"/>
    </row>
    <row r="58" spans="10:34" x14ac:dyDescent="0.2">
      <c r="J58" s="42"/>
      <c r="K58" s="43"/>
      <c r="L58" s="42"/>
      <c r="M58" s="43"/>
      <c r="N58" s="43"/>
      <c r="O58" s="43"/>
      <c r="P58" s="43"/>
      <c r="R58" s="43"/>
      <c r="S58" s="43"/>
      <c r="T58" s="70"/>
      <c r="U58" s="43"/>
      <c r="V58" s="85"/>
      <c r="W58" s="43"/>
      <c r="X58" s="85"/>
      <c r="Y58" s="43"/>
      <c r="Z58" s="43"/>
      <c r="AA58" s="70"/>
      <c r="AB58" s="43"/>
      <c r="AC58" s="85"/>
      <c r="AD58" s="43"/>
      <c r="AE58" s="85"/>
      <c r="AF58" s="85"/>
      <c r="AG58" s="43"/>
      <c r="AH58" s="85"/>
    </row>
    <row r="59" spans="10:34" x14ac:dyDescent="0.2">
      <c r="J59" s="42"/>
      <c r="K59" s="43"/>
      <c r="L59" s="42"/>
      <c r="M59" s="43"/>
      <c r="N59" s="43"/>
      <c r="O59" s="43"/>
      <c r="P59" s="43"/>
      <c r="R59" s="43"/>
      <c r="S59" s="43"/>
      <c r="T59" s="70"/>
      <c r="U59" s="43"/>
      <c r="V59" s="85"/>
      <c r="W59" s="43"/>
      <c r="X59" s="85"/>
      <c r="Y59" s="43"/>
      <c r="Z59" s="43"/>
      <c r="AA59" s="70"/>
      <c r="AB59" s="43"/>
      <c r="AC59" s="85"/>
      <c r="AD59" s="43"/>
      <c r="AE59" s="85"/>
      <c r="AF59" s="85"/>
      <c r="AG59" s="43"/>
      <c r="AH59" s="85"/>
    </row>
    <row r="60" spans="10:34" x14ac:dyDescent="0.2">
      <c r="J60" s="42"/>
      <c r="K60" s="43"/>
      <c r="L60" s="42"/>
      <c r="M60" s="43"/>
      <c r="N60" s="43"/>
      <c r="O60" s="43"/>
      <c r="P60" s="43"/>
      <c r="R60" s="43"/>
      <c r="S60" s="43"/>
      <c r="T60" s="70"/>
      <c r="U60" s="43"/>
      <c r="V60" s="85"/>
      <c r="W60" s="43"/>
      <c r="X60" s="85"/>
      <c r="Y60" s="43"/>
      <c r="Z60" s="43"/>
      <c r="AA60" s="70"/>
      <c r="AB60" s="43"/>
      <c r="AC60" s="85"/>
      <c r="AD60" s="43"/>
      <c r="AE60" s="85"/>
      <c r="AF60" s="85"/>
      <c r="AG60" s="43"/>
      <c r="AH60" s="85"/>
    </row>
    <row r="61" spans="10:34" x14ac:dyDescent="0.2">
      <c r="J61" s="42"/>
      <c r="K61" s="43"/>
      <c r="L61" s="42"/>
      <c r="M61" s="43"/>
      <c r="N61" s="43"/>
      <c r="O61" s="43"/>
      <c r="P61" s="43"/>
      <c r="R61" s="43"/>
      <c r="S61" s="43"/>
      <c r="T61" s="70"/>
      <c r="U61" s="43"/>
      <c r="V61" s="85"/>
      <c r="W61" s="43"/>
      <c r="X61" s="85"/>
      <c r="Y61" s="43"/>
      <c r="Z61" s="43"/>
      <c r="AA61" s="70"/>
      <c r="AB61" s="43"/>
      <c r="AC61" s="85"/>
      <c r="AD61" s="43"/>
      <c r="AE61" s="85"/>
      <c r="AF61" s="85"/>
      <c r="AG61" s="43"/>
      <c r="AH61" s="85"/>
    </row>
    <row r="62" spans="10:34" x14ac:dyDescent="0.2">
      <c r="J62" s="42"/>
      <c r="K62" s="43"/>
      <c r="L62" s="42"/>
      <c r="M62" s="43"/>
      <c r="N62" s="43"/>
      <c r="O62" s="43"/>
      <c r="P62" s="43"/>
      <c r="R62" s="43"/>
      <c r="S62" s="43"/>
      <c r="T62" s="70"/>
      <c r="U62" s="43"/>
      <c r="V62" s="85"/>
      <c r="W62" s="43"/>
      <c r="X62" s="85"/>
      <c r="Y62" s="43"/>
      <c r="Z62" s="43"/>
      <c r="AA62" s="70"/>
      <c r="AB62" s="43"/>
      <c r="AC62" s="85"/>
      <c r="AD62" s="43"/>
      <c r="AE62" s="85"/>
      <c r="AF62" s="85"/>
      <c r="AG62" s="43"/>
      <c r="AH62" s="85"/>
    </row>
    <row r="63" spans="10:34" x14ac:dyDescent="0.2">
      <c r="J63" s="42"/>
      <c r="K63" s="43"/>
      <c r="L63" s="42"/>
      <c r="M63" s="43"/>
      <c r="N63" s="43"/>
      <c r="O63" s="43"/>
      <c r="P63" s="43"/>
      <c r="R63" s="43"/>
      <c r="S63" s="43"/>
      <c r="T63" s="70"/>
      <c r="U63" s="43"/>
      <c r="V63" s="85"/>
      <c r="W63" s="43"/>
      <c r="X63" s="85"/>
      <c r="Y63" s="43"/>
      <c r="Z63" s="43"/>
      <c r="AA63" s="70"/>
      <c r="AB63" s="43"/>
      <c r="AC63" s="85"/>
      <c r="AD63" s="43"/>
      <c r="AE63" s="85"/>
      <c r="AF63" s="85"/>
      <c r="AG63" s="43"/>
      <c r="AH63" s="85"/>
    </row>
    <row r="64" spans="10:34" x14ac:dyDescent="0.2">
      <c r="J64" s="42"/>
      <c r="K64" s="43"/>
      <c r="L64" s="42"/>
      <c r="M64" s="43"/>
      <c r="N64" s="43"/>
      <c r="O64" s="43"/>
      <c r="P64" s="43"/>
      <c r="R64" s="43"/>
      <c r="S64" s="43"/>
      <c r="T64" s="70"/>
      <c r="U64" s="43"/>
      <c r="V64" s="85"/>
      <c r="W64" s="43"/>
      <c r="X64" s="85"/>
      <c r="Y64" s="43"/>
      <c r="Z64" s="43"/>
      <c r="AA64" s="70"/>
      <c r="AB64" s="43"/>
      <c r="AC64" s="85"/>
      <c r="AD64" s="43"/>
      <c r="AE64" s="85"/>
      <c r="AF64" s="85"/>
      <c r="AG64" s="43"/>
      <c r="AH64" s="85"/>
    </row>
    <row r="65" spans="10:34" x14ac:dyDescent="0.2">
      <c r="J65" s="42"/>
      <c r="K65" s="43"/>
      <c r="L65" s="42"/>
      <c r="M65" s="43"/>
      <c r="N65" s="43"/>
      <c r="O65" s="43"/>
      <c r="P65" s="43"/>
      <c r="R65" s="43"/>
      <c r="S65" s="43"/>
      <c r="T65" s="70"/>
      <c r="U65" s="43"/>
      <c r="V65" s="85"/>
      <c r="W65" s="43"/>
      <c r="X65" s="85"/>
      <c r="Y65" s="43"/>
      <c r="Z65" s="43"/>
      <c r="AA65" s="70"/>
      <c r="AB65" s="43"/>
      <c r="AC65" s="85"/>
      <c r="AD65" s="43"/>
      <c r="AE65" s="85"/>
      <c r="AF65" s="85"/>
      <c r="AG65" s="43"/>
      <c r="AH65" s="85"/>
    </row>
    <row r="66" spans="10:34" x14ac:dyDescent="0.2">
      <c r="J66" s="42"/>
      <c r="K66" s="43"/>
      <c r="L66" s="42"/>
      <c r="M66" s="43"/>
      <c r="N66" s="43"/>
      <c r="O66" s="43"/>
      <c r="P66" s="43"/>
      <c r="R66" s="43"/>
      <c r="S66" s="43"/>
      <c r="T66" s="70"/>
      <c r="U66" s="43"/>
      <c r="V66" s="85"/>
      <c r="W66" s="43"/>
      <c r="X66" s="85"/>
      <c r="Y66" s="43"/>
      <c r="Z66" s="43"/>
      <c r="AA66" s="70"/>
      <c r="AB66" s="43"/>
      <c r="AC66" s="85"/>
      <c r="AD66" s="43"/>
      <c r="AE66" s="85"/>
      <c r="AF66" s="85"/>
      <c r="AG66" s="43"/>
      <c r="AH66" s="85"/>
    </row>
    <row r="67" spans="10:34" x14ac:dyDescent="0.2">
      <c r="J67" s="42"/>
      <c r="K67" s="43"/>
      <c r="L67" s="42"/>
      <c r="M67" s="43"/>
      <c r="N67" s="43"/>
      <c r="O67" s="43"/>
      <c r="P67" s="43"/>
      <c r="R67" s="43"/>
      <c r="S67" s="43"/>
      <c r="T67" s="70"/>
      <c r="U67" s="43"/>
      <c r="V67" s="85"/>
      <c r="W67" s="43"/>
      <c r="X67" s="85"/>
      <c r="Y67" s="43"/>
      <c r="Z67" s="43"/>
      <c r="AA67" s="70"/>
      <c r="AB67" s="43"/>
      <c r="AC67" s="85"/>
      <c r="AD67" s="43"/>
      <c r="AE67" s="85"/>
      <c r="AF67" s="85"/>
      <c r="AG67" s="43"/>
      <c r="AH67" s="85"/>
    </row>
    <row r="68" spans="10:34" x14ac:dyDescent="0.2">
      <c r="J68" s="42"/>
      <c r="K68" s="43"/>
      <c r="L68" s="42"/>
      <c r="M68" s="43"/>
      <c r="N68" s="43"/>
      <c r="O68" s="43"/>
      <c r="P68" s="43"/>
      <c r="R68" s="43"/>
      <c r="S68" s="43"/>
      <c r="T68" s="70"/>
      <c r="U68" s="43"/>
      <c r="V68" s="85"/>
      <c r="W68" s="43"/>
      <c r="X68" s="85"/>
      <c r="Y68" s="43"/>
      <c r="Z68" s="43"/>
      <c r="AA68" s="70"/>
      <c r="AB68" s="43"/>
      <c r="AC68" s="85"/>
      <c r="AD68" s="43"/>
      <c r="AE68" s="85"/>
      <c r="AF68" s="85"/>
      <c r="AG68" s="43"/>
      <c r="AH68" s="85"/>
    </row>
    <row r="69" spans="10:34" x14ac:dyDescent="0.2">
      <c r="J69" s="42"/>
      <c r="K69" s="43"/>
      <c r="L69" s="42"/>
      <c r="M69" s="43"/>
      <c r="N69" s="43"/>
      <c r="O69" s="43"/>
      <c r="P69" s="43"/>
      <c r="R69" s="43"/>
      <c r="S69" s="43"/>
      <c r="T69" s="70"/>
      <c r="U69" s="43"/>
      <c r="V69" s="85"/>
      <c r="W69" s="43"/>
      <c r="X69" s="85"/>
      <c r="Y69" s="43"/>
      <c r="Z69" s="43"/>
      <c r="AA69" s="70"/>
      <c r="AB69" s="43"/>
      <c r="AC69" s="85"/>
      <c r="AD69" s="43"/>
      <c r="AE69" s="85"/>
      <c r="AF69" s="85"/>
      <c r="AG69" s="43"/>
      <c r="AH69" s="85"/>
    </row>
    <row r="70" spans="10:34" x14ac:dyDescent="0.2">
      <c r="J70" s="42"/>
      <c r="K70" s="43"/>
      <c r="L70" s="42"/>
      <c r="M70" s="43"/>
      <c r="N70" s="43"/>
      <c r="O70" s="43"/>
      <c r="P70" s="43"/>
      <c r="R70" s="43"/>
      <c r="S70" s="43"/>
      <c r="T70" s="70"/>
      <c r="U70" s="43"/>
      <c r="V70" s="85"/>
      <c r="W70" s="43"/>
      <c r="X70" s="85"/>
      <c r="Y70" s="43"/>
      <c r="Z70" s="43"/>
      <c r="AA70" s="70"/>
      <c r="AB70" s="43"/>
      <c r="AC70" s="85"/>
      <c r="AD70" s="43"/>
      <c r="AE70" s="85"/>
      <c r="AF70" s="85"/>
      <c r="AG70" s="43"/>
      <c r="AH70" s="85"/>
    </row>
    <row r="71" spans="10:34" x14ac:dyDescent="0.2">
      <c r="J71" s="42"/>
      <c r="K71" s="43"/>
      <c r="L71" s="42"/>
      <c r="M71" s="43"/>
      <c r="N71" s="43"/>
      <c r="O71" s="43"/>
      <c r="P71" s="43"/>
      <c r="R71" s="43"/>
      <c r="S71" s="43"/>
      <c r="T71" s="70"/>
      <c r="U71" s="43"/>
      <c r="V71" s="85"/>
      <c r="W71" s="43"/>
      <c r="X71" s="85"/>
      <c r="Y71" s="43"/>
      <c r="Z71" s="43"/>
      <c r="AA71" s="70"/>
      <c r="AB71" s="43"/>
      <c r="AC71" s="85"/>
      <c r="AD71" s="43"/>
      <c r="AE71" s="85"/>
      <c r="AF71" s="85"/>
      <c r="AG71" s="43"/>
      <c r="AH71" s="85"/>
    </row>
    <row r="72" spans="10:34" x14ac:dyDescent="0.2">
      <c r="J72" s="42"/>
      <c r="K72" s="43"/>
      <c r="L72" s="42"/>
      <c r="M72" s="43"/>
      <c r="N72" s="43"/>
      <c r="O72" s="43"/>
      <c r="P72" s="43"/>
      <c r="R72" s="43"/>
      <c r="S72" s="43"/>
      <c r="T72" s="70"/>
      <c r="U72" s="43"/>
      <c r="V72" s="85"/>
      <c r="W72" s="43"/>
      <c r="X72" s="85"/>
      <c r="Y72" s="43"/>
      <c r="Z72" s="43"/>
      <c r="AA72" s="70"/>
      <c r="AB72" s="43"/>
      <c r="AC72" s="85"/>
      <c r="AD72" s="43"/>
      <c r="AE72" s="85"/>
      <c r="AF72" s="85"/>
      <c r="AG72" s="43"/>
      <c r="AH72" s="85"/>
    </row>
    <row r="73" spans="10:34" x14ac:dyDescent="0.2">
      <c r="J73" s="42"/>
      <c r="K73" s="43"/>
      <c r="L73" s="42"/>
      <c r="M73" s="43"/>
      <c r="N73" s="43"/>
      <c r="O73" s="43"/>
      <c r="P73" s="43"/>
      <c r="R73" s="43"/>
      <c r="S73" s="43"/>
      <c r="T73" s="70"/>
      <c r="U73" s="43"/>
      <c r="V73" s="85"/>
      <c r="W73" s="43"/>
      <c r="X73" s="85"/>
      <c r="Y73" s="43"/>
      <c r="Z73" s="43"/>
      <c r="AA73" s="70"/>
      <c r="AB73" s="43"/>
      <c r="AC73" s="85"/>
      <c r="AD73" s="43"/>
      <c r="AE73" s="85"/>
      <c r="AF73" s="85"/>
      <c r="AG73" s="43"/>
      <c r="AH73" s="85"/>
    </row>
    <row r="74" spans="10:34" x14ac:dyDescent="0.2">
      <c r="J74" s="42"/>
      <c r="K74" s="43"/>
      <c r="L74" s="42"/>
      <c r="M74" s="43"/>
      <c r="N74" s="43"/>
      <c r="O74" s="43"/>
      <c r="P74" s="43"/>
      <c r="R74" s="43"/>
      <c r="S74" s="43"/>
      <c r="T74" s="70"/>
      <c r="U74" s="43"/>
      <c r="V74" s="85"/>
      <c r="W74" s="43"/>
      <c r="X74" s="85"/>
      <c r="Y74" s="43"/>
      <c r="Z74" s="43"/>
      <c r="AA74" s="70"/>
      <c r="AB74" s="43"/>
      <c r="AC74" s="85"/>
      <c r="AD74" s="43"/>
      <c r="AE74" s="85"/>
      <c r="AF74" s="85"/>
      <c r="AG74" s="43"/>
      <c r="AH74" s="85"/>
    </row>
    <row r="75" spans="10:34" x14ac:dyDescent="0.2">
      <c r="J75" s="42"/>
      <c r="K75" s="43"/>
      <c r="L75" s="42"/>
      <c r="M75" s="43"/>
      <c r="N75" s="43"/>
      <c r="O75" s="43"/>
      <c r="P75" s="43"/>
      <c r="R75" s="43"/>
      <c r="S75" s="43"/>
      <c r="T75" s="70"/>
      <c r="U75" s="43"/>
      <c r="V75" s="85"/>
      <c r="W75" s="43"/>
      <c r="X75" s="85"/>
      <c r="Y75" s="43"/>
      <c r="Z75" s="43"/>
      <c r="AA75" s="70"/>
      <c r="AB75" s="43"/>
      <c r="AC75" s="85"/>
      <c r="AD75" s="43"/>
      <c r="AE75" s="85"/>
      <c r="AF75" s="85"/>
      <c r="AG75" s="43"/>
      <c r="AH75" s="85"/>
    </row>
    <row r="76" spans="10:34" x14ac:dyDescent="0.2">
      <c r="J76" s="42"/>
      <c r="K76" s="43"/>
      <c r="L76" s="42"/>
      <c r="M76" s="43"/>
      <c r="N76" s="43"/>
      <c r="O76" s="43"/>
      <c r="P76" s="43"/>
      <c r="R76" s="43"/>
      <c r="S76" s="43"/>
      <c r="T76" s="70"/>
      <c r="U76" s="43"/>
      <c r="V76" s="85"/>
      <c r="W76" s="43"/>
      <c r="X76" s="85"/>
      <c r="Y76" s="43"/>
      <c r="Z76" s="43"/>
      <c r="AA76" s="70"/>
      <c r="AB76" s="43"/>
      <c r="AC76" s="85"/>
      <c r="AD76" s="43"/>
      <c r="AE76" s="85"/>
      <c r="AF76" s="85"/>
      <c r="AG76" s="43"/>
      <c r="AH76" s="85"/>
    </row>
    <row r="77" spans="10:34" x14ac:dyDescent="0.2">
      <c r="J77" s="42"/>
      <c r="K77" s="43"/>
      <c r="L77" s="42"/>
      <c r="M77" s="43"/>
      <c r="N77" s="43"/>
      <c r="O77" s="43"/>
      <c r="P77" s="43"/>
      <c r="R77" s="43"/>
      <c r="S77" s="43"/>
      <c r="T77" s="70"/>
      <c r="U77" s="43"/>
      <c r="V77" s="85"/>
      <c r="W77" s="43"/>
      <c r="X77" s="85"/>
      <c r="Y77" s="43"/>
      <c r="Z77" s="43"/>
      <c r="AA77" s="70"/>
      <c r="AB77" s="43"/>
      <c r="AC77" s="85"/>
      <c r="AD77" s="43"/>
      <c r="AE77" s="85"/>
      <c r="AF77" s="85"/>
      <c r="AG77" s="43"/>
      <c r="AH77" s="85"/>
    </row>
    <row r="78" spans="10:34" x14ac:dyDescent="0.2">
      <c r="J78" s="42"/>
      <c r="K78" s="43"/>
      <c r="L78" s="42"/>
      <c r="M78" s="43"/>
      <c r="N78" s="43"/>
      <c r="O78" s="43"/>
      <c r="P78" s="43"/>
      <c r="R78" s="43"/>
      <c r="S78" s="43"/>
      <c r="T78" s="70"/>
      <c r="U78" s="43"/>
      <c r="V78" s="85"/>
      <c r="W78" s="43"/>
      <c r="X78" s="85"/>
      <c r="Y78" s="43"/>
      <c r="Z78" s="43"/>
      <c r="AA78" s="70"/>
      <c r="AB78" s="43"/>
      <c r="AC78" s="85"/>
      <c r="AD78" s="43"/>
      <c r="AE78" s="85"/>
      <c r="AF78" s="85"/>
      <c r="AG78" s="43"/>
      <c r="AH78" s="85"/>
    </row>
    <row r="79" spans="10:34" x14ac:dyDescent="0.2">
      <c r="J79" s="42"/>
      <c r="K79" s="43"/>
      <c r="L79" s="42"/>
      <c r="M79" s="43"/>
      <c r="N79" s="43"/>
      <c r="O79" s="43"/>
      <c r="P79" s="43"/>
      <c r="R79" s="43"/>
      <c r="S79" s="43"/>
      <c r="T79" s="70"/>
      <c r="U79" s="43"/>
      <c r="V79" s="85"/>
      <c r="W79" s="43"/>
      <c r="X79" s="85"/>
      <c r="Y79" s="43"/>
      <c r="Z79" s="43"/>
      <c r="AA79" s="70"/>
      <c r="AB79" s="43"/>
      <c r="AC79" s="85"/>
      <c r="AD79" s="43"/>
      <c r="AE79" s="85"/>
      <c r="AF79" s="85"/>
      <c r="AG79" s="43"/>
      <c r="AH79" s="85"/>
    </row>
    <row r="80" spans="10:34" x14ac:dyDescent="0.2">
      <c r="J80" s="42"/>
      <c r="K80" s="43"/>
      <c r="L80" s="42"/>
      <c r="M80" s="43"/>
      <c r="N80" s="43"/>
      <c r="O80" s="43"/>
      <c r="P80" s="43"/>
      <c r="R80" s="43"/>
      <c r="S80" s="43"/>
      <c r="T80" s="70"/>
      <c r="U80" s="43"/>
      <c r="V80" s="85"/>
      <c r="W80" s="43"/>
      <c r="X80" s="85"/>
      <c r="Y80" s="43"/>
      <c r="Z80" s="43"/>
      <c r="AA80" s="70"/>
      <c r="AB80" s="43"/>
      <c r="AC80" s="85"/>
      <c r="AD80" s="43"/>
      <c r="AE80" s="85"/>
      <c r="AF80" s="85"/>
      <c r="AG80" s="43"/>
      <c r="AH80" s="85"/>
    </row>
    <row r="81" spans="10:34" x14ac:dyDescent="0.2">
      <c r="J81" s="42"/>
      <c r="K81" s="43"/>
      <c r="L81" s="42"/>
      <c r="M81" s="43"/>
      <c r="N81" s="43"/>
      <c r="O81" s="43"/>
      <c r="P81" s="43"/>
      <c r="R81" s="43"/>
      <c r="S81" s="43"/>
      <c r="T81" s="70"/>
      <c r="U81" s="43"/>
      <c r="V81" s="85"/>
      <c r="W81" s="43"/>
      <c r="X81" s="85"/>
      <c r="Y81" s="43"/>
      <c r="Z81" s="43"/>
      <c r="AA81" s="70"/>
      <c r="AB81" s="43"/>
      <c r="AC81" s="85"/>
      <c r="AD81" s="43"/>
      <c r="AE81" s="85"/>
      <c r="AF81" s="85"/>
      <c r="AG81" s="43"/>
      <c r="AH81" s="85"/>
    </row>
    <row r="82" spans="10:34" x14ac:dyDescent="0.2">
      <c r="J82" s="42"/>
      <c r="K82" s="43"/>
      <c r="L82" s="42"/>
      <c r="M82" s="43"/>
      <c r="N82" s="43"/>
      <c r="O82" s="43"/>
      <c r="P82" s="43"/>
      <c r="R82" s="43"/>
      <c r="S82" s="43"/>
      <c r="T82" s="70"/>
      <c r="U82" s="43"/>
      <c r="V82" s="85"/>
      <c r="W82" s="43"/>
      <c r="X82" s="85"/>
      <c r="Y82" s="43"/>
      <c r="Z82" s="43"/>
      <c r="AA82" s="70"/>
      <c r="AB82" s="43"/>
      <c r="AC82" s="85"/>
      <c r="AD82" s="43"/>
      <c r="AE82" s="85"/>
      <c r="AF82" s="85"/>
      <c r="AG82" s="43"/>
      <c r="AH82" s="85"/>
    </row>
    <row r="83" spans="10:34" x14ac:dyDescent="0.2">
      <c r="J83" s="42"/>
      <c r="K83" s="43"/>
      <c r="L83" s="42"/>
      <c r="M83" s="43"/>
      <c r="N83" s="43"/>
      <c r="O83" s="43"/>
      <c r="P83" s="43"/>
      <c r="R83" s="43"/>
      <c r="S83" s="43"/>
      <c r="T83" s="70"/>
      <c r="U83" s="43"/>
      <c r="V83" s="85"/>
      <c r="W83" s="43"/>
      <c r="X83" s="85"/>
      <c r="Y83" s="43"/>
      <c r="Z83" s="43"/>
      <c r="AA83" s="70"/>
      <c r="AB83" s="43"/>
      <c r="AC83" s="85"/>
      <c r="AD83" s="43"/>
      <c r="AE83" s="85"/>
      <c r="AF83" s="85"/>
      <c r="AG83" s="43"/>
      <c r="AH83" s="85"/>
    </row>
    <row r="84" spans="10:34" x14ac:dyDescent="0.2">
      <c r="J84" s="42"/>
      <c r="K84" s="43"/>
      <c r="L84" s="42"/>
      <c r="M84" s="43"/>
      <c r="N84" s="43"/>
      <c r="O84" s="43"/>
      <c r="P84" s="43"/>
      <c r="R84" s="43"/>
      <c r="S84" s="43"/>
      <c r="T84" s="70"/>
      <c r="U84" s="43"/>
      <c r="V84" s="85"/>
      <c r="W84" s="43"/>
      <c r="X84" s="85"/>
      <c r="Y84" s="43"/>
      <c r="Z84" s="43"/>
      <c r="AA84" s="70"/>
      <c r="AB84" s="43"/>
      <c r="AC84" s="85"/>
      <c r="AD84" s="43"/>
      <c r="AE84" s="85"/>
      <c r="AF84" s="85"/>
      <c r="AG84" s="43"/>
      <c r="AH84" s="85"/>
    </row>
    <row r="85" spans="10:34" x14ac:dyDescent="0.2">
      <c r="J85" s="42"/>
      <c r="K85" s="43"/>
      <c r="L85" s="42"/>
      <c r="M85" s="43"/>
      <c r="N85" s="43"/>
      <c r="O85" s="43"/>
      <c r="P85" s="43"/>
      <c r="R85" s="43"/>
      <c r="S85" s="43"/>
      <c r="T85" s="70"/>
      <c r="U85" s="43"/>
      <c r="V85" s="85"/>
      <c r="W85" s="43"/>
      <c r="X85" s="85"/>
      <c r="Y85" s="43"/>
      <c r="Z85" s="43"/>
      <c r="AA85" s="70"/>
      <c r="AB85" s="43"/>
      <c r="AC85" s="85"/>
      <c r="AD85" s="43"/>
      <c r="AE85" s="85"/>
      <c r="AF85" s="85"/>
      <c r="AG85" s="43"/>
      <c r="AH85" s="85"/>
    </row>
    <row r="86" spans="10:34" x14ac:dyDescent="0.2">
      <c r="J86" s="42"/>
      <c r="K86" s="43"/>
      <c r="L86" s="42"/>
      <c r="M86" s="43"/>
      <c r="N86" s="43"/>
      <c r="O86" s="43"/>
      <c r="P86" s="43"/>
      <c r="R86" s="43"/>
      <c r="S86" s="43"/>
      <c r="T86" s="70"/>
      <c r="U86" s="43"/>
      <c r="V86" s="85"/>
      <c r="W86" s="43"/>
      <c r="X86" s="85"/>
      <c r="Y86" s="43"/>
      <c r="Z86" s="43"/>
      <c r="AA86" s="70"/>
      <c r="AB86" s="43"/>
      <c r="AC86" s="85"/>
      <c r="AD86" s="43"/>
      <c r="AE86" s="85"/>
      <c r="AF86" s="85"/>
      <c r="AG86" s="43"/>
      <c r="AH86" s="85"/>
    </row>
    <row r="87" spans="10:34" x14ac:dyDescent="0.2">
      <c r="J87" s="42"/>
      <c r="K87" s="43"/>
      <c r="L87" s="42"/>
      <c r="M87" s="43"/>
      <c r="N87" s="43"/>
      <c r="O87" s="43"/>
      <c r="P87" s="43"/>
      <c r="R87" s="43"/>
      <c r="S87" s="43"/>
      <c r="T87" s="70"/>
      <c r="U87" s="43"/>
      <c r="V87" s="85"/>
      <c r="W87" s="43"/>
      <c r="X87" s="85"/>
      <c r="Y87" s="43"/>
      <c r="Z87" s="43"/>
      <c r="AA87" s="70"/>
      <c r="AB87" s="43"/>
      <c r="AC87" s="85"/>
      <c r="AD87" s="43"/>
      <c r="AE87" s="85"/>
      <c r="AF87" s="85"/>
      <c r="AG87" s="43"/>
      <c r="AH87" s="85"/>
    </row>
    <row r="88" spans="10:34" x14ac:dyDescent="0.2">
      <c r="J88" s="42"/>
      <c r="K88" s="43"/>
      <c r="L88" s="42"/>
      <c r="M88" s="43"/>
      <c r="N88" s="43"/>
      <c r="O88" s="43"/>
      <c r="P88" s="43"/>
      <c r="R88" s="43"/>
      <c r="S88" s="43"/>
      <c r="T88" s="70"/>
      <c r="U88" s="43"/>
      <c r="V88" s="85"/>
      <c r="W88" s="43"/>
      <c r="X88" s="85"/>
      <c r="Y88" s="43"/>
      <c r="Z88" s="43"/>
      <c r="AA88" s="70"/>
      <c r="AB88" s="43"/>
      <c r="AC88" s="85"/>
      <c r="AD88" s="43"/>
      <c r="AE88" s="85"/>
      <c r="AF88" s="85"/>
      <c r="AG88" s="43"/>
      <c r="AH88" s="85"/>
    </row>
    <row r="89" spans="10:34" x14ac:dyDescent="0.2">
      <c r="J89" s="42"/>
      <c r="K89" s="43"/>
      <c r="L89" s="42"/>
      <c r="M89" s="43"/>
      <c r="N89" s="43"/>
      <c r="O89" s="43"/>
      <c r="P89" s="43"/>
      <c r="R89" s="43"/>
      <c r="S89" s="43"/>
      <c r="T89" s="70"/>
      <c r="U89" s="43"/>
      <c r="V89" s="85"/>
      <c r="W89" s="43"/>
      <c r="X89" s="85"/>
      <c r="Y89" s="43"/>
      <c r="Z89" s="43"/>
      <c r="AA89" s="70"/>
      <c r="AB89" s="43"/>
      <c r="AC89" s="85"/>
      <c r="AD89" s="43"/>
      <c r="AE89" s="85"/>
      <c r="AF89" s="85"/>
      <c r="AG89" s="43"/>
      <c r="AH89" s="85"/>
    </row>
    <row r="90" spans="10:34" x14ac:dyDescent="0.2">
      <c r="J90" s="42"/>
      <c r="K90" s="43"/>
      <c r="L90" s="42"/>
      <c r="M90" s="43"/>
      <c r="N90" s="43"/>
      <c r="O90" s="43"/>
      <c r="P90" s="43"/>
      <c r="R90" s="43"/>
      <c r="S90" s="43"/>
      <c r="T90" s="70"/>
      <c r="U90" s="43"/>
      <c r="V90" s="85"/>
      <c r="W90" s="43"/>
      <c r="X90" s="85"/>
      <c r="Y90" s="43"/>
      <c r="Z90" s="43"/>
      <c r="AA90" s="70"/>
      <c r="AB90" s="43"/>
      <c r="AC90" s="85"/>
      <c r="AD90" s="43"/>
      <c r="AE90" s="85"/>
      <c r="AF90" s="85"/>
      <c r="AG90" s="43"/>
      <c r="AH90" s="85"/>
    </row>
    <row r="91" spans="10:34" x14ac:dyDescent="0.2">
      <c r="J91" s="42"/>
      <c r="K91" s="43"/>
      <c r="L91" s="42"/>
      <c r="M91" s="43"/>
      <c r="N91" s="43"/>
      <c r="O91" s="43"/>
      <c r="P91" s="43"/>
      <c r="R91" s="43"/>
      <c r="S91" s="43"/>
      <c r="T91" s="70"/>
      <c r="U91" s="43"/>
      <c r="V91" s="85"/>
      <c r="W91" s="43"/>
      <c r="X91" s="85"/>
      <c r="Y91" s="43"/>
      <c r="Z91" s="43"/>
      <c r="AA91" s="70"/>
      <c r="AB91" s="43"/>
      <c r="AC91" s="85"/>
      <c r="AD91" s="43"/>
      <c r="AE91" s="85"/>
      <c r="AF91" s="85"/>
      <c r="AG91" s="43"/>
      <c r="AH91" s="85"/>
    </row>
    <row r="92" spans="10:34" x14ac:dyDescent="0.2">
      <c r="J92" s="42"/>
      <c r="K92" s="43"/>
      <c r="L92" s="42"/>
      <c r="M92" s="43"/>
      <c r="N92" s="43"/>
      <c r="O92" s="43"/>
      <c r="P92" s="43"/>
      <c r="R92" s="43"/>
      <c r="S92" s="43"/>
      <c r="T92" s="70"/>
      <c r="U92" s="43"/>
      <c r="V92" s="85"/>
      <c r="W92" s="43"/>
      <c r="X92" s="85"/>
      <c r="Y92" s="43"/>
      <c r="Z92" s="43"/>
      <c r="AA92" s="70"/>
      <c r="AB92" s="43"/>
      <c r="AC92" s="85"/>
      <c r="AD92" s="43"/>
      <c r="AE92" s="85"/>
      <c r="AF92" s="85"/>
      <c r="AG92" s="43"/>
      <c r="AH92" s="85"/>
    </row>
    <row r="93" spans="10:34" x14ac:dyDescent="0.2">
      <c r="J93" s="42"/>
      <c r="K93" s="43"/>
      <c r="L93" s="42"/>
      <c r="M93" s="43"/>
      <c r="N93" s="43"/>
      <c r="O93" s="43"/>
      <c r="P93" s="43"/>
      <c r="R93" s="43"/>
      <c r="S93" s="43"/>
      <c r="T93" s="70"/>
      <c r="U93" s="43"/>
      <c r="V93" s="85"/>
      <c r="W93" s="43"/>
      <c r="X93" s="85"/>
      <c r="Y93" s="43"/>
      <c r="Z93" s="43"/>
      <c r="AA93" s="70"/>
      <c r="AB93" s="43"/>
      <c r="AC93" s="85"/>
      <c r="AD93" s="43"/>
      <c r="AE93" s="85"/>
      <c r="AF93" s="85"/>
      <c r="AG93" s="43"/>
      <c r="AH93" s="85"/>
    </row>
    <row r="94" spans="10:34" x14ac:dyDescent="0.2">
      <c r="J94" s="42"/>
      <c r="K94" s="43"/>
      <c r="L94" s="42"/>
      <c r="M94" s="43"/>
      <c r="N94" s="43"/>
      <c r="O94" s="43"/>
      <c r="P94" s="43"/>
      <c r="R94" s="43"/>
      <c r="S94" s="43"/>
      <c r="T94" s="70"/>
      <c r="U94" s="43"/>
      <c r="V94" s="85"/>
      <c r="W94" s="43"/>
      <c r="X94" s="85"/>
      <c r="Y94" s="43"/>
      <c r="Z94" s="43"/>
      <c r="AA94" s="70"/>
      <c r="AB94" s="43"/>
      <c r="AC94" s="85"/>
      <c r="AD94" s="43"/>
      <c r="AE94" s="85"/>
      <c r="AF94" s="85"/>
      <c r="AG94" s="43"/>
      <c r="AH94" s="85"/>
    </row>
    <row r="95" spans="10:34" x14ac:dyDescent="0.2">
      <c r="J95" s="42"/>
      <c r="K95" s="43"/>
      <c r="L95" s="42"/>
      <c r="M95" s="43"/>
      <c r="N95" s="43"/>
      <c r="O95" s="43"/>
      <c r="P95" s="43"/>
      <c r="R95" s="43"/>
      <c r="S95" s="43"/>
      <c r="T95" s="70"/>
      <c r="U95" s="43"/>
      <c r="V95" s="85"/>
      <c r="W95" s="43"/>
      <c r="X95" s="85"/>
      <c r="Y95" s="43"/>
      <c r="Z95" s="43"/>
      <c r="AA95" s="70"/>
      <c r="AB95" s="43"/>
      <c r="AC95" s="85"/>
      <c r="AD95" s="43"/>
      <c r="AE95" s="85"/>
      <c r="AF95" s="85"/>
      <c r="AG95" s="43"/>
      <c r="AH95" s="85"/>
    </row>
    <row r="96" spans="10:34" x14ac:dyDescent="0.2">
      <c r="J96" s="42"/>
      <c r="K96" s="43"/>
      <c r="L96" s="42"/>
      <c r="M96" s="43"/>
      <c r="N96" s="43"/>
      <c r="O96" s="43"/>
      <c r="P96" s="43"/>
      <c r="R96" s="43"/>
      <c r="S96" s="43"/>
      <c r="T96" s="70"/>
      <c r="U96" s="43"/>
      <c r="V96" s="85"/>
      <c r="W96" s="43"/>
      <c r="X96" s="85"/>
      <c r="Y96" s="43"/>
      <c r="Z96" s="43"/>
      <c r="AA96" s="70"/>
      <c r="AB96" s="43"/>
      <c r="AC96" s="85"/>
      <c r="AD96" s="43"/>
      <c r="AE96" s="85"/>
      <c r="AF96" s="85"/>
      <c r="AG96" s="43"/>
      <c r="AH96" s="85"/>
    </row>
    <row r="97" spans="10:34" x14ac:dyDescent="0.2">
      <c r="J97" s="42"/>
      <c r="K97" s="43"/>
      <c r="L97" s="42"/>
      <c r="M97" s="43"/>
      <c r="N97" s="43"/>
      <c r="O97" s="43"/>
      <c r="P97" s="43"/>
      <c r="R97" s="43"/>
      <c r="S97" s="43"/>
      <c r="T97" s="70"/>
      <c r="U97" s="43"/>
      <c r="V97" s="85"/>
      <c r="W97" s="43"/>
      <c r="X97" s="85"/>
      <c r="Y97" s="43"/>
      <c r="Z97" s="43"/>
      <c r="AA97" s="70"/>
      <c r="AB97" s="43"/>
      <c r="AC97" s="85"/>
      <c r="AD97" s="43"/>
      <c r="AE97" s="85"/>
      <c r="AF97" s="85"/>
      <c r="AG97" s="43"/>
      <c r="AH97" s="85"/>
    </row>
    <row r="98" spans="10:34" x14ac:dyDescent="0.2">
      <c r="J98" s="42"/>
      <c r="K98" s="43"/>
      <c r="L98" s="42"/>
      <c r="M98" s="43"/>
      <c r="N98" s="43"/>
      <c r="O98" s="43"/>
      <c r="P98" s="43"/>
      <c r="R98" s="43"/>
      <c r="S98" s="43"/>
      <c r="T98" s="70"/>
      <c r="U98" s="43"/>
      <c r="V98" s="85"/>
      <c r="W98" s="43"/>
      <c r="X98" s="85"/>
      <c r="Y98" s="43"/>
      <c r="Z98" s="43"/>
      <c r="AA98" s="70"/>
      <c r="AB98" s="43"/>
      <c r="AC98" s="85"/>
      <c r="AD98" s="43"/>
      <c r="AE98" s="85"/>
      <c r="AF98" s="85"/>
      <c r="AG98" s="43"/>
      <c r="AH98" s="85"/>
    </row>
    <row r="99" spans="10:34" x14ac:dyDescent="0.2">
      <c r="J99" s="42"/>
      <c r="K99" s="43"/>
      <c r="L99" s="42"/>
      <c r="M99" s="43"/>
      <c r="N99" s="43"/>
      <c r="O99" s="43"/>
      <c r="P99" s="43"/>
      <c r="R99" s="43"/>
      <c r="S99" s="43"/>
      <c r="T99" s="70"/>
      <c r="U99" s="43"/>
      <c r="V99" s="85"/>
      <c r="W99" s="43"/>
      <c r="X99" s="85"/>
      <c r="Y99" s="43"/>
      <c r="Z99" s="43"/>
      <c r="AA99" s="70"/>
      <c r="AB99" s="43"/>
      <c r="AC99" s="85"/>
      <c r="AD99" s="43"/>
      <c r="AE99" s="85"/>
      <c r="AF99" s="85"/>
      <c r="AG99" s="43"/>
      <c r="AH99" s="85"/>
    </row>
    <row r="100" spans="10:34" x14ac:dyDescent="0.2">
      <c r="J100" s="42"/>
      <c r="K100" s="43"/>
      <c r="L100" s="42"/>
      <c r="M100" s="43"/>
      <c r="N100" s="43"/>
      <c r="O100" s="43"/>
      <c r="P100" s="43"/>
      <c r="R100" s="43"/>
      <c r="S100" s="43"/>
      <c r="T100" s="70"/>
      <c r="U100" s="43"/>
      <c r="V100" s="85"/>
      <c r="W100" s="43"/>
      <c r="X100" s="85"/>
      <c r="Y100" s="43"/>
      <c r="Z100" s="43"/>
      <c r="AA100" s="70"/>
      <c r="AB100" s="43"/>
      <c r="AC100" s="85"/>
      <c r="AD100" s="43"/>
      <c r="AE100" s="85"/>
      <c r="AF100" s="85"/>
      <c r="AG100" s="43"/>
      <c r="AH100" s="85"/>
    </row>
    <row r="101" spans="10:34" x14ac:dyDescent="0.2">
      <c r="J101" s="42"/>
      <c r="K101" s="43"/>
      <c r="L101" s="42"/>
      <c r="M101" s="43"/>
      <c r="N101" s="43"/>
      <c r="O101" s="43"/>
      <c r="P101" s="43"/>
      <c r="R101" s="43"/>
      <c r="S101" s="43"/>
      <c r="T101" s="70"/>
      <c r="U101" s="43"/>
      <c r="V101" s="85"/>
      <c r="W101" s="43"/>
      <c r="X101" s="85"/>
      <c r="Y101" s="43"/>
      <c r="Z101" s="43"/>
      <c r="AA101" s="70"/>
      <c r="AB101" s="43"/>
      <c r="AC101" s="85"/>
      <c r="AD101" s="43"/>
      <c r="AE101" s="85"/>
      <c r="AF101" s="85"/>
      <c r="AG101" s="43"/>
      <c r="AH101" s="85"/>
    </row>
    <row r="102" spans="10:34" x14ac:dyDescent="0.2">
      <c r="J102" s="42"/>
      <c r="K102" s="43"/>
      <c r="L102" s="42"/>
      <c r="M102" s="43"/>
      <c r="N102" s="43"/>
      <c r="O102" s="43"/>
      <c r="P102" s="43"/>
      <c r="R102" s="43"/>
      <c r="S102" s="43"/>
      <c r="T102" s="70"/>
      <c r="U102" s="43"/>
      <c r="V102" s="85"/>
      <c r="W102" s="43"/>
      <c r="X102" s="85"/>
      <c r="Y102" s="43"/>
      <c r="Z102" s="43"/>
      <c r="AA102" s="70"/>
      <c r="AB102" s="43"/>
      <c r="AC102" s="85"/>
      <c r="AD102" s="43"/>
      <c r="AE102" s="85"/>
      <c r="AF102" s="85"/>
      <c r="AG102" s="43"/>
      <c r="AH102" s="85"/>
    </row>
    <row r="103" spans="10:34" x14ac:dyDescent="0.2">
      <c r="J103" s="42"/>
      <c r="K103" s="43"/>
      <c r="L103" s="42"/>
      <c r="M103" s="43"/>
      <c r="N103" s="43"/>
      <c r="O103" s="43"/>
      <c r="P103" s="43"/>
      <c r="R103" s="43"/>
      <c r="S103" s="43"/>
      <c r="T103" s="70"/>
      <c r="U103" s="43"/>
      <c r="V103" s="85"/>
      <c r="W103" s="43"/>
      <c r="X103" s="85"/>
      <c r="Y103" s="43"/>
      <c r="Z103" s="43"/>
      <c r="AA103" s="70"/>
      <c r="AB103" s="43"/>
      <c r="AC103" s="85"/>
      <c r="AD103" s="43"/>
      <c r="AE103" s="85"/>
      <c r="AF103" s="85"/>
      <c r="AG103" s="43"/>
      <c r="AH103" s="85"/>
    </row>
    <row r="104" spans="10:34" x14ac:dyDescent="0.2">
      <c r="J104" s="42"/>
      <c r="K104" s="43"/>
      <c r="L104" s="42"/>
      <c r="M104" s="43"/>
      <c r="N104" s="43"/>
      <c r="O104" s="43"/>
      <c r="P104" s="43"/>
      <c r="R104" s="43"/>
      <c r="S104" s="43"/>
      <c r="T104" s="70"/>
      <c r="U104" s="43"/>
      <c r="V104" s="85"/>
      <c r="W104" s="43"/>
      <c r="X104" s="85"/>
      <c r="Y104" s="43"/>
      <c r="Z104" s="43"/>
      <c r="AA104" s="70"/>
      <c r="AB104" s="43"/>
      <c r="AC104" s="85"/>
      <c r="AD104" s="43"/>
      <c r="AE104" s="85"/>
      <c r="AF104" s="85"/>
      <c r="AG104" s="43"/>
      <c r="AH104" s="85"/>
    </row>
    <row r="105" spans="10:34" x14ac:dyDescent="0.2">
      <c r="J105" s="42"/>
      <c r="K105" s="43"/>
      <c r="L105" s="42"/>
      <c r="M105" s="43"/>
      <c r="N105" s="43"/>
      <c r="O105" s="43"/>
      <c r="P105" s="43"/>
      <c r="R105" s="43"/>
      <c r="S105" s="43"/>
      <c r="T105" s="70"/>
      <c r="U105" s="43"/>
      <c r="V105" s="85"/>
      <c r="W105" s="43"/>
      <c r="X105" s="85"/>
      <c r="Y105" s="43"/>
      <c r="Z105" s="43"/>
      <c r="AA105" s="70"/>
      <c r="AB105" s="43"/>
      <c r="AC105" s="85"/>
      <c r="AD105" s="43"/>
      <c r="AE105" s="85"/>
      <c r="AF105" s="85"/>
      <c r="AG105" s="43"/>
      <c r="AH105" s="85"/>
    </row>
    <row r="106" spans="10:34" x14ac:dyDescent="0.2">
      <c r="J106" s="42"/>
      <c r="K106" s="43"/>
      <c r="L106" s="42"/>
      <c r="M106" s="43"/>
      <c r="N106" s="43"/>
      <c r="O106" s="43"/>
      <c r="P106" s="43"/>
      <c r="R106" s="43"/>
      <c r="S106" s="43"/>
      <c r="T106" s="70"/>
      <c r="U106" s="43"/>
      <c r="V106" s="85"/>
      <c r="W106" s="43"/>
      <c r="X106" s="85"/>
      <c r="Y106" s="43"/>
      <c r="Z106" s="43"/>
      <c r="AA106" s="70"/>
      <c r="AB106" s="43"/>
      <c r="AC106" s="85"/>
      <c r="AD106" s="43"/>
      <c r="AE106" s="85"/>
      <c r="AF106" s="85"/>
      <c r="AG106" s="43"/>
      <c r="AH106" s="85"/>
    </row>
    <row r="107" spans="10:34" x14ac:dyDescent="0.2">
      <c r="J107" s="42"/>
      <c r="K107" s="43"/>
      <c r="L107" s="42"/>
      <c r="M107" s="43"/>
      <c r="N107" s="43"/>
      <c r="O107" s="43"/>
      <c r="P107" s="43"/>
      <c r="R107" s="43"/>
      <c r="S107" s="43"/>
      <c r="T107" s="70"/>
      <c r="U107" s="43"/>
      <c r="V107" s="85"/>
      <c r="W107" s="43"/>
      <c r="X107" s="85"/>
      <c r="Y107" s="43"/>
      <c r="Z107" s="43"/>
      <c r="AA107" s="70"/>
      <c r="AB107" s="43"/>
      <c r="AC107" s="85"/>
      <c r="AD107" s="43"/>
      <c r="AE107" s="85"/>
      <c r="AF107" s="85"/>
      <c r="AG107" s="43"/>
      <c r="AH107" s="85"/>
    </row>
    <row r="108" spans="10:34" x14ac:dyDescent="0.2">
      <c r="J108" s="42"/>
      <c r="K108" s="43"/>
      <c r="L108" s="42"/>
      <c r="M108" s="43"/>
      <c r="N108" s="43"/>
      <c r="O108" s="43"/>
      <c r="P108" s="43"/>
      <c r="R108" s="43"/>
      <c r="S108" s="43"/>
      <c r="T108" s="70"/>
      <c r="U108" s="43"/>
      <c r="V108" s="85"/>
      <c r="W108" s="43"/>
      <c r="X108" s="85"/>
      <c r="Y108" s="43"/>
      <c r="Z108" s="43"/>
      <c r="AA108" s="70"/>
      <c r="AB108" s="43"/>
      <c r="AC108" s="85"/>
      <c r="AD108" s="43"/>
      <c r="AE108" s="85"/>
      <c r="AF108" s="85"/>
      <c r="AG108" s="43"/>
      <c r="AH108" s="85"/>
    </row>
    <row r="109" spans="10:34" x14ac:dyDescent="0.2">
      <c r="J109" s="42"/>
      <c r="K109" s="43"/>
      <c r="L109" s="42"/>
      <c r="M109" s="43"/>
      <c r="N109" s="43"/>
      <c r="O109" s="43"/>
      <c r="P109" s="43"/>
      <c r="R109" s="43"/>
      <c r="S109" s="43"/>
      <c r="T109" s="70"/>
      <c r="U109" s="43"/>
      <c r="V109" s="85"/>
      <c r="W109" s="43"/>
      <c r="X109" s="85"/>
      <c r="Y109" s="43"/>
      <c r="Z109" s="43"/>
      <c r="AA109" s="70"/>
      <c r="AB109" s="43"/>
      <c r="AC109" s="85"/>
      <c r="AD109" s="43"/>
      <c r="AE109" s="85"/>
      <c r="AF109" s="85"/>
      <c r="AG109" s="43"/>
      <c r="AH109" s="85"/>
    </row>
    <row r="110" spans="10:34" x14ac:dyDescent="0.2">
      <c r="J110" s="42"/>
      <c r="K110" s="43"/>
      <c r="L110" s="42"/>
      <c r="M110" s="43"/>
      <c r="N110" s="43"/>
      <c r="O110" s="43"/>
      <c r="P110" s="43"/>
      <c r="R110" s="43"/>
      <c r="S110" s="43"/>
      <c r="T110" s="70"/>
      <c r="U110" s="43"/>
      <c r="V110" s="85"/>
      <c r="W110" s="43"/>
      <c r="X110" s="85"/>
      <c r="Y110" s="43"/>
      <c r="Z110" s="43"/>
      <c r="AA110" s="70"/>
      <c r="AB110" s="43"/>
      <c r="AC110" s="85"/>
      <c r="AD110" s="43"/>
      <c r="AE110" s="85"/>
      <c r="AF110" s="85"/>
      <c r="AG110" s="43"/>
      <c r="AH110" s="85"/>
    </row>
    <row r="111" spans="10:34" x14ac:dyDescent="0.2">
      <c r="J111" s="42"/>
      <c r="K111" s="43"/>
      <c r="L111" s="42"/>
      <c r="M111" s="43"/>
      <c r="N111" s="43"/>
      <c r="O111" s="43"/>
      <c r="P111" s="43"/>
      <c r="R111" s="43"/>
      <c r="S111" s="43"/>
      <c r="T111" s="70"/>
      <c r="U111" s="43"/>
      <c r="V111" s="85"/>
      <c r="W111" s="43"/>
      <c r="X111" s="85"/>
      <c r="Y111" s="43"/>
      <c r="Z111" s="43"/>
      <c r="AA111" s="70"/>
      <c r="AB111" s="43"/>
      <c r="AC111" s="85"/>
      <c r="AD111" s="43"/>
      <c r="AE111" s="85"/>
      <c r="AF111" s="85"/>
      <c r="AG111" s="43"/>
      <c r="AH111" s="85"/>
    </row>
    <row r="112" spans="10:34" x14ac:dyDescent="0.2">
      <c r="J112" s="42"/>
      <c r="K112" s="43"/>
      <c r="L112" s="42"/>
      <c r="M112" s="43"/>
      <c r="N112" s="43"/>
      <c r="O112" s="43"/>
      <c r="P112" s="43"/>
      <c r="R112" s="43"/>
      <c r="S112" s="43"/>
      <c r="T112" s="70"/>
      <c r="U112" s="43"/>
      <c r="V112" s="85"/>
      <c r="W112" s="43"/>
      <c r="X112" s="85"/>
      <c r="Y112" s="43"/>
      <c r="Z112" s="43"/>
      <c r="AA112" s="70"/>
      <c r="AB112" s="43"/>
      <c r="AC112" s="85"/>
      <c r="AD112" s="43"/>
      <c r="AE112" s="85"/>
      <c r="AF112" s="85"/>
      <c r="AG112" s="43"/>
      <c r="AH112" s="85"/>
    </row>
    <row r="113" spans="10:34" x14ac:dyDescent="0.2">
      <c r="J113" s="42"/>
      <c r="K113" s="43"/>
      <c r="L113" s="42"/>
      <c r="M113" s="43"/>
      <c r="N113" s="43"/>
      <c r="O113" s="43"/>
      <c r="P113" s="43"/>
      <c r="R113" s="43"/>
      <c r="S113" s="43"/>
      <c r="T113" s="70"/>
      <c r="U113" s="43"/>
      <c r="V113" s="85"/>
      <c r="W113" s="43"/>
      <c r="X113" s="85"/>
      <c r="Y113" s="43"/>
      <c r="Z113" s="43"/>
      <c r="AA113" s="70"/>
      <c r="AB113" s="43"/>
      <c r="AC113" s="85"/>
      <c r="AD113" s="43"/>
      <c r="AE113" s="85"/>
      <c r="AF113" s="85"/>
      <c r="AG113" s="43"/>
      <c r="AH113" s="85"/>
    </row>
    <row r="114" spans="10:34" x14ac:dyDescent="0.2">
      <c r="J114" s="42"/>
      <c r="K114" s="43"/>
      <c r="L114" s="42"/>
      <c r="M114" s="43"/>
      <c r="N114" s="43"/>
      <c r="O114" s="43"/>
      <c r="P114" s="43"/>
      <c r="R114" s="43"/>
      <c r="S114" s="43"/>
      <c r="T114" s="70"/>
      <c r="U114" s="43"/>
      <c r="V114" s="85"/>
      <c r="W114" s="43"/>
      <c r="X114" s="85"/>
      <c r="Y114" s="43"/>
      <c r="Z114" s="43"/>
      <c r="AA114" s="70"/>
      <c r="AB114" s="43"/>
      <c r="AC114" s="85"/>
      <c r="AD114" s="43"/>
      <c r="AE114" s="85"/>
      <c r="AF114" s="85"/>
      <c r="AG114" s="43"/>
      <c r="AH114" s="85"/>
    </row>
    <row r="115" spans="10:34" x14ac:dyDescent="0.2">
      <c r="J115" s="42"/>
      <c r="K115" s="43"/>
      <c r="L115" s="42"/>
      <c r="M115" s="43"/>
      <c r="N115" s="43"/>
      <c r="O115" s="43"/>
      <c r="P115" s="43"/>
      <c r="R115" s="43"/>
      <c r="S115" s="43"/>
      <c r="T115" s="70"/>
      <c r="U115" s="43"/>
      <c r="V115" s="85"/>
      <c r="W115" s="43"/>
      <c r="X115" s="85"/>
      <c r="Y115" s="43"/>
      <c r="Z115" s="43"/>
      <c r="AA115" s="70"/>
      <c r="AB115" s="43"/>
      <c r="AC115" s="85"/>
      <c r="AD115" s="43"/>
      <c r="AE115" s="85"/>
      <c r="AF115" s="85"/>
      <c r="AG115" s="43"/>
      <c r="AH115" s="85"/>
    </row>
    <row r="116" spans="10:34" x14ac:dyDescent="0.2">
      <c r="J116" s="42"/>
      <c r="K116" s="43"/>
      <c r="L116" s="42"/>
      <c r="M116" s="43"/>
      <c r="N116" s="43"/>
      <c r="O116" s="43"/>
      <c r="P116" s="43"/>
      <c r="R116" s="43"/>
      <c r="S116" s="43"/>
      <c r="T116" s="70"/>
      <c r="U116" s="43"/>
      <c r="V116" s="85"/>
      <c r="W116" s="43"/>
      <c r="X116" s="85"/>
      <c r="Y116" s="43"/>
      <c r="Z116" s="43"/>
      <c r="AA116" s="70"/>
      <c r="AB116" s="43"/>
      <c r="AC116" s="85"/>
      <c r="AD116" s="43"/>
      <c r="AE116" s="85"/>
      <c r="AF116" s="85"/>
      <c r="AG116" s="43"/>
      <c r="AH116" s="85"/>
    </row>
    <row r="117" spans="10:34" x14ac:dyDescent="0.2">
      <c r="J117" s="42"/>
      <c r="K117" s="43"/>
      <c r="L117" s="42"/>
      <c r="M117" s="43"/>
      <c r="N117" s="43"/>
      <c r="O117" s="43"/>
      <c r="P117" s="43"/>
      <c r="R117" s="43"/>
      <c r="S117" s="43"/>
      <c r="T117" s="70"/>
      <c r="U117" s="43"/>
      <c r="V117" s="85"/>
      <c r="W117" s="43"/>
      <c r="X117" s="85"/>
      <c r="Y117" s="43"/>
      <c r="Z117" s="43"/>
      <c r="AA117" s="70"/>
      <c r="AB117" s="43"/>
      <c r="AC117" s="85"/>
      <c r="AD117" s="43"/>
      <c r="AE117" s="85"/>
      <c r="AF117" s="85"/>
      <c r="AG117" s="43"/>
      <c r="AH117" s="85"/>
    </row>
    <row r="118" spans="10:34" x14ac:dyDescent="0.2">
      <c r="J118" s="42"/>
      <c r="K118" s="43"/>
      <c r="L118" s="42"/>
      <c r="M118" s="43"/>
      <c r="N118" s="43"/>
      <c r="O118" s="43"/>
      <c r="P118" s="43"/>
      <c r="R118" s="43"/>
      <c r="S118" s="43"/>
      <c r="T118" s="70"/>
      <c r="U118" s="43"/>
      <c r="V118" s="85"/>
      <c r="W118" s="43"/>
      <c r="X118" s="85"/>
      <c r="Y118" s="43"/>
      <c r="Z118" s="43"/>
      <c r="AA118" s="70"/>
      <c r="AB118" s="43"/>
      <c r="AC118" s="85"/>
      <c r="AD118" s="43"/>
      <c r="AE118" s="85"/>
      <c r="AF118" s="85"/>
      <c r="AG118" s="43"/>
      <c r="AH118" s="85"/>
    </row>
    <row r="119" spans="10:34" x14ac:dyDescent="0.2">
      <c r="J119" s="42"/>
      <c r="K119" s="43"/>
      <c r="L119" s="42"/>
      <c r="M119" s="43"/>
      <c r="N119" s="43"/>
      <c r="O119" s="43"/>
      <c r="P119" s="43"/>
      <c r="R119" s="43"/>
      <c r="S119" s="43"/>
      <c r="T119" s="70"/>
      <c r="U119" s="43"/>
      <c r="V119" s="85"/>
      <c r="W119" s="43"/>
      <c r="X119" s="85"/>
      <c r="Y119" s="43"/>
      <c r="Z119" s="43"/>
      <c r="AA119" s="70"/>
      <c r="AB119" s="43"/>
      <c r="AC119" s="85"/>
      <c r="AD119" s="43"/>
      <c r="AE119" s="85"/>
      <c r="AF119" s="85"/>
      <c r="AG119" s="43"/>
      <c r="AH119" s="85"/>
    </row>
    <row r="120" spans="10:34" x14ac:dyDescent="0.2">
      <c r="J120" s="42"/>
      <c r="K120" s="43"/>
      <c r="L120" s="42"/>
      <c r="M120" s="43"/>
      <c r="N120" s="43"/>
      <c r="O120" s="43"/>
      <c r="P120" s="43"/>
      <c r="R120" s="43"/>
      <c r="S120" s="43"/>
      <c r="T120" s="70"/>
      <c r="U120" s="43"/>
      <c r="V120" s="85"/>
      <c r="W120" s="43"/>
      <c r="X120" s="85"/>
      <c r="Y120" s="43"/>
      <c r="Z120" s="43"/>
      <c r="AA120" s="70"/>
      <c r="AB120" s="43"/>
      <c r="AC120" s="85"/>
      <c r="AD120" s="43"/>
      <c r="AE120" s="85"/>
      <c r="AF120" s="85"/>
      <c r="AG120" s="43"/>
      <c r="AH120" s="85"/>
    </row>
    <row r="121" spans="10:34" x14ac:dyDescent="0.2">
      <c r="J121" s="42"/>
      <c r="K121" s="43"/>
      <c r="L121" s="42"/>
      <c r="M121" s="43"/>
      <c r="N121" s="43"/>
      <c r="O121" s="43"/>
      <c r="P121" s="43"/>
      <c r="R121" s="43"/>
      <c r="S121" s="43"/>
      <c r="T121" s="70"/>
      <c r="U121" s="43"/>
      <c r="V121" s="85"/>
      <c r="W121" s="43"/>
      <c r="X121" s="85"/>
      <c r="Y121" s="43"/>
      <c r="Z121" s="43"/>
      <c r="AA121" s="70"/>
      <c r="AB121" s="43"/>
      <c r="AC121" s="85"/>
      <c r="AD121" s="43"/>
      <c r="AE121" s="85"/>
      <c r="AF121" s="85"/>
      <c r="AG121" s="43"/>
      <c r="AH121" s="85"/>
    </row>
    <row r="122" spans="10:34" x14ac:dyDescent="0.2">
      <c r="J122" s="42"/>
      <c r="K122" s="43"/>
      <c r="L122" s="42"/>
      <c r="M122" s="43"/>
      <c r="N122" s="43"/>
      <c r="O122" s="43"/>
      <c r="P122" s="43"/>
      <c r="R122" s="43"/>
      <c r="S122" s="43"/>
      <c r="T122" s="70"/>
      <c r="U122" s="43"/>
      <c r="V122" s="85"/>
      <c r="W122" s="43"/>
      <c r="X122" s="85"/>
      <c r="Y122" s="43"/>
      <c r="Z122" s="43"/>
      <c r="AA122" s="70"/>
      <c r="AB122" s="43"/>
      <c r="AC122" s="85"/>
      <c r="AD122" s="43"/>
      <c r="AE122" s="85"/>
      <c r="AF122" s="85"/>
      <c r="AG122" s="43"/>
      <c r="AH122" s="85"/>
    </row>
    <row r="123" spans="10:34" x14ac:dyDescent="0.2">
      <c r="J123" s="42"/>
      <c r="K123" s="43"/>
      <c r="L123" s="42"/>
      <c r="M123" s="43"/>
      <c r="N123" s="43"/>
      <c r="O123" s="43"/>
      <c r="P123" s="43"/>
      <c r="R123" s="43"/>
      <c r="S123" s="43"/>
      <c r="T123" s="70"/>
      <c r="U123" s="43"/>
      <c r="V123" s="85"/>
      <c r="W123" s="43"/>
      <c r="X123" s="85"/>
      <c r="Y123" s="43"/>
      <c r="Z123" s="43"/>
      <c r="AA123" s="70"/>
      <c r="AB123" s="43"/>
      <c r="AC123" s="85"/>
      <c r="AD123" s="43"/>
      <c r="AE123" s="85"/>
      <c r="AF123" s="85"/>
      <c r="AG123" s="43"/>
      <c r="AH123" s="85"/>
    </row>
    <row r="124" spans="10:34" x14ac:dyDescent="0.2">
      <c r="J124" s="42"/>
      <c r="K124" s="43"/>
      <c r="L124" s="42"/>
      <c r="M124" s="43"/>
      <c r="N124" s="43"/>
      <c r="O124" s="43"/>
      <c r="P124" s="43"/>
      <c r="R124" s="43"/>
      <c r="S124" s="43"/>
      <c r="T124" s="70"/>
      <c r="U124" s="43"/>
      <c r="V124" s="85"/>
      <c r="W124" s="43"/>
      <c r="X124" s="85"/>
      <c r="Y124" s="43"/>
      <c r="Z124" s="43"/>
      <c r="AA124" s="70"/>
      <c r="AB124" s="43"/>
      <c r="AC124" s="85"/>
      <c r="AD124" s="43"/>
      <c r="AE124" s="85"/>
      <c r="AF124" s="85"/>
      <c r="AG124" s="43"/>
      <c r="AH124" s="85"/>
    </row>
    <row r="125" spans="10:34" x14ac:dyDescent="0.2">
      <c r="J125" s="42"/>
      <c r="K125" s="43"/>
      <c r="L125" s="42"/>
      <c r="M125" s="43"/>
      <c r="N125" s="43"/>
      <c r="O125" s="43"/>
      <c r="P125" s="43"/>
      <c r="R125" s="43"/>
      <c r="S125" s="43"/>
      <c r="T125" s="70"/>
      <c r="U125" s="43"/>
      <c r="V125" s="85"/>
      <c r="W125" s="43"/>
      <c r="X125" s="85"/>
      <c r="Y125" s="43"/>
      <c r="Z125" s="43"/>
      <c r="AA125" s="70"/>
      <c r="AB125" s="43"/>
      <c r="AC125" s="85"/>
      <c r="AD125" s="43"/>
      <c r="AE125" s="85"/>
      <c r="AF125" s="85"/>
      <c r="AG125" s="43"/>
      <c r="AH125" s="85"/>
    </row>
    <row r="126" spans="10:34" x14ac:dyDescent="0.2">
      <c r="J126" s="42"/>
      <c r="K126" s="43"/>
      <c r="L126" s="42"/>
      <c r="M126" s="43"/>
      <c r="N126" s="43"/>
      <c r="O126" s="43"/>
      <c r="P126" s="43"/>
      <c r="R126" s="43"/>
      <c r="S126" s="43"/>
      <c r="T126" s="70"/>
      <c r="U126" s="43"/>
      <c r="V126" s="85"/>
      <c r="W126" s="43"/>
      <c r="X126" s="85"/>
      <c r="Y126" s="43"/>
      <c r="Z126" s="43"/>
      <c r="AA126" s="70"/>
      <c r="AB126" s="43"/>
      <c r="AC126" s="85"/>
      <c r="AD126" s="43"/>
      <c r="AE126" s="85"/>
      <c r="AF126" s="85"/>
      <c r="AG126" s="43"/>
      <c r="AH126" s="85"/>
    </row>
    <row r="127" spans="10:34" x14ac:dyDescent="0.2">
      <c r="J127" s="42"/>
      <c r="K127" s="43"/>
      <c r="L127" s="42"/>
      <c r="M127" s="43"/>
      <c r="N127" s="43"/>
      <c r="O127" s="43"/>
      <c r="P127" s="43"/>
      <c r="R127" s="43"/>
      <c r="S127" s="43"/>
      <c r="T127" s="70"/>
      <c r="U127" s="43"/>
      <c r="V127" s="85"/>
      <c r="W127" s="43"/>
      <c r="X127" s="85"/>
      <c r="Y127" s="43"/>
      <c r="Z127" s="43"/>
      <c r="AA127" s="70"/>
      <c r="AB127" s="43"/>
      <c r="AC127" s="85"/>
      <c r="AD127" s="43"/>
      <c r="AE127" s="85"/>
      <c r="AF127" s="85"/>
      <c r="AG127" s="43"/>
      <c r="AH127" s="85"/>
    </row>
    <row r="128" spans="10:34" x14ac:dyDescent="0.2">
      <c r="J128" s="42"/>
      <c r="K128" s="43"/>
      <c r="L128" s="42"/>
      <c r="M128" s="43"/>
      <c r="N128" s="43"/>
      <c r="O128" s="43"/>
      <c r="P128" s="43"/>
      <c r="R128" s="43"/>
      <c r="S128" s="43"/>
      <c r="T128" s="70"/>
      <c r="U128" s="43"/>
      <c r="V128" s="85"/>
      <c r="W128" s="43"/>
      <c r="X128" s="85"/>
      <c r="Y128" s="43"/>
      <c r="Z128" s="43"/>
      <c r="AA128" s="70"/>
      <c r="AB128" s="43"/>
      <c r="AC128" s="85"/>
      <c r="AD128" s="43"/>
      <c r="AE128" s="85"/>
      <c r="AF128" s="85"/>
      <c r="AG128" s="43"/>
      <c r="AH128" s="85"/>
    </row>
    <row r="129" spans="10:34" x14ac:dyDescent="0.2">
      <c r="J129" s="42"/>
      <c r="K129" s="43"/>
      <c r="L129" s="42"/>
      <c r="M129" s="43"/>
      <c r="N129" s="43"/>
      <c r="O129" s="43"/>
      <c r="P129" s="43"/>
      <c r="R129" s="43"/>
      <c r="S129" s="43"/>
      <c r="T129" s="70"/>
      <c r="U129" s="43"/>
      <c r="V129" s="85"/>
      <c r="W129" s="43"/>
      <c r="X129" s="85"/>
      <c r="Y129" s="43"/>
      <c r="Z129" s="43"/>
      <c r="AA129" s="70"/>
      <c r="AB129" s="43"/>
      <c r="AC129" s="85"/>
      <c r="AD129" s="43"/>
      <c r="AE129" s="85"/>
      <c r="AF129" s="85"/>
      <c r="AG129" s="43"/>
      <c r="AH129" s="85"/>
    </row>
    <row r="130" spans="10:34" x14ac:dyDescent="0.2">
      <c r="J130" s="42"/>
      <c r="K130" s="43"/>
      <c r="L130" s="42"/>
      <c r="M130" s="43"/>
      <c r="N130" s="43"/>
      <c r="O130" s="43"/>
      <c r="P130" s="43"/>
      <c r="R130" s="43"/>
      <c r="S130" s="43"/>
      <c r="T130" s="70"/>
      <c r="U130" s="43"/>
      <c r="V130" s="85"/>
      <c r="W130" s="43"/>
      <c r="X130" s="85"/>
      <c r="Y130" s="43"/>
      <c r="Z130" s="43"/>
      <c r="AA130" s="70"/>
      <c r="AB130" s="43"/>
      <c r="AC130" s="85"/>
      <c r="AD130" s="43"/>
      <c r="AE130" s="85"/>
      <c r="AF130" s="85"/>
      <c r="AG130" s="43"/>
      <c r="AH130" s="85"/>
    </row>
    <row r="131" spans="10:34" x14ac:dyDescent="0.2">
      <c r="J131" s="42"/>
      <c r="K131" s="43"/>
      <c r="L131" s="42"/>
      <c r="M131" s="43"/>
      <c r="N131" s="43"/>
      <c r="O131" s="43"/>
      <c r="P131" s="43"/>
      <c r="R131" s="43"/>
      <c r="S131" s="43"/>
      <c r="T131" s="70"/>
      <c r="U131" s="43"/>
      <c r="V131" s="85"/>
      <c r="W131" s="43"/>
      <c r="X131" s="85"/>
      <c r="Y131" s="43"/>
      <c r="Z131" s="43"/>
      <c r="AA131" s="70"/>
      <c r="AB131" s="43"/>
      <c r="AC131" s="85"/>
      <c r="AD131" s="43"/>
      <c r="AE131" s="85"/>
      <c r="AF131" s="85"/>
      <c r="AG131" s="43"/>
      <c r="AH131" s="85"/>
    </row>
    <row r="132" spans="10:34" x14ac:dyDescent="0.2">
      <c r="J132" s="42"/>
      <c r="K132" s="43"/>
      <c r="L132" s="42"/>
      <c r="M132" s="43"/>
      <c r="N132" s="43"/>
      <c r="O132" s="43"/>
      <c r="P132" s="43"/>
      <c r="R132" s="43"/>
      <c r="S132" s="43"/>
      <c r="T132" s="70"/>
      <c r="U132" s="43"/>
      <c r="V132" s="85"/>
      <c r="W132" s="43"/>
      <c r="X132" s="85"/>
      <c r="Y132" s="43"/>
      <c r="Z132" s="43"/>
      <c r="AA132" s="70"/>
      <c r="AB132" s="43"/>
      <c r="AC132" s="85"/>
      <c r="AD132" s="43"/>
      <c r="AE132" s="85"/>
      <c r="AF132" s="85"/>
      <c r="AG132" s="43"/>
      <c r="AH132" s="85"/>
    </row>
    <row r="133" spans="10:34" x14ac:dyDescent="0.2">
      <c r="J133" s="42"/>
      <c r="K133" s="43"/>
      <c r="L133" s="42"/>
      <c r="M133" s="43"/>
      <c r="N133" s="43"/>
      <c r="O133" s="43"/>
      <c r="P133" s="43"/>
      <c r="R133" s="43"/>
      <c r="S133" s="43"/>
      <c r="T133" s="70"/>
      <c r="U133" s="43"/>
      <c r="V133" s="85"/>
      <c r="W133" s="43"/>
      <c r="X133" s="85"/>
      <c r="Y133" s="43"/>
      <c r="Z133" s="43"/>
      <c r="AA133" s="70"/>
      <c r="AB133" s="43"/>
      <c r="AC133" s="85"/>
      <c r="AD133" s="43"/>
      <c r="AE133" s="85"/>
      <c r="AF133" s="85"/>
      <c r="AG133" s="43"/>
      <c r="AH133" s="85"/>
    </row>
    <row r="134" spans="10:34" x14ac:dyDescent="0.2">
      <c r="J134" s="42"/>
      <c r="K134" s="43"/>
      <c r="L134" s="42"/>
      <c r="M134" s="43"/>
      <c r="N134" s="43"/>
      <c r="O134" s="43"/>
      <c r="P134" s="43"/>
      <c r="R134" s="43"/>
      <c r="S134" s="43"/>
      <c r="T134" s="70"/>
      <c r="U134" s="43"/>
      <c r="V134" s="85"/>
      <c r="W134" s="43"/>
      <c r="X134" s="85"/>
      <c r="Y134" s="43"/>
      <c r="Z134" s="43"/>
      <c r="AA134" s="70"/>
      <c r="AB134" s="43"/>
      <c r="AC134" s="85"/>
      <c r="AD134" s="43"/>
      <c r="AE134" s="85"/>
      <c r="AF134" s="85"/>
      <c r="AG134" s="43"/>
      <c r="AH134" s="85"/>
    </row>
    <row r="135" spans="10:34" x14ac:dyDescent="0.2">
      <c r="J135" s="42"/>
      <c r="K135" s="43"/>
      <c r="L135" s="42"/>
      <c r="M135" s="43"/>
      <c r="N135" s="43"/>
      <c r="O135" s="43"/>
      <c r="P135" s="43"/>
      <c r="R135" s="43"/>
      <c r="S135" s="43"/>
      <c r="T135" s="70"/>
      <c r="U135" s="43"/>
      <c r="V135" s="85"/>
      <c r="W135" s="43"/>
      <c r="X135" s="85"/>
      <c r="Y135" s="43"/>
      <c r="Z135" s="43"/>
      <c r="AA135" s="70"/>
      <c r="AB135" s="43"/>
      <c r="AC135" s="85"/>
      <c r="AD135" s="43"/>
      <c r="AE135" s="85"/>
      <c r="AF135" s="85"/>
      <c r="AG135" s="43"/>
      <c r="AH135" s="85"/>
    </row>
    <row r="136" spans="10:34" x14ac:dyDescent="0.2">
      <c r="J136" s="42"/>
      <c r="K136" s="43"/>
      <c r="L136" s="42"/>
      <c r="M136" s="43"/>
      <c r="N136" s="43"/>
      <c r="O136" s="43"/>
      <c r="P136" s="43"/>
      <c r="R136" s="43"/>
      <c r="S136" s="43"/>
      <c r="T136" s="70"/>
      <c r="U136" s="43"/>
      <c r="V136" s="85"/>
      <c r="W136" s="43"/>
      <c r="X136" s="85"/>
      <c r="Y136" s="43"/>
      <c r="Z136" s="43"/>
      <c r="AA136" s="70"/>
      <c r="AB136" s="43"/>
      <c r="AC136" s="85"/>
      <c r="AD136" s="43"/>
      <c r="AE136" s="85"/>
      <c r="AF136" s="85"/>
      <c r="AG136" s="43"/>
      <c r="AH136" s="85"/>
    </row>
    <row r="137" spans="10:34" x14ac:dyDescent="0.2">
      <c r="J137" s="42"/>
      <c r="K137" s="43"/>
      <c r="L137" s="42"/>
      <c r="M137" s="43"/>
      <c r="N137" s="43"/>
      <c r="O137" s="43"/>
      <c r="P137" s="43"/>
      <c r="R137" s="43"/>
      <c r="S137" s="43"/>
      <c r="T137" s="70"/>
      <c r="U137" s="43"/>
      <c r="V137" s="85"/>
      <c r="W137" s="43"/>
      <c r="X137" s="85"/>
      <c r="Y137" s="43"/>
      <c r="Z137" s="43"/>
      <c r="AA137" s="70"/>
      <c r="AB137" s="43"/>
      <c r="AC137" s="85"/>
      <c r="AD137" s="43"/>
      <c r="AE137" s="85"/>
      <c r="AF137" s="85"/>
      <c r="AG137" s="43"/>
      <c r="AH137" s="85"/>
    </row>
    <row r="138" spans="10:34" x14ac:dyDescent="0.2">
      <c r="J138" s="42"/>
      <c r="K138" s="43"/>
      <c r="L138" s="42"/>
      <c r="M138" s="43"/>
      <c r="N138" s="43"/>
      <c r="O138" s="43"/>
      <c r="P138" s="43"/>
      <c r="R138" s="43"/>
      <c r="S138" s="43"/>
      <c r="T138" s="70"/>
      <c r="U138" s="43"/>
      <c r="V138" s="85"/>
      <c r="W138" s="43"/>
      <c r="X138" s="85"/>
      <c r="Y138" s="43"/>
      <c r="Z138" s="43"/>
      <c r="AA138" s="70"/>
      <c r="AB138" s="43"/>
      <c r="AC138" s="85"/>
      <c r="AD138" s="43"/>
      <c r="AE138" s="85"/>
      <c r="AF138" s="85"/>
      <c r="AG138" s="43"/>
      <c r="AH138" s="85"/>
    </row>
    <row r="139" spans="10:34" x14ac:dyDescent="0.2">
      <c r="J139" s="42"/>
      <c r="K139" s="43"/>
      <c r="L139" s="42"/>
      <c r="M139" s="43"/>
      <c r="N139" s="43"/>
      <c r="O139" s="43"/>
      <c r="P139" s="43"/>
      <c r="R139" s="43"/>
      <c r="S139" s="43"/>
      <c r="T139" s="70"/>
      <c r="U139" s="43"/>
      <c r="V139" s="85"/>
      <c r="W139" s="43"/>
      <c r="X139" s="85"/>
      <c r="Y139" s="43"/>
      <c r="Z139" s="43"/>
      <c r="AA139" s="70"/>
      <c r="AB139" s="43"/>
      <c r="AC139" s="85"/>
      <c r="AD139" s="43"/>
      <c r="AE139" s="85"/>
      <c r="AF139" s="85"/>
      <c r="AG139" s="43"/>
      <c r="AH139" s="85"/>
    </row>
    <row r="140" spans="10:34" x14ac:dyDescent="0.2">
      <c r="J140" s="42"/>
      <c r="K140" s="43"/>
      <c r="L140" s="42"/>
      <c r="M140" s="43"/>
      <c r="N140" s="43"/>
      <c r="O140" s="43"/>
      <c r="P140" s="43"/>
      <c r="R140" s="43"/>
      <c r="S140" s="43"/>
      <c r="T140" s="70"/>
      <c r="U140" s="43"/>
      <c r="V140" s="85"/>
      <c r="W140" s="43"/>
      <c r="X140" s="85"/>
      <c r="Y140" s="43"/>
      <c r="Z140" s="43"/>
      <c r="AA140" s="70"/>
      <c r="AB140" s="43"/>
      <c r="AC140" s="85"/>
      <c r="AD140" s="43"/>
      <c r="AE140" s="85"/>
      <c r="AF140" s="85"/>
      <c r="AG140" s="43"/>
      <c r="AH140" s="85"/>
    </row>
    <row r="141" spans="10:34" x14ac:dyDescent="0.2">
      <c r="J141" s="42"/>
      <c r="K141" s="43"/>
      <c r="L141" s="42"/>
      <c r="M141" s="43"/>
      <c r="N141" s="43"/>
      <c r="O141" s="43"/>
      <c r="P141" s="43"/>
      <c r="R141" s="43"/>
      <c r="S141" s="43"/>
      <c r="T141" s="70"/>
      <c r="U141" s="43"/>
      <c r="V141" s="85"/>
      <c r="W141" s="43"/>
      <c r="X141" s="85"/>
      <c r="Y141" s="43"/>
      <c r="Z141" s="43"/>
      <c r="AA141" s="70"/>
      <c r="AB141" s="43"/>
      <c r="AC141" s="85"/>
      <c r="AD141" s="43"/>
      <c r="AE141" s="85"/>
      <c r="AF141" s="85"/>
      <c r="AG141" s="43"/>
      <c r="AH141" s="85"/>
    </row>
    <row r="142" spans="10:34" x14ac:dyDescent="0.2">
      <c r="J142" s="42"/>
      <c r="K142" s="43"/>
      <c r="L142" s="42"/>
      <c r="M142" s="43"/>
      <c r="N142" s="43"/>
      <c r="O142" s="43"/>
      <c r="P142" s="43"/>
      <c r="R142" s="43"/>
      <c r="S142" s="43"/>
      <c r="T142" s="70"/>
      <c r="U142" s="43"/>
      <c r="V142" s="85"/>
      <c r="W142" s="43"/>
      <c r="X142" s="85"/>
      <c r="Y142" s="43"/>
      <c r="Z142" s="43"/>
      <c r="AA142" s="70"/>
      <c r="AB142" s="43"/>
      <c r="AC142" s="85"/>
      <c r="AD142" s="43"/>
      <c r="AE142" s="85"/>
      <c r="AF142" s="85"/>
      <c r="AG142" s="43"/>
      <c r="AH142" s="85"/>
    </row>
    <row r="143" spans="10:34" x14ac:dyDescent="0.2">
      <c r="J143" s="42"/>
      <c r="K143" s="43"/>
      <c r="L143" s="42"/>
      <c r="M143" s="43"/>
      <c r="N143" s="43"/>
      <c r="O143" s="43"/>
      <c r="P143" s="43"/>
      <c r="R143" s="43"/>
      <c r="S143" s="43"/>
      <c r="T143" s="70"/>
      <c r="U143" s="43"/>
      <c r="V143" s="85"/>
      <c r="W143" s="43"/>
      <c r="X143" s="85"/>
      <c r="Y143" s="43"/>
      <c r="Z143" s="43"/>
      <c r="AA143" s="70"/>
      <c r="AB143" s="43"/>
      <c r="AC143" s="85"/>
      <c r="AD143" s="43"/>
      <c r="AE143" s="85"/>
      <c r="AF143" s="85"/>
      <c r="AG143" s="43"/>
      <c r="AH143" s="85"/>
    </row>
    <row r="144" spans="10:34" x14ac:dyDescent="0.2">
      <c r="J144" s="42"/>
      <c r="K144" s="43"/>
      <c r="L144" s="42"/>
      <c r="M144" s="43"/>
      <c r="N144" s="43"/>
      <c r="O144" s="43"/>
      <c r="P144" s="43"/>
      <c r="R144" s="43"/>
      <c r="S144" s="43"/>
      <c r="T144" s="70"/>
      <c r="U144" s="43"/>
      <c r="V144" s="85"/>
      <c r="W144" s="43"/>
      <c r="X144" s="85"/>
      <c r="Y144" s="43"/>
      <c r="Z144" s="43"/>
      <c r="AA144" s="70"/>
      <c r="AB144" s="43"/>
      <c r="AC144" s="85"/>
      <c r="AD144" s="43"/>
      <c r="AE144" s="85"/>
      <c r="AF144" s="85"/>
      <c r="AG144" s="43"/>
      <c r="AH144" s="85"/>
    </row>
    <row r="145" spans="10:34" x14ac:dyDescent="0.2">
      <c r="J145" s="42"/>
      <c r="K145" s="43"/>
      <c r="L145" s="42"/>
      <c r="M145" s="43"/>
      <c r="N145" s="43"/>
      <c r="O145" s="43"/>
      <c r="P145" s="43"/>
      <c r="R145" s="43"/>
      <c r="S145" s="43"/>
      <c r="T145" s="70"/>
      <c r="U145" s="43"/>
      <c r="V145" s="85"/>
      <c r="W145" s="43"/>
      <c r="X145" s="85"/>
      <c r="Y145" s="43"/>
      <c r="Z145" s="43"/>
      <c r="AA145" s="70"/>
      <c r="AB145" s="43"/>
      <c r="AC145" s="85"/>
      <c r="AD145" s="43"/>
      <c r="AE145" s="85"/>
      <c r="AF145" s="85"/>
      <c r="AG145" s="43"/>
      <c r="AH145" s="85"/>
    </row>
    <row r="146" spans="10:34" x14ac:dyDescent="0.2">
      <c r="J146" s="42"/>
      <c r="K146" s="43"/>
      <c r="L146" s="42"/>
      <c r="M146" s="43"/>
      <c r="N146" s="43"/>
      <c r="O146" s="43"/>
      <c r="P146" s="43"/>
      <c r="R146" s="43"/>
      <c r="S146" s="43"/>
      <c r="T146" s="70"/>
      <c r="U146" s="43"/>
      <c r="V146" s="85"/>
      <c r="W146" s="43"/>
      <c r="X146" s="85"/>
      <c r="Y146" s="43"/>
      <c r="Z146" s="43"/>
      <c r="AA146" s="70"/>
      <c r="AB146" s="43"/>
      <c r="AC146" s="85"/>
      <c r="AD146" s="43"/>
      <c r="AE146" s="85"/>
      <c r="AF146" s="85"/>
      <c r="AG146" s="43"/>
      <c r="AH146" s="85"/>
    </row>
    <row r="147" spans="10:34" x14ac:dyDescent="0.2">
      <c r="J147" s="42"/>
      <c r="K147" s="43"/>
      <c r="L147" s="42"/>
      <c r="M147" s="43"/>
      <c r="N147" s="43"/>
      <c r="O147" s="43"/>
      <c r="P147" s="43"/>
      <c r="R147" s="43"/>
      <c r="S147" s="43"/>
      <c r="T147" s="70"/>
      <c r="U147" s="43"/>
      <c r="V147" s="85"/>
      <c r="W147" s="43"/>
      <c r="X147" s="85"/>
      <c r="Y147" s="43"/>
      <c r="Z147" s="43"/>
      <c r="AA147" s="70"/>
      <c r="AB147" s="43"/>
      <c r="AC147" s="85"/>
      <c r="AD147" s="43"/>
      <c r="AE147" s="85"/>
      <c r="AF147" s="85"/>
      <c r="AG147" s="43"/>
      <c r="AH147" s="85"/>
    </row>
    <row r="148" spans="10:34" x14ac:dyDescent="0.2">
      <c r="J148" s="42"/>
      <c r="K148" s="43"/>
      <c r="L148" s="42"/>
      <c r="M148" s="43"/>
      <c r="N148" s="43"/>
      <c r="O148" s="43"/>
      <c r="P148" s="43"/>
      <c r="R148" s="43"/>
      <c r="S148" s="43"/>
      <c r="T148" s="70"/>
      <c r="U148" s="43"/>
      <c r="V148" s="85"/>
      <c r="W148" s="43"/>
      <c r="X148" s="85"/>
      <c r="Y148" s="43"/>
      <c r="Z148" s="43"/>
      <c r="AA148" s="70"/>
      <c r="AB148" s="43"/>
      <c r="AC148" s="85"/>
      <c r="AD148" s="43"/>
      <c r="AE148" s="85"/>
      <c r="AF148" s="85"/>
      <c r="AG148" s="43"/>
      <c r="AH148" s="85"/>
    </row>
    <row r="149" spans="10:34" x14ac:dyDescent="0.2">
      <c r="J149" s="42"/>
      <c r="K149" s="43"/>
      <c r="L149" s="42"/>
      <c r="M149" s="43"/>
      <c r="N149" s="43"/>
      <c r="O149" s="43"/>
      <c r="P149" s="43"/>
      <c r="R149" s="43"/>
      <c r="S149" s="43"/>
      <c r="T149" s="70"/>
      <c r="U149" s="43"/>
      <c r="V149" s="85"/>
      <c r="W149" s="43"/>
      <c r="X149" s="85"/>
      <c r="Y149" s="43"/>
      <c r="Z149" s="43"/>
      <c r="AA149" s="70"/>
      <c r="AB149" s="43"/>
      <c r="AC149" s="85"/>
      <c r="AD149" s="43"/>
      <c r="AE149" s="85"/>
      <c r="AF149" s="85"/>
      <c r="AG149" s="43"/>
      <c r="AH149" s="85"/>
    </row>
    <row r="150" spans="10:34" x14ac:dyDescent="0.2">
      <c r="J150" s="42"/>
      <c r="K150" s="43"/>
      <c r="L150" s="42"/>
      <c r="M150" s="43"/>
      <c r="N150" s="43"/>
      <c r="O150" s="43"/>
      <c r="P150" s="43"/>
      <c r="R150" s="43"/>
      <c r="S150" s="43"/>
      <c r="T150" s="70"/>
      <c r="U150" s="43"/>
      <c r="V150" s="85"/>
      <c r="W150" s="43"/>
      <c r="X150" s="85"/>
      <c r="Y150" s="43"/>
      <c r="Z150" s="43"/>
      <c r="AA150" s="70"/>
      <c r="AB150" s="43"/>
      <c r="AC150" s="85"/>
      <c r="AD150" s="43"/>
      <c r="AE150" s="85"/>
      <c r="AF150" s="85"/>
      <c r="AG150" s="43"/>
      <c r="AH150" s="85"/>
    </row>
    <row r="151" spans="10:34" x14ac:dyDescent="0.2">
      <c r="J151" s="42"/>
      <c r="K151" s="43"/>
      <c r="L151" s="42"/>
      <c r="M151" s="43"/>
      <c r="N151" s="43"/>
      <c r="O151" s="43"/>
      <c r="P151" s="43"/>
      <c r="R151" s="43"/>
      <c r="S151" s="43"/>
      <c r="T151" s="70"/>
      <c r="U151" s="43"/>
      <c r="V151" s="85"/>
      <c r="W151" s="43"/>
      <c r="X151" s="85"/>
      <c r="Y151" s="43"/>
      <c r="Z151" s="43"/>
      <c r="AA151" s="70"/>
      <c r="AB151" s="43"/>
      <c r="AC151" s="85"/>
      <c r="AD151" s="43"/>
      <c r="AE151" s="85"/>
      <c r="AF151" s="85"/>
      <c r="AG151" s="43"/>
      <c r="AH151" s="85"/>
    </row>
    <row r="152" spans="10:34" x14ac:dyDescent="0.2">
      <c r="J152" s="42"/>
      <c r="K152" s="43"/>
      <c r="L152" s="42"/>
      <c r="M152" s="43"/>
      <c r="N152" s="43"/>
      <c r="O152" s="43"/>
      <c r="P152" s="43"/>
      <c r="R152" s="43"/>
      <c r="S152" s="43"/>
      <c r="T152" s="70"/>
      <c r="U152" s="43"/>
      <c r="V152" s="85"/>
      <c r="W152" s="43"/>
      <c r="X152" s="85"/>
      <c r="Y152" s="43"/>
      <c r="Z152" s="43"/>
      <c r="AA152" s="70"/>
      <c r="AB152" s="43"/>
      <c r="AC152" s="85"/>
      <c r="AD152" s="43"/>
      <c r="AE152" s="85"/>
      <c r="AF152" s="85"/>
      <c r="AG152" s="43"/>
      <c r="AH152" s="85"/>
    </row>
    <row r="153" spans="10:34" x14ac:dyDescent="0.2">
      <c r="J153" s="42"/>
      <c r="K153" s="43"/>
      <c r="L153" s="42"/>
      <c r="M153" s="43"/>
      <c r="N153" s="43"/>
      <c r="O153" s="43"/>
      <c r="P153" s="43"/>
      <c r="R153" s="43"/>
      <c r="S153" s="43"/>
      <c r="T153" s="70"/>
      <c r="U153" s="43"/>
      <c r="V153" s="85"/>
      <c r="W153" s="43"/>
      <c r="X153" s="85"/>
      <c r="Y153" s="43"/>
      <c r="Z153" s="43"/>
      <c r="AA153" s="70"/>
      <c r="AB153" s="43"/>
      <c r="AC153" s="85"/>
      <c r="AD153" s="43"/>
      <c r="AE153" s="85"/>
      <c r="AF153" s="85"/>
      <c r="AG153" s="43"/>
      <c r="AH153" s="85"/>
    </row>
    <row r="154" spans="10:34" x14ac:dyDescent="0.2">
      <c r="J154" s="42"/>
      <c r="K154" s="43"/>
      <c r="L154" s="42"/>
      <c r="M154" s="43"/>
      <c r="N154" s="43"/>
      <c r="O154" s="43"/>
      <c r="P154" s="43"/>
      <c r="R154" s="43"/>
      <c r="S154" s="43"/>
      <c r="T154" s="70"/>
      <c r="U154" s="43"/>
      <c r="V154" s="85"/>
      <c r="W154" s="43"/>
      <c r="X154" s="85"/>
      <c r="Y154" s="43"/>
      <c r="Z154" s="43"/>
      <c r="AA154" s="70"/>
      <c r="AB154" s="43"/>
      <c r="AC154" s="85"/>
      <c r="AD154" s="43"/>
      <c r="AE154" s="85"/>
      <c r="AF154" s="85"/>
      <c r="AG154" s="43"/>
      <c r="AH154" s="85"/>
    </row>
    <row r="155" spans="10:34" x14ac:dyDescent="0.2">
      <c r="J155" s="42"/>
      <c r="K155" s="43"/>
      <c r="L155" s="42"/>
      <c r="M155" s="43"/>
      <c r="N155" s="43"/>
      <c r="O155" s="43"/>
      <c r="P155" s="43"/>
      <c r="R155" s="43"/>
      <c r="S155" s="43"/>
      <c r="T155" s="70"/>
      <c r="U155" s="43"/>
      <c r="V155" s="85"/>
      <c r="W155" s="43"/>
      <c r="X155" s="85"/>
      <c r="Y155" s="43"/>
      <c r="Z155" s="43"/>
      <c r="AA155" s="70"/>
      <c r="AB155" s="43"/>
      <c r="AC155" s="85"/>
      <c r="AD155" s="43"/>
      <c r="AE155" s="85"/>
      <c r="AF155" s="85"/>
      <c r="AG155" s="43"/>
      <c r="AH155" s="85"/>
    </row>
    <row r="156" spans="10:34" x14ac:dyDescent="0.2">
      <c r="J156" s="42"/>
      <c r="K156" s="43"/>
      <c r="L156" s="42"/>
      <c r="M156" s="43"/>
      <c r="N156" s="43"/>
      <c r="O156" s="43"/>
      <c r="P156" s="43"/>
      <c r="R156" s="43"/>
      <c r="S156" s="43"/>
      <c r="T156" s="70"/>
      <c r="U156" s="43"/>
      <c r="V156" s="85"/>
      <c r="W156" s="43"/>
      <c r="X156" s="85"/>
      <c r="Y156" s="43"/>
      <c r="Z156" s="43"/>
      <c r="AA156" s="70"/>
      <c r="AB156" s="43"/>
      <c r="AC156" s="85"/>
      <c r="AD156" s="43"/>
      <c r="AE156" s="85"/>
      <c r="AF156" s="85"/>
      <c r="AG156" s="43"/>
      <c r="AH156" s="85"/>
    </row>
    <row r="157" spans="10:34" x14ac:dyDescent="0.2">
      <c r="J157" s="42"/>
      <c r="K157" s="43"/>
      <c r="L157" s="42"/>
      <c r="M157" s="43"/>
      <c r="N157" s="43"/>
      <c r="O157" s="43"/>
      <c r="P157" s="43"/>
      <c r="R157" s="43"/>
      <c r="S157" s="43"/>
      <c r="T157" s="70"/>
      <c r="U157" s="43"/>
      <c r="V157" s="85"/>
      <c r="W157" s="43"/>
      <c r="X157" s="85"/>
      <c r="Y157" s="43"/>
      <c r="Z157" s="43"/>
      <c r="AA157" s="70"/>
      <c r="AB157" s="43"/>
      <c r="AC157" s="85"/>
      <c r="AD157" s="43"/>
      <c r="AE157" s="85"/>
      <c r="AF157" s="85"/>
      <c r="AG157" s="43"/>
      <c r="AH157" s="85"/>
    </row>
    <row r="158" spans="10:34" x14ac:dyDescent="0.2">
      <c r="J158" s="42"/>
      <c r="K158" s="43"/>
      <c r="L158" s="42"/>
      <c r="M158" s="43"/>
      <c r="N158" s="43"/>
      <c r="O158" s="43"/>
      <c r="P158" s="43"/>
      <c r="R158" s="43"/>
      <c r="S158" s="43"/>
      <c r="T158" s="70"/>
      <c r="U158" s="43"/>
      <c r="V158" s="85"/>
      <c r="W158" s="43"/>
      <c r="X158" s="85"/>
      <c r="Y158" s="43"/>
      <c r="Z158" s="43"/>
      <c r="AA158" s="70"/>
      <c r="AB158" s="43"/>
      <c r="AC158" s="85"/>
      <c r="AD158" s="43"/>
      <c r="AE158" s="85"/>
      <c r="AF158" s="85"/>
      <c r="AG158" s="43"/>
      <c r="AH158" s="85"/>
    </row>
    <row r="159" spans="10:34" x14ac:dyDescent="0.2">
      <c r="J159" s="42"/>
      <c r="K159" s="43"/>
      <c r="L159" s="42"/>
      <c r="M159" s="43"/>
      <c r="N159" s="43"/>
      <c r="O159" s="43"/>
      <c r="P159" s="43"/>
      <c r="R159" s="43"/>
      <c r="S159" s="43"/>
      <c r="T159" s="70"/>
      <c r="U159" s="43"/>
      <c r="V159" s="85"/>
      <c r="W159" s="43"/>
      <c r="X159" s="85"/>
      <c r="Y159" s="43"/>
      <c r="Z159" s="43"/>
      <c r="AA159" s="70"/>
      <c r="AB159" s="43"/>
      <c r="AC159" s="85"/>
      <c r="AD159" s="43"/>
      <c r="AE159" s="85"/>
      <c r="AF159" s="85"/>
      <c r="AG159" s="43"/>
      <c r="AH159" s="85"/>
    </row>
    <row r="160" spans="10:34" x14ac:dyDescent="0.2">
      <c r="J160" s="42"/>
      <c r="K160" s="43"/>
      <c r="L160" s="42"/>
      <c r="M160" s="43"/>
      <c r="N160" s="43"/>
      <c r="O160" s="43"/>
      <c r="P160" s="43"/>
      <c r="R160" s="43"/>
      <c r="S160" s="43"/>
      <c r="T160" s="70"/>
      <c r="U160" s="43"/>
      <c r="V160" s="85"/>
      <c r="W160" s="43"/>
      <c r="X160" s="85"/>
      <c r="Y160" s="43"/>
      <c r="Z160" s="43"/>
      <c r="AA160" s="70"/>
      <c r="AB160" s="43"/>
      <c r="AC160" s="85"/>
      <c r="AD160" s="43"/>
      <c r="AE160" s="85"/>
      <c r="AF160" s="85"/>
      <c r="AG160" s="43"/>
      <c r="AH160" s="85"/>
    </row>
    <row r="161" spans="25:34" x14ac:dyDescent="0.2">
      <c r="Y161" s="43"/>
      <c r="Z161" s="43"/>
      <c r="AA161" s="70"/>
      <c r="AB161" s="43"/>
      <c r="AC161" s="85"/>
      <c r="AD161" s="43"/>
      <c r="AE161" s="85"/>
      <c r="AF161" s="85"/>
      <c r="AG161" s="43"/>
      <c r="AH161" s="85"/>
    </row>
    <row r="162" spans="25:34" x14ac:dyDescent="0.2">
      <c r="Y162" s="43"/>
      <c r="Z162" s="43"/>
      <c r="AA162" s="70"/>
      <c r="AB162" s="43"/>
      <c r="AC162" s="85"/>
      <c r="AD162" s="43"/>
      <c r="AE162" s="85"/>
      <c r="AF162" s="85"/>
      <c r="AG162" s="43"/>
      <c r="AH162" s="85"/>
    </row>
    <row r="163" spans="25:34" x14ac:dyDescent="0.2">
      <c r="Y163" s="43"/>
      <c r="Z163" s="43"/>
      <c r="AA163" s="70"/>
      <c r="AB163" s="43"/>
      <c r="AC163" s="85"/>
      <c r="AD163" s="43"/>
      <c r="AE163" s="85"/>
      <c r="AF163" s="85"/>
      <c r="AG163" s="43"/>
      <c r="AH163" s="85"/>
    </row>
    <row r="164" spans="25:34" x14ac:dyDescent="0.2">
      <c r="Y164" s="43"/>
      <c r="Z164" s="43"/>
      <c r="AA164" s="70"/>
      <c r="AB164" s="43"/>
      <c r="AC164" s="85"/>
      <c r="AD164" s="43"/>
      <c r="AE164" s="85"/>
      <c r="AF164" s="85"/>
      <c r="AG164" s="43"/>
      <c r="AH164" s="85"/>
    </row>
    <row r="165" spans="25:34" x14ac:dyDescent="0.2">
      <c r="Y165" s="43"/>
      <c r="Z165" s="43"/>
      <c r="AA165" s="70"/>
      <c r="AB165" s="43"/>
      <c r="AC165" s="85"/>
      <c r="AD165" s="43"/>
      <c r="AE165" s="85"/>
      <c r="AF165" s="85"/>
      <c r="AG165" s="43"/>
      <c r="AH165" s="85"/>
    </row>
  </sheetData>
  <mergeCells count="1">
    <mergeCell ref="B16:K16"/>
  </mergeCells>
  <phoneticPr fontId="3" type="noConversion"/>
  <pageMargins left="0.3" right="0.28999999999999998" top="0.78" bottom="0.27" header="0.42" footer="0.17"/>
  <pageSetup scale="70" orientation="landscape" r:id="rId1"/>
  <headerFooter alignWithMargins="0">
    <oddHeader>&amp;L&amp;"Arial,Bold"&amp;12Judicial Branch&amp;R&amp;"Arial,Bold"&amp;12Justice System Appropriations Subcommittee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2"/>
  <sheetViews>
    <sheetView zoomScale="80" zoomScaleNormal="80" workbookViewId="0">
      <selection activeCell="R1" sqref="R1:X1048576"/>
    </sheetView>
  </sheetViews>
  <sheetFormatPr defaultColWidth="9.109375" defaultRowHeight="12" x14ac:dyDescent="0.25"/>
  <cols>
    <col min="1" max="1" width="2.109375" style="12" customWidth="1"/>
    <col min="2" max="2" width="14" style="12" customWidth="1"/>
    <col min="3" max="3" width="0.6640625" style="12" customWidth="1"/>
    <col min="4" max="4" width="17.109375" style="16" customWidth="1"/>
    <col min="5" max="5" width="1.109375" style="12" customWidth="1"/>
    <col min="6" max="6" width="18.33203125" style="17" customWidth="1"/>
    <col min="7" max="7" width="1" style="18" customWidth="1"/>
    <col min="8" max="8" width="41.33203125" style="17" customWidth="1"/>
    <col min="9" max="9" width="1" style="18" customWidth="1"/>
    <col min="10" max="10" width="11.109375" style="21" customWidth="1"/>
    <col min="11" max="11" width="1.33203125" style="6" customWidth="1"/>
    <col min="12" max="12" width="10.6640625" style="6" customWidth="1"/>
    <col min="13" max="13" width="1" style="6" customWidth="1"/>
    <col min="14" max="14" width="16" style="6" customWidth="1"/>
    <col min="15" max="15" width="0.5546875" style="6" customWidth="1"/>
    <col min="16" max="16" width="9.44140625" style="21" bestFit="1" customWidth="1"/>
    <col min="17" max="17" width="11.33203125" style="6" bestFit="1" customWidth="1"/>
    <col min="18" max="18" width="10.44140625" style="6" hidden="1" customWidth="1"/>
    <col min="19" max="19" width="0.88671875" style="6" hidden="1" customWidth="1"/>
    <col min="20" max="20" width="14" style="67" hidden="1" customWidth="1"/>
    <col min="21" max="21" width="0.88671875" style="6" hidden="1" customWidth="1"/>
    <col min="22" max="22" width="8.44140625" style="88" hidden="1" customWidth="1"/>
    <col min="23" max="23" width="0.88671875" style="6" hidden="1" customWidth="1"/>
    <col min="24" max="24" width="9.88671875" style="88" hidden="1" customWidth="1"/>
    <col min="25" max="25" width="0.88671875" style="6" customWidth="1"/>
    <col min="26" max="26" width="10.44140625" style="6" customWidth="1"/>
    <col min="27" max="27" width="0.88671875" style="6" customWidth="1"/>
    <col min="28" max="28" width="14" style="67" customWidth="1"/>
    <col min="29" max="29" width="0.88671875" style="6" customWidth="1"/>
    <col min="30" max="30" width="8.44140625" style="88" customWidth="1"/>
    <col min="31" max="31" width="0.88671875" style="6" customWidth="1"/>
    <col min="32" max="32" width="9.88671875" style="88" customWidth="1"/>
    <col min="33" max="33" width="8.44140625" style="88" customWidth="1"/>
    <col min="34" max="34" width="0.88671875" style="6" customWidth="1"/>
    <col min="35" max="35" width="9.88671875" style="88" customWidth="1"/>
    <col min="36" max="36" width="11.109375" style="6" bestFit="1" customWidth="1"/>
    <col min="37" max="37" width="9.109375" style="6"/>
    <col min="38" max="38" width="18.109375" style="6" customWidth="1"/>
    <col min="39" max="264" width="9.109375" style="6"/>
    <col min="265" max="265" width="2.109375" style="6" customWidth="1"/>
    <col min="266" max="266" width="14" style="6" customWidth="1"/>
    <col min="267" max="267" width="0.6640625" style="6" customWidth="1"/>
    <col min="268" max="268" width="17.109375" style="6" customWidth="1"/>
    <col min="269" max="269" width="1.109375" style="6" customWidth="1"/>
    <col min="270" max="270" width="18.33203125" style="6" customWidth="1"/>
    <col min="271" max="271" width="1" style="6" customWidth="1"/>
    <col min="272" max="272" width="41.33203125" style="6" customWidth="1"/>
    <col min="273" max="273" width="1" style="6" customWidth="1"/>
    <col min="274" max="274" width="11.109375" style="6" customWidth="1"/>
    <col min="275" max="275" width="1.33203125" style="6" customWidth="1"/>
    <col min="276" max="276" width="10.6640625" style="6" customWidth="1"/>
    <col min="277" max="277" width="1" style="6" customWidth="1"/>
    <col min="278" max="278" width="10.44140625" style="6" customWidth="1"/>
    <col min="279" max="279" width="0.88671875" style="6" customWidth="1"/>
    <col min="280" max="280" width="14" style="6" customWidth="1"/>
    <col min="281" max="281" width="0.88671875" style="6" customWidth="1"/>
    <col min="282" max="282" width="8.44140625" style="6" customWidth="1"/>
    <col min="283" max="283" width="0.88671875" style="6" customWidth="1"/>
    <col min="284" max="284" width="9.88671875" style="6" customWidth="1"/>
    <col min="285" max="285" width="0.88671875" style="6" customWidth="1"/>
    <col min="286" max="286" width="16" style="6" customWidth="1"/>
    <col min="287" max="287" width="0.5546875" style="6" customWidth="1"/>
    <col min="288" max="288" width="9.44140625" style="6" bestFit="1" customWidth="1"/>
    <col min="289" max="289" width="1.109375" style="6" customWidth="1"/>
    <col min="290" max="520" width="9.109375" style="6"/>
    <col min="521" max="521" width="2.109375" style="6" customWidth="1"/>
    <col min="522" max="522" width="14" style="6" customWidth="1"/>
    <col min="523" max="523" width="0.6640625" style="6" customWidth="1"/>
    <col min="524" max="524" width="17.109375" style="6" customWidth="1"/>
    <col min="525" max="525" width="1.109375" style="6" customWidth="1"/>
    <col min="526" max="526" width="18.33203125" style="6" customWidth="1"/>
    <col min="527" max="527" width="1" style="6" customWidth="1"/>
    <col min="528" max="528" width="41.33203125" style="6" customWidth="1"/>
    <col min="529" max="529" width="1" style="6" customWidth="1"/>
    <col min="530" max="530" width="11.109375" style="6" customWidth="1"/>
    <col min="531" max="531" width="1.33203125" style="6" customWidth="1"/>
    <col min="532" max="532" width="10.6640625" style="6" customWidth="1"/>
    <col min="533" max="533" width="1" style="6" customWidth="1"/>
    <col min="534" max="534" width="10.44140625" style="6" customWidth="1"/>
    <col min="535" max="535" width="0.88671875" style="6" customWidth="1"/>
    <col min="536" max="536" width="14" style="6" customWidth="1"/>
    <col min="537" max="537" width="0.88671875" style="6" customWidth="1"/>
    <col min="538" max="538" width="8.44140625" style="6" customWidth="1"/>
    <col min="539" max="539" width="0.88671875" style="6" customWidth="1"/>
    <col min="540" max="540" width="9.88671875" style="6" customWidth="1"/>
    <col min="541" max="541" width="0.88671875" style="6" customWidth="1"/>
    <col min="542" max="542" width="16" style="6" customWidth="1"/>
    <col min="543" max="543" width="0.5546875" style="6" customWidth="1"/>
    <col min="544" max="544" width="9.44140625" style="6" bestFit="1" customWidth="1"/>
    <col min="545" max="545" width="1.109375" style="6" customWidth="1"/>
    <col min="546" max="776" width="9.109375" style="6"/>
    <col min="777" max="777" width="2.109375" style="6" customWidth="1"/>
    <col min="778" max="778" width="14" style="6" customWidth="1"/>
    <col min="779" max="779" width="0.6640625" style="6" customWidth="1"/>
    <col min="780" max="780" width="17.109375" style="6" customWidth="1"/>
    <col min="781" max="781" width="1.109375" style="6" customWidth="1"/>
    <col min="782" max="782" width="18.33203125" style="6" customWidth="1"/>
    <col min="783" max="783" width="1" style="6" customWidth="1"/>
    <col min="784" max="784" width="41.33203125" style="6" customWidth="1"/>
    <col min="785" max="785" width="1" style="6" customWidth="1"/>
    <col min="786" max="786" width="11.109375" style="6" customWidth="1"/>
    <col min="787" max="787" width="1.33203125" style="6" customWidth="1"/>
    <col min="788" max="788" width="10.6640625" style="6" customWidth="1"/>
    <col min="789" max="789" width="1" style="6" customWidth="1"/>
    <col min="790" max="790" width="10.44140625" style="6" customWidth="1"/>
    <col min="791" max="791" width="0.88671875" style="6" customWidth="1"/>
    <col min="792" max="792" width="14" style="6" customWidth="1"/>
    <col min="793" max="793" width="0.88671875" style="6" customWidth="1"/>
    <col min="794" max="794" width="8.44140625" style="6" customWidth="1"/>
    <col min="795" max="795" width="0.88671875" style="6" customWidth="1"/>
    <col min="796" max="796" width="9.88671875" style="6" customWidth="1"/>
    <col min="797" max="797" width="0.88671875" style="6" customWidth="1"/>
    <col min="798" max="798" width="16" style="6" customWidth="1"/>
    <col min="799" max="799" width="0.5546875" style="6" customWidth="1"/>
    <col min="800" max="800" width="9.44140625" style="6" bestFit="1" customWidth="1"/>
    <col min="801" max="801" width="1.109375" style="6" customWidth="1"/>
    <col min="802" max="1032" width="9.109375" style="6"/>
    <col min="1033" max="1033" width="2.109375" style="6" customWidth="1"/>
    <col min="1034" max="1034" width="14" style="6" customWidth="1"/>
    <col min="1035" max="1035" width="0.6640625" style="6" customWidth="1"/>
    <col min="1036" max="1036" width="17.109375" style="6" customWidth="1"/>
    <col min="1037" max="1037" width="1.109375" style="6" customWidth="1"/>
    <col min="1038" max="1038" width="18.33203125" style="6" customWidth="1"/>
    <col min="1039" max="1039" width="1" style="6" customWidth="1"/>
    <col min="1040" max="1040" width="41.33203125" style="6" customWidth="1"/>
    <col min="1041" max="1041" width="1" style="6" customWidth="1"/>
    <col min="1042" max="1042" width="11.109375" style="6" customWidth="1"/>
    <col min="1043" max="1043" width="1.33203125" style="6" customWidth="1"/>
    <col min="1044" max="1044" width="10.6640625" style="6" customWidth="1"/>
    <col min="1045" max="1045" width="1" style="6" customWidth="1"/>
    <col min="1046" max="1046" width="10.44140625" style="6" customWidth="1"/>
    <col min="1047" max="1047" width="0.88671875" style="6" customWidth="1"/>
    <col min="1048" max="1048" width="14" style="6" customWidth="1"/>
    <col min="1049" max="1049" width="0.88671875" style="6" customWidth="1"/>
    <col min="1050" max="1050" width="8.44140625" style="6" customWidth="1"/>
    <col min="1051" max="1051" width="0.88671875" style="6" customWidth="1"/>
    <col min="1052" max="1052" width="9.88671875" style="6" customWidth="1"/>
    <col min="1053" max="1053" width="0.88671875" style="6" customWidth="1"/>
    <col min="1054" max="1054" width="16" style="6" customWidth="1"/>
    <col min="1055" max="1055" width="0.5546875" style="6" customWidth="1"/>
    <col min="1056" max="1056" width="9.44140625" style="6" bestFit="1" customWidth="1"/>
    <col min="1057" max="1057" width="1.109375" style="6" customWidth="1"/>
    <col min="1058" max="1288" width="9.109375" style="6"/>
    <col min="1289" max="1289" width="2.109375" style="6" customWidth="1"/>
    <col min="1290" max="1290" width="14" style="6" customWidth="1"/>
    <col min="1291" max="1291" width="0.6640625" style="6" customWidth="1"/>
    <col min="1292" max="1292" width="17.109375" style="6" customWidth="1"/>
    <col min="1293" max="1293" width="1.109375" style="6" customWidth="1"/>
    <col min="1294" max="1294" width="18.33203125" style="6" customWidth="1"/>
    <col min="1295" max="1295" width="1" style="6" customWidth="1"/>
    <col min="1296" max="1296" width="41.33203125" style="6" customWidth="1"/>
    <col min="1297" max="1297" width="1" style="6" customWidth="1"/>
    <col min="1298" max="1298" width="11.109375" style="6" customWidth="1"/>
    <col min="1299" max="1299" width="1.33203125" style="6" customWidth="1"/>
    <col min="1300" max="1300" width="10.6640625" style="6" customWidth="1"/>
    <col min="1301" max="1301" width="1" style="6" customWidth="1"/>
    <col min="1302" max="1302" width="10.44140625" style="6" customWidth="1"/>
    <col min="1303" max="1303" width="0.88671875" style="6" customWidth="1"/>
    <col min="1304" max="1304" width="14" style="6" customWidth="1"/>
    <col min="1305" max="1305" width="0.88671875" style="6" customWidth="1"/>
    <col min="1306" max="1306" width="8.44140625" style="6" customWidth="1"/>
    <col min="1307" max="1307" width="0.88671875" style="6" customWidth="1"/>
    <col min="1308" max="1308" width="9.88671875" style="6" customWidth="1"/>
    <col min="1309" max="1309" width="0.88671875" style="6" customWidth="1"/>
    <col min="1310" max="1310" width="16" style="6" customWidth="1"/>
    <col min="1311" max="1311" width="0.5546875" style="6" customWidth="1"/>
    <col min="1312" max="1312" width="9.44140625" style="6" bestFit="1" customWidth="1"/>
    <col min="1313" max="1313" width="1.109375" style="6" customWidth="1"/>
    <col min="1314" max="1544" width="9.109375" style="6"/>
    <col min="1545" max="1545" width="2.109375" style="6" customWidth="1"/>
    <col min="1546" max="1546" width="14" style="6" customWidth="1"/>
    <col min="1547" max="1547" width="0.6640625" style="6" customWidth="1"/>
    <col min="1548" max="1548" width="17.109375" style="6" customWidth="1"/>
    <col min="1549" max="1549" width="1.109375" style="6" customWidth="1"/>
    <col min="1550" max="1550" width="18.33203125" style="6" customWidth="1"/>
    <col min="1551" max="1551" width="1" style="6" customWidth="1"/>
    <col min="1552" max="1552" width="41.33203125" style="6" customWidth="1"/>
    <col min="1553" max="1553" width="1" style="6" customWidth="1"/>
    <col min="1554" max="1554" width="11.109375" style="6" customWidth="1"/>
    <col min="1555" max="1555" width="1.33203125" style="6" customWidth="1"/>
    <col min="1556" max="1556" width="10.6640625" style="6" customWidth="1"/>
    <col min="1557" max="1557" width="1" style="6" customWidth="1"/>
    <col min="1558" max="1558" width="10.44140625" style="6" customWidth="1"/>
    <col min="1559" max="1559" width="0.88671875" style="6" customWidth="1"/>
    <col min="1560" max="1560" width="14" style="6" customWidth="1"/>
    <col min="1561" max="1561" width="0.88671875" style="6" customWidth="1"/>
    <col min="1562" max="1562" width="8.44140625" style="6" customWidth="1"/>
    <col min="1563" max="1563" width="0.88671875" style="6" customWidth="1"/>
    <col min="1564" max="1564" width="9.88671875" style="6" customWidth="1"/>
    <col min="1565" max="1565" width="0.88671875" style="6" customWidth="1"/>
    <col min="1566" max="1566" width="16" style="6" customWidth="1"/>
    <col min="1567" max="1567" width="0.5546875" style="6" customWidth="1"/>
    <col min="1568" max="1568" width="9.44140625" style="6" bestFit="1" customWidth="1"/>
    <col min="1569" max="1569" width="1.109375" style="6" customWidth="1"/>
    <col min="1570" max="1800" width="9.109375" style="6"/>
    <col min="1801" max="1801" width="2.109375" style="6" customWidth="1"/>
    <col min="1802" max="1802" width="14" style="6" customWidth="1"/>
    <col min="1803" max="1803" width="0.6640625" style="6" customWidth="1"/>
    <col min="1804" max="1804" width="17.109375" style="6" customWidth="1"/>
    <col min="1805" max="1805" width="1.109375" style="6" customWidth="1"/>
    <col min="1806" max="1806" width="18.33203125" style="6" customWidth="1"/>
    <col min="1807" max="1807" width="1" style="6" customWidth="1"/>
    <col min="1808" max="1808" width="41.33203125" style="6" customWidth="1"/>
    <col min="1809" max="1809" width="1" style="6" customWidth="1"/>
    <col min="1810" max="1810" width="11.109375" style="6" customWidth="1"/>
    <col min="1811" max="1811" width="1.33203125" style="6" customWidth="1"/>
    <col min="1812" max="1812" width="10.6640625" style="6" customWidth="1"/>
    <col min="1813" max="1813" width="1" style="6" customWidth="1"/>
    <col min="1814" max="1814" width="10.44140625" style="6" customWidth="1"/>
    <col min="1815" max="1815" width="0.88671875" style="6" customWidth="1"/>
    <col min="1816" max="1816" width="14" style="6" customWidth="1"/>
    <col min="1817" max="1817" width="0.88671875" style="6" customWidth="1"/>
    <col min="1818" max="1818" width="8.44140625" style="6" customWidth="1"/>
    <col min="1819" max="1819" width="0.88671875" style="6" customWidth="1"/>
    <col min="1820" max="1820" width="9.88671875" style="6" customWidth="1"/>
    <col min="1821" max="1821" width="0.88671875" style="6" customWidth="1"/>
    <col min="1822" max="1822" width="16" style="6" customWidth="1"/>
    <col min="1823" max="1823" width="0.5546875" style="6" customWidth="1"/>
    <col min="1824" max="1824" width="9.44140625" style="6" bestFit="1" customWidth="1"/>
    <col min="1825" max="1825" width="1.109375" style="6" customWidth="1"/>
    <col min="1826" max="2056" width="9.109375" style="6"/>
    <col min="2057" max="2057" width="2.109375" style="6" customWidth="1"/>
    <col min="2058" max="2058" width="14" style="6" customWidth="1"/>
    <col min="2059" max="2059" width="0.6640625" style="6" customWidth="1"/>
    <col min="2060" max="2060" width="17.109375" style="6" customWidth="1"/>
    <col min="2061" max="2061" width="1.109375" style="6" customWidth="1"/>
    <col min="2062" max="2062" width="18.33203125" style="6" customWidth="1"/>
    <col min="2063" max="2063" width="1" style="6" customWidth="1"/>
    <col min="2064" max="2064" width="41.33203125" style="6" customWidth="1"/>
    <col min="2065" max="2065" width="1" style="6" customWidth="1"/>
    <col min="2066" max="2066" width="11.109375" style="6" customWidth="1"/>
    <col min="2067" max="2067" width="1.33203125" style="6" customWidth="1"/>
    <col min="2068" max="2068" width="10.6640625" style="6" customWidth="1"/>
    <col min="2069" max="2069" width="1" style="6" customWidth="1"/>
    <col min="2070" max="2070" width="10.44140625" style="6" customWidth="1"/>
    <col min="2071" max="2071" width="0.88671875" style="6" customWidth="1"/>
    <col min="2072" max="2072" width="14" style="6" customWidth="1"/>
    <col min="2073" max="2073" width="0.88671875" style="6" customWidth="1"/>
    <col min="2074" max="2074" width="8.44140625" style="6" customWidth="1"/>
    <col min="2075" max="2075" width="0.88671875" style="6" customWidth="1"/>
    <col min="2076" max="2076" width="9.88671875" style="6" customWidth="1"/>
    <col min="2077" max="2077" width="0.88671875" style="6" customWidth="1"/>
    <col min="2078" max="2078" width="16" style="6" customWidth="1"/>
    <col min="2079" max="2079" width="0.5546875" style="6" customWidth="1"/>
    <col min="2080" max="2080" width="9.44140625" style="6" bestFit="1" customWidth="1"/>
    <col min="2081" max="2081" width="1.109375" style="6" customWidth="1"/>
    <col min="2082" max="2312" width="9.109375" style="6"/>
    <col min="2313" max="2313" width="2.109375" style="6" customWidth="1"/>
    <col min="2314" max="2314" width="14" style="6" customWidth="1"/>
    <col min="2315" max="2315" width="0.6640625" style="6" customWidth="1"/>
    <col min="2316" max="2316" width="17.109375" style="6" customWidth="1"/>
    <col min="2317" max="2317" width="1.109375" style="6" customWidth="1"/>
    <col min="2318" max="2318" width="18.33203125" style="6" customWidth="1"/>
    <col min="2319" max="2319" width="1" style="6" customWidth="1"/>
    <col min="2320" max="2320" width="41.33203125" style="6" customWidth="1"/>
    <col min="2321" max="2321" width="1" style="6" customWidth="1"/>
    <col min="2322" max="2322" width="11.109375" style="6" customWidth="1"/>
    <col min="2323" max="2323" width="1.33203125" style="6" customWidth="1"/>
    <col min="2324" max="2324" width="10.6640625" style="6" customWidth="1"/>
    <col min="2325" max="2325" width="1" style="6" customWidth="1"/>
    <col min="2326" max="2326" width="10.44140625" style="6" customWidth="1"/>
    <col min="2327" max="2327" width="0.88671875" style="6" customWidth="1"/>
    <col min="2328" max="2328" width="14" style="6" customWidth="1"/>
    <col min="2329" max="2329" width="0.88671875" style="6" customWidth="1"/>
    <col min="2330" max="2330" width="8.44140625" style="6" customWidth="1"/>
    <col min="2331" max="2331" width="0.88671875" style="6" customWidth="1"/>
    <col min="2332" max="2332" width="9.88671875" style="6" customWidth="1"/>
    <col min="2333" max="2333" width="0.88671875" style="6" customWidth="1"/>
    <col min="2334" max="2334" width="16" style="6" customWidth="1"/>
    <col min="2335" max="2335" width="0.5546875" style="6" customWidth="1"/>
    <col min="2336" max="2336" width="9.44140625" style="6" bestFit="1" customWidth="1"/>
    <col min="2337" max="2337" width="1.109375" style="6" customWidth="1"/>
    <col min="2338" max="2568" width="9.109375" style="6"/>
    <col min="2569" max="2569" width="2.109375" style="6" customWidth="1"/>
    <col min="2570" max="2570" width="14" style="6" customWidth="1"/>
    <col min="2571" max="2571" width="0.6640625" style="6" customWidth="1"/>
    <col min="2572" max="2572" width="17.109375" style="6" customWidth="1"/>
    <col min="2573" max="2573" width="1.109375" style="6" customWidth="1"/>
    <col min="2574" max="2574" width="18.33203125" style="6" customWidth="1"/>
    <col min="2575" max="2575" width="1" style="6" customWidth="1"/>
    <col min="2576" max="2576" width="41.33203125" style="6" customWidth="1"/>
    <col min="2577" max="2577" width="1" style="6" customWidth="1"/>
    <col min="2578" max="2578" width="11.109375" style="6" customWidth="1"/>
    <col min="2579" max="2579" width="1.33203125" style="6" customWidth="1"/>
    <col min="2580" max="2580" width="10.6640625" style="6" customWidth="1"/>
    <col min="2581" max="2581" width="1" style="6" customWidth="1"/>
    <col min="2582" max="2582" width="10.44140625" style="6" customWidth="1"/>
    <col min="2583" max="2583" width="0.88671875" style="6" customWidth="1"/>
    <col min="2584" max="2584" width="14" style="6" customWidth="1"/>
    <col min="2585" max="2585" width="0.88671875" style="6" customWidth="1"/>
    <col min="2586" max="2586" width="8.44140625" style="6" customWidth="1"/>
    <col min="2587" max="2587" width="0.88671875" style="6" customWidth="1"/>
    <col min="2588" max="2588" width="9.88671875" style="6" customWidth="1"/>
    <col min="2589" max="2589" width="0.88671875" style="6" customWidth="1"/>
    <col min="2590" max="2590" width="16" style="6" customWidth="1"/>
    <col min="2591" max="2591" width="0.5546875" style="6" customWidth="1"/>
    <col min="2592" max="2592" width="9.44140625" style="6" bestFit="1" customWidth="1"/>
    <col min="2593" max="2593" width="1.109375" style="6" customWidth="1"/>
    <col min="2594" max="2824" width="9.109375" style="6"/>
    <col min="2825" max="2825" width="2.109375" style="6" customWidth="1"/>
    <col min="2826" max="2826" width="14" style="6" customWidth="1"/>
    <col min="2827" max="2827" width="0.6640625" style="6" customWidth="1"/>
    <col min="2828" max="2828" width="17.109375" style="6" customWidth="1"/>
    <col min="2829" max="2829" width="1.109375" style="6" customWidth="1"/>
    <col min="2830" max="2830" width="18.33203125" style="6" customWidth="1"/>
    <col min="2831" max="2831" width="1" style="6" customWidth="1"/>
    <col min="2832" max="2832" width="41.33203125" style="6" customWidth="1"/>
    <col min="2833" max="2833" width="1" style="6" customWidth="1"/>
    <col min="2834" max="2834" width="11.109375" style="6" customWidth="1"/>
    <col min="2835" max="2835" width="1.33203125" style="6" customWidth="1"/>
    <col min="2836" max="2836" width="10.6640625" style="6" customWidth="1"/>
    <col min="2837" max="2837" width="1" style="6" customWidth="1"/>
    <col min="2838" max="2838" width="10.44140625" style="6" customWidth="1"/>
    <col min="2839" max="2839" width="0.88671875" style="6" customWidth="1"/>
    <col min="2840" max="2840" width="14" style="6" customWidth="1"/>
    <col min="2841" max="2841" width="0.88671875" style="6" customWidth="1"/>
    <col min="2842" max="2842" width="8.44140625" style="6" customWidth="1"/>
    <col min="2843" max="2843" width="0.88671875" style="6" customWidth="1"/>
    <col min="2844" max="2844" width="9.88671875" style="6" customWidth="1"/>
    <col min="2845" max="2845" width="0.88671875" style="6" customWidth="1"/>
    <col min="2846" max="2846" width="16" style="6" customWidth="1"/>
    <col min="2847" max="2847" width="0.5546875" style="6" customWidth="1"/>
    <col min="2848" max="2848" width="9.44140625" style="6" bestFit="1" customWidth="1"/>
    <col min="2849" max="2849" width="1.109375" style="6" customWidth="1"/>
    <col min="2850" max="3080" width="9.109375" style="6"/>
    <col min="3081" max="3081" width="2.109375" style="6" customWidth="1"/>
    <col min="3082" max="3082" width="14" style="6" customWidth="1"/>
    <col min="3083" max="3083" width="0.6640625" style="6" customWidth="1"/>
    <col min="3084" max="3084" width="17.109375" style="6" customWidth="1"/>
    <col min="3085" max="3085" width="1.109375" style="6" customWidth="1"/>
    <col min="3086" max="3086" width="18.33203125" style="6" customWidth="1"/>
    <col min="3087" max="3087" width="1" style="6" customWidth="1"/>
    <col min="3088" max="3088" width="41.33203125" style="6" customWidth="1"/>
    <col min="3089" max="3089" width="1" style="6" customWidth="1"/>
    <col min="3090" max="3090" width="11.109375" style="6" customWidth="1"/>
    <col min="3091" max="3091" width="1.33203125" style="6" customWidth="1"/>
    <col min="3092" max="3092" width="10.6640625" style="6" customWidth="1"/>
    <col min="3093" max="3093" width="1" style="6" customWidth="1"/>
    <col min="3094" max="3094" width="10.44140625" style="6" customWidth="1"/>
    <col min="3095" max="3095" width="0.88671875" style="6" customWidth="1"/>
    <col min="3096" max="3096" width="14" style="6" customWidth="1"/>
    <col min="3097" max="3097" width="0.88671875" style="6" customWidth="1"/>
    <col min="3098" max="3098" width="8.44140625" style="6" customWidth="1"/>
    <col min="3099" max="3099" width="0.88671875" style="6" customWidth="1"/>
    <col min="3100" max="3100" width="9.88671875" style="6" customWidth="1"/>
    <col min="3101" max="3101" width="0.88671875" style="6" customWidth="1"/>
    <col min="3102" max="3102" width="16" style="6" customWidth="1"/>
    <col min="3103" max="3103" width="0.5546875" style="6" customWidth="1"/>
    <col min="3104" max="3104" width="9.44140625" style="6" bestFit="1" customWidth="1"/>
    <col min="3105" max="3105" width="1.109375" style="6" customWidth="1"/>
    <col min="3106" max="3336" width="9.109375" style="6"/>
    <col min="3337" max="3337" width="2.109375" style="6" customWidth="1"/>
    <col min="3338" max="3338" width="14" style="6" customWidth="1"/>
    <col min="3339" max="3339" width="0.6640625" style="6" customWidth="1"/>
    <col min="3340" max="3340" width="17.109375" style="6" customWidth="1"/>
    <col min="3341" max="3341" width="1.109375" style="6" customWidth="1"/>
    <col min="3342" max="3342" width="18.33203125" style="6" customWidth="1"/>
    <col min="3343" max="3343" width="1" style="6" customWidth="1"/>
    <col min="3344" max="3344" width="41.33203125" style="6" customWidth="1"/>
    <col min="3345" max="3345" width="1" style="6" customWidth="1"/>
    <col min="3346" max="3346" width="11.109375" style="6" customWidth="1"/>
    <col min="3347" max="3347" width="1.33203125" style="6" customWidth="1"/>
    <col min="3348" max="3348" width="10.6640625" style="6" customWidth="1"/>
    <col min="3349" max="3349" width="1" style="6" customWidth="1"/>
    <col min="3350" max="3350" width="10.44140625" style="6" customWidth="1"/>
    <col min="3351" max="3351" width="0.88671875" style="6" customWidth="1"/>
    <col min="3352" max="3352" width="14" style="6" customWidth="1"/>
    <col min="3353" max="3353" width="0.88671875" style="6" customWidth="1"/>
    <col min="3354" max="3354" width="8.44140625" style="6" customWidth="1"/>
    <col min="3355" max="3355" width="0.88671875" style="6" customWidth="1"/>
    <col min="3356" max="3356" width="9.88671875" style="6" customWidth="1"/>
    <col min="3357" max="3357" width="0.88671875" style="6" customWidth="1"/>
    <col min="3358" max="3358" width="16" style="6" customWidth="1"/>
    <col min="3359" max="3359" width="0.5546875" style="6" customWidth="1"/>
    <col min="3360" max="3360" width="9.44140625" style="6" bestFit="1" customWidth="1"/>
    <col min="3361" max="3361" width="1.109375" style="6" customWidth="1"/>
    <col min="3362" max="3592" width="9.109375" style="6"/>
    <col min="3593" max="3593" width="2.109375" style="6" customWidth="1"/>
    <col min="3594" max="3594" width="14" style="6" customWidth="1"/>
    <col min="3595" max="3595" width="0.6640625" style="6" customWidth="1"/>
    <col min="3596" max="3596" width="17.109375" style="6" customWidth="1"/>
    <col min="3597" max="3597" width="1.109375" style="6" customWidth="1"/>
    <col min="3598" max="3598" width="18.33203125" style="6" customWidth="1"/>
    <col min="3599" max="3599" width="1" style="6" customWidth="1"/>
    <col min="3600" max="3600" width="41.33203125" style="6" customWidth="1"/>
    <col min="3601" max="3601" width="1" style="6" customWidth="1"/>
    <col min="3602" max="3602" width="11.109375" style="6" customWidth="1"/>
    <col min="3603" max="3603" width="1.33203125" style="6" customWidth="1"/>
    <col min="3604" max="3604" width="10.6640625" style="6" customWidth="1"/>
    <col min="3605" max="3605" width="1" style="6" customWidth="1"/>
    <col min="3606" max="3606" width="10.44140625" style="6" customWidth="1"/>
    <col min="3607" max="3607" width="0.88671875" style="6" customWidth="1"/>
    <col min="3608" max="3608" width="14" style="6" customWidth="1"/>
    <col min="3609" max="3609" width="0.88671875" style="6" customWidth="1"/>
    <col min="3610" max="3610" width="8.44140625" style="6" customWidth="1"/>
    <col min="3611" max="3611" width="0.88671875" style="6" customWidth="1"/>
    <col min="3612" max="3612" width="9.88671875" style="6" customWidth="1"/>
    <col min="3613" max="3613" width="0.88671875" style="6" customWidth="1"/>
    <col min="3614" max="3614" width="16" style="6" customWidth="1"/>
    <col min="3615" max="3615" width="0.5546875" style="6" customWidth="1"/>
    <col min="3616" max="3616" width="9.44140625" style="6" bestFit="1" customWidth="1"/>
    <col min="3617" max="3617" width="1.109375" style="6" customWidth="1"/>
    <col min="3618" max="3848" width="9.109375" style="6"/>
    <col min="3849" max="3849" width="2.109375" style="6" customWidth="1"/>
    <col min="3850" max="3850" width="14" style="6" customWidth="1"/>
    <col min="3851" max="3851" width="0.6640625" style="6" customWidth="1"/>
    <col min="3852" max="3852" width="17.109375" style="6" customWidth="1"/>
    <col min="3853" max="3853" width="1.109375" style="6" customWidth="1"/>
    <col min="3854" max="3854" width="18.33203125" style="6" customWidth="1"/>
    <col min="3855" max="3855" width="1" style="6" customWidth="1"/>
    <col min="3856" max="3856" width="41.33203125" style="6" customWidth="1"/>
    <col min="3857" max="3857" width="1" style="6" customWidth="1"/>
    <col min="3858" max="3858" width="11.109375" style="6" customWidth="1"/>
    <col min="3859" max="3859" width="1.33203125" style="6" customWidth="1"/>
    <col min="3860" max="3860" width="10.6640625" style="6" customWidth="1"/>
    <col min="3861" max="3861" width="1" style="6" customWidth="1"/>
    <col min="3862" max="3862" width="10.44140625" style="6" customWidth="1"/>
    <col min="3863" max="3863" width="0.88671875" style="6" customWidth="1"/>
    <col min="3864" max="3864" width="14" style="6" customWidth="1"/>
    <col min="3865" max="3865" width="0.88671875" style="6" customWidth="1"/>
    <col min="3866" max="3866" width="8.44140625" style="6" customWidth="1"/>
    <col min="3867" max="3867" width="0.88671875" style="6" customWidth="1"/>
    <col min="3868" max="3868" width="9.88671875" style="6" customWidth="1"/>
    <col min="3869" max="3869" width="0.88671875" style="6" customWidth="1"/>
    <col min="3870" max="3870" width="16" style="6" customWidth="1"/>
    <col min="3871" max="3871" width="0.5546875" style="6" customWidth="1"/>
    <col min="3872" max="3872" width="9.44140625" style="6" bestFit="1" customWidth="1"/>
    <col min="3873" max="3873" width="1.109375" style="6" customWidth="1"/>
    <col min="3874" max="4104" width="9.109375" style="6"/>
    <col min="4105" max="4105" width="2.109375" style="6" customWidth="1"/>
    <col min="4106" max="4106" width="14" style="6" customWidth="1"/>
    <col min="4107" max="4107" width="0.6640625" style="6" customWidth="1"/>
    <col min="4108" max="4108" width="17.109375" style="6" customWidth="1"/>
    <col min="4109" max="4109" width="1.109375" style="6" customWidth="1"/>
    <col min="4110" max="4110" width="18.33203125" style="6" customWidth="1"/>
    <col min="4111" max="4111" width="1" style="6" customWidth="1"/>
    <col min="4112" max="4112" width="41.33203125" style="6" customWidth="1"/>
    <col min="4113" max="4113" width="1" style="6" customWidth="1"/>
    <col min="4114" max="4114" width="11.109375" style="6" customWidth="1"/>
    <col min="4115" max="4115" width="1.33203125" style="6" customWidth="1"/>
    <col min="4116" max="4116" width="10.6640625" style="6" customWidth="1"/>
    <col min="4117" max="4117" width="1" style="6" customWidth="1"/>
    <col min="4118" max="4118" width="10.44140625" style="6" customWidth="1"/>
    <col min="4119" max="4119" width="0.88671875" style="6" customWidth="1"/>
    <col min="4120" max="4120" width="14" style="6" customWidth="1"/>
    <col min="4121" max="4121" width="0.88671875" style="6" customWidth="1"/>
    <col min="4122" max="4122" width="8.44140625" style="6" customWidth="1"/>
    <col min="4123" max="4123" width="0.88671875" style="6" customWidth="1"/>
    <col min="4124" max="4124" width="9.88671875" style="6" customWidth="1"/>
    <col min="4125" max="4125" width="0.88671875" style="6" customWidth="1"/>
    <col min="4126" max="4126" width="16" style="6" customWidth="1"/>
    <col min="4127" max="4127" width="0.5546875" style="6" customWidth="1"/>
    <col min="4128" max="4128" width="9.44140625" style="6" bestFit="1" customWidth="1"/>
    <col min="4129" max="4129" width="1.109375" style="6" customWidth="1"/>
    <col min="4130" max="4360" width="9.109375" style="6"/>
    <col min="4361" max="4361" width="2.109375" style="6" customWidth="1"/>
    <col min="4362" max="4362" width="14" style="6" customWidth="1"/>
    <col min="4363" max="4363" width="0.6640625" style="6" customWidth="1"/>
    <col min="4364" max="4364" width="17.109375" style="6" customWidth="1"/>
    <col min="4365" max="4365" width="1.109375" style="6" customWidth="1"/>
    <col min="4366" max="4366" width="18.33203125" style="6" customWidth="1"/>
    <col min="4367" max="4367" width="1" style="6" customWidth="1"/>
    <col min="4368" max="4368" width="41.33203125" style="6" customWidth="1"/>
    <col min="4369" max="4369" width="1" style="6" customWidth="1"/>
    <col min="4370" max="4370" width="11.109375" style="6" customWidth="1"/>
    <col min="4371" max="4371" width="1.33203125" style="6" customWidth="1"/>
    <col min="4372" max="4372" width="10.6640625" style="6" customWidth="1"/>
    <col min="4373" max="4373" width="1" style="6" customWidth="1"/>
    <col min="4374" max="4374" width="10.44140625" style="6" customWidth="1"/>
    <col min="4375" max="4375" width="0.88671875" style="6" customWidth="1"/>
    <col min="4376" max="4376" width="14" style="6" customWidth="1"/>
    <col min="4377" max="4377" width="0.88671875" style="6" customWidth="1"/>
    <col min="4378" max="4378" width="8.44140625" style="6" customWidth="1"/>
    <col min="4379" max="4379" width="0.88671875" style="6" customWidth="1"/>
    <col min="4380" max="4380" width="9.88671875" style="6" customWidth="1"/>
    <col min="4381" max="4381" width="0.88671875" style="6" customWidth="1"/>
    <col min="4382" max="4382" width="16" style="6" customWidth="1"/>
    <col min="4383" max="4383" width="0.5546875" style="6" customWidth="1"/>
    <col min="4384" max="4384" width="9.44140625" style="6" bestFit="1" customWidth="1"/>
    <col min="4385" max="4385" width="1.109375" style="6" customWidth="1"/>
    <col min="4386" max="4616" width="9.109375" style="6"/>
    <col min="4617" max="4617" width="2.109375" style="6" customWidth="1"/>
    <col min="4618" max="4618" width="14" style="6" customWidth="1"/>
    <col min="4619" max="4619" width="0.6640625" style="6" customWidth="1"/>
    <col min="4620" max="4620" width="17.109375" style="6" customWidth="1"/>
    <col min="4621" max="4621" width="1.109375" style="6" customWidth="1"/>
    <col min="4622" max="4622" width="18.33203125" style="6" customWidth="1"/>
    <col min="4623" max="4623" width="1" style="6" customWidth="1"/>
    <col min="4624" max="4624" width="41.33203125" style="6" customWidth="1"/>
    <col min="4625" max="4625" width="1" style="6" customWidth="1"/>
    <col min="4626" max="4626" width="11.109375" style="6" customWidth="1"/>
    <col min="4627" max="4627" width="1.33203125" style="6" customWidth="1"/>
    <col min="4628" max="4628" width="10.6640625" style="6" customWidth="1"/>
    <col min="4629" max="4629" width="1" style="6" customWidth="1"/>
    <col min="4630" max="4630" width="10.44140625" style="6" customWidth="1"/>
    <col min="4631" max="4631" width="0.88671875" style="6" customWidth="1"/>
    <col min="4632" max="4632" width="14" style="6" customWidth="1"/>
    <col min="4633" max="4633" width="0.88671875" style="6" customWidth="1"/>
    <col min="4634" max="4634" width="8.44140625" style="6" customWidth="1"/>
    <col min="4635" max="4635" width="0.88671875" style="6" customWidth="1"/>
    <col min="4636" max="4636" width="9.88671875" style="6" customWidth="1"/>
    <col min="4637" max="4637" width="0.88671875" style="6" customWidth="1"/>
    <col min="4638" max="4638" width="16" style="6" customWidth="1"/>
    <col min="4639" max="4639" width="0.5546875" style="6" customWidth="1"/>
    <col min="4640" max="4640" width="9.44140625" style="6" bestFit="1" customWidth="1"/>
    <col min="4641" max="4641" width="1.109375" style="6" customWidth="1"/>
    <col min="4642" max="4872" width="9.109375" style="6"/>
    <col min="4873" max="4873" width="2.109375" style="6" customWidth="1"/>
    <col min="4874" max="4874" width="14" style="6" customWidth="1"/>
    <col min="4875" max="4875" width="0.6640625" style="6" customWidth="1"/>
    <col min="4876" max="4876" width="17.109375" style="6" customWidth="1"/>
    <col min="4877" max="4877" width="1.109375" style="6" customWidth="1"/>
    <col min="4878" max="4878" width="18.33203125" style="6" customWidth="1"/>
    <col min="4879" max="4879" width="1" style="6" customWidth="1"/>
    <col min="4880" max="4880" width="41.33203125" style="6" customWidth="1"/>
    <col min="4881" max="4881" width="1" style="6" customWidth="1"/>
    <col min="4882" max="4882" width="11.109375" style="6" customWidth="1"/>
    <col min="4883" max="4883" width="1.33203125" style="6" customWidth="1"/>
    <col min="4884" max="4884" width="10.6640625" style="6" customWidth="1"/>
    <col min="4885" max="4885" width="1" style="6" customWidth="1"/>
    <col min="4886" max="4886" width="10.44140625" style="6" customWidth="1"/>
    <col min="4887" max="4887" width="0.88671875" style="6" customWidth="1"/>
    <col min="4888" max="4888" width="14" style="6" customWidth="1"/>
    <col min="4889" max="4889" width="0.88671875" style="6" customWidth="1"/>
    <col min="4890" max="4890" width="8.44140625" style="6" customWidth="1"/>
    <col min="4891" max="4891" width="0.88671875" style="6" customWidth="1"/>
    <col min="4892" max="4892" width="9.88671875" style="6" customWidth="1"/>
    <col min="4893" max="4893" width="0.88671875" style="6" customWidth="1"/>
    <col min="4894" max="4894" width="16" style="6" customWidth="1"/>
    <col min="4895" max="4895" width="0.5546875" style="6" customWidth="1"/>
    <col min="4896" max="4896" width="9.44140625" style="6" bestFit="1" customWidth="1"/>
    <col min="4897" max="4897" width="1.109375" style="6" customWidth="1"/>
    <col min="4898" max="5128" width="9.109375" style="6"/>
    <col min="5129" max="5129" width="2.109375" style="6" customWidth="1"/>
    <col min="5130" max="5130" width="14" style="6" customWidth="1"/>
    <col min="5131" max="5131" width="0.6640625" style="6" customWidth="1"/>
    <col min="5132" max="5132" width="17.109375" style="6" customWidth="1"/>
    <col min="5133" max="5133" width="1.109375" style="6" customWidth="1"/>
    <col min="5134" max="5134" width="18.33203125" style="6" customWidth="1"/>
    <col min="5135" max="5135" width="1" style="6" customWidth="1"/>
    <col min="5136" max="5136" width="41.33203125" style="6" customWidth="1"/>
    <col min="5137" max="5137" width="1" style="6" customWidth="1"/>
    <col min="5138" max="5138" width="11.109375" style="6" customWidth="1"/>
    <col min="5139" max="5139" width="1.33203125" style="6" customWidth="1"/>
    <col min="5140" max="5140" width="10.6640625" style="6" customWidth="1"/>
    <col min="5141" max="5141" width="1" style="6" customWidth="1"/>
    <col min="5142" max="5142" width="10.44140625" style="6" customWidth="1"/>
    <col min="5143" max="5143" width="0.88671875" style="6" customWidth="1"/>
    <col min="5144" max="5144" width="14" style="6" customWidth="1"/>
    <col min="5145" max="5145" width="0.88671875" style="6" customWidth="1"/>
    <col min="5146" max="5146" width="8.44140625" style="6" customWidth="1"/>
    <col min="5147" max="5147" width="0.88671875" style="6" customWidth="1"/>
    <col min="5148" max="5148" width="9.88671875" style="6" customWidth="1"/>
    <col min="5149" max="5149" width="0.88671875" style="6" customWidth="1"/>
    <col min="5150" max="5150" width="16" style="6" customWidth="1"/>
    <col min="5151" max="5151" width="0.5546875" style="6" customWidth="1"/>
    <col min="5152" max="5152" width="9.44140625" style="6" bestFit="1" customWidth="1"/>
    <col min="5153" max="5153" width="1.109375" style="6" customWidth="1"/>
    <col min="5154" max="5384" width="9.109375" style="6"/>
    <col min="5385" max="5385" width="2.109375" style="6" customWidth="1"/>
    <col min="5386" max="5386" width="14" style="6" customWidth="1"/>
    <col min="5387" max="5387" width="0.6640625" style="6" customWidth="1"/>
    <col min="5388" max="5388" width="17.109375" style="6" customWidth="1"/>
    <col min="5389" max="5389" width="1.109375" style="6" customWidth="1"/>
    <col min="5390" max="5390" width="18.33203125" style="6" customWidth="1"/>
    <col min="5391" max="5391" width="1" style="6" customWidth="1"/>
    <col min="5392" max="5392" width="41.33203125" style="6" customWidth="1"/>
    <col min="5393" max="5393" width="1" style="6" customWidth="1"/>
    <col min="5394" max="5394" width="11.109375" style="6" customWidth="1"/>
    <col min="5395" max="5395" width="1.33203125" style="6" customWidth="1"/>
    <col min="5396" max="5396" width="10.6640625" style="6" customWidth="1"/>
    <col min="5397" max="5397" width="1" style="6" customWidth="1"/>
    <col min="5398" max="5398" width="10.44140625" style="6" customWidth="1"/>
    <col min="5399" max="5399" width="0.88671875" style="6" customWidth="1"/>
    <col min="5400" max="5400" width="14" style="6" customWidth="1"/>
    <col min="5401" max="5401" width="0.88671875" style="6" customWidth="1"/>
    <col min="5402" max="5402" width="8.44140625" style="6" customWidth="1"/>
    <col min="5403" max="5403" width="0.88671875" style="6" customWidth="1"/>
    <col min="5404" max="5404" width="9.88671875" style="6" customWidth="1"/>
    <col min="5405" max="5405" width="0.88671875" style="6" customWidth="1"/>
    <col min="5406" max="5406" width="16" style="6" customWidth="1"/>
    <col min="5407" max="5407" width="0.5546875" style="6" customWidth="1"/>
    <col min="5408" max="5408" width="9.44140625" style="6" bestFit="1" customWidth="1"/>
    <col min="5409" max="5409" width="1.109375" style="6" customWidth="1"/>
    <col min="5410" max="5640" width="9.109375" style="6"/>
    <col min="5641" max="5641" width="2.109375" style="6" customWidth="1"/>
    <col min="5642" max="5642" width="14" style="6" customWidth="1"/>
    <col min="5643" max="5643" width="0.6640625" style="6" customWidth="1"/>
    <col min="5644" max="5644" width="17.109375" style="6" customWidth="1"/>
    <col min="5645" max="5645" width="1.109375" style="6" customWidth="1"/>
    <col min="5646" max="5646" width="18.33203125" style="6" customWidth="1"/>
    <col min="5647" max="5647" width="1" style="6" customWidth="1"/>
    <col min="5648" max="5648" width="41.33203125" style="6" customWidth="1"/>
    <col min="5649" max="5649" width="1" style="6" customWidth="1"/>
    <col min="5650" max="5650" width="11.109375" style="6" customWidth="1"/>
    <col min="5651" max="5651" width="1.33203125" style="6" customWidth="1"/>
    <col min="5652" max="5652" width="10.6640625" style="6" customWidth="1"/>
    <col min="5653" max="5653" width="1" style="6" customWidth="1"/>
    <col min="5654" max="5654" width="10.44140625" style="6" customWidth="1"/>
    <col min="5655" max="5655" width="0.88671875" style="6" customWidth="1"/>
    <col min="5656" max="5656" width="14" style="6" customWidth="1"/>
    <col min="5657" max="5657" width="0.88671875" style="6" customWidth="1"/>
    <col min="5658" max="5658" width="8.44140625" style="6" customWidth="1"/>
    <col min="5659" max="5659" width="0.88671875" style="6" customWidth="1"/>
    <col min="5660" max="5660" width="9.88671875" style="6" customWidth="1"/>
    <col min="5661" max="5661" width="0.88671875" style="6" customWidth="1"/>
    <col min="5662" max="5662" width="16" style="6" customWidth="1"/>
    <col min="5663" max="5663" width="0.5546875" style="6" customWidth="1"/>
    <col min="5664" max="5664" width="9.44140625" style="6" bestFit="1" customWidth="1"/>
    <col min="5665" max="5665" width="1.109375" style="6" customWidth="1"/>
    <col min="5666" max="5896" width="9.109375" style="6"/>
    <col min="5897" max="5897" width="2.109375" style="6" customWidth="1"/>
    <col min="5898" max="5898" width="14" style="6" customWidth="1"/>
    <col min="5899" max="5899" width="0.6640625" style="6" customWidth="1"/>
    <col min="5900" max="5900" width="17.109375" style="6" customWidth="1"/>
    <col min="5901" max="5901" width="1.109375" style="6" customWidth="1"/>
    <col min="5902" max="5902" width="18.33203125" style="6" customWidth="1"/>
    <col min="5903" max="5903" width="1" style="6" customWidth="1"/>
    <col min="5904" max="5904" width="41.33203125" style="6" customWidth="1"/>
    <col min="5905" max="5905" width="1" style="6" customWidth="1"/>
    <col min="5906" max="5906" width="11.109375" style="6" customWidth="1"/>
    <col min="5907" max="5907" width="1.33203125" style="6" customWidth="1"/>
    <col min="5908" max="5908" width="10.6640625" style="6" customWidth="1"/>
    <col min="5909" max="5909" width="1" style="6" customWidth="1"/>
    <col min="5910" max="5910" width="10.44140625" style="6" customWidth="1"/>
    <col min="5911" max="5911" width="0.88671875" style="6" customWidth="1"/>
    <col min="5912" max="5912" width="14" style="6" customWidth="1"/>
    <col min="5913" max="5913" width="0.88671875" style="6" customWidth="1"/>
    <col min="5914" max="5914" width="8.44140625" style="6" customWidth="1"/>
    <col min="5915" max="5915" width="0.88671875" style="6" customWidth="1"/>
    <col min="5916" max="5916" width="9.88671875" style="6" customWidth="1"/>
    <col min="5917" max="5917" width="0.88671875" style="6" customWidth="1"/>
    <col min="5918" max="5918" width="16" style="6" customWidth="1"/>
    <col min="5919" max="5919" width="0.5546875" style="6" customWidth="1"/>
    <col min="5920" max="5920" width="9.44140625" style="6" bestFit="1" customWidth="1"/>
    <col min="5921" max="5921" width="1.109375" style="6" customWidth="1"/>
    <col min="5922" max="6152" width="9.109375" style="6"/>
    <col min="6153" max="6153" width="2.109375" style="6" customWidth="1"/>
    <col min="6154" max="6154" width="14" style="6" customWidth="1"/>
    <col min="6155" max="6155" width="0.6640625" style="6" customWidth="1"/>
    <col min="6156" max="6156" width="17.109375" style="6" customWidth="1"/>
    <col min="6157" max="6157" width="1.109375" style="6" customWidth="1"/>
    <col min="6158" max="6158" width="18.33203125" style="6" customWidth="1"/>
    <col min="6159" max="6159" width="1" style="6" customWidth="1"/>
    <col min="6160" max="6160" width="41.33203125" style="6" customWidth="1"/>
    <col min="6161" max="6161" width="1" style="6" customWidth="1"/>
    <col min="6162" max="6162" width="11.109375" style="6" customWidth="1"/>
    <col min="6163" max="6163" width="1.33203125" style="6" customWidth="1"/>
    <col min="6164" max="6164" width="10.6640625" style="6" customWidth="1"/>
    <col min="6165" max="6165" width="1" style="6" customWidth="1"/>
    <col min="6166" max="6166" width="10.44140625" style="6" customWidth="1"/>
    <col min="6167" max="6167" width="0.88671875" style="6" customWidth="1"/>
    <col min="6168" max="6168" width="14" style="6" customWidth="1"/>
    <col min="6169" max="6169" width="0.88671875" style="6" customWidth="1"/>
    <col min="6170" max="6170" width="8.44140625" style="6" customWidth="1"/>
    <col min="6171" max="6171" width="0.88671875" style="6" customWidth="1"/>
    <col min="6172" max="6172" width="9.88671875" style="6" customWidth="1"/>
    <col min="6173" max="6173" width="0.88671875" style="6" customWidth="1"/>
    <col min="6174" max="6174" width="16" style="6" customWidth="1"/>
    <col min="6175" max="6175" width="0.5546875" style="6" customWidth="1"/>
    <col min="6176" max="6176" width="9.44140625" style="6" bestFit="1" customWidth="1"/>
    <col min="6177" max="6177" width="1.109375" style="6" customWidth="1"/>
    <col min="6178" max="6408" width="9.109375" style="6"/>
    <col min="6409" max="6409" width="2.109375" style="6" customWidth="1"/>
    <col min="6410" max="6410" width="14" style="6" customWidth="1"/>
    <col min="6411" max="6411" width="0.6640625" style="6" customWidth="1"/>
    <col min="6412" max="6412" width="17.109375" style="6" customWidth="1"/>
    <col min="6413" max="6413" width="1.109375" style="6" customWidth="1"/>
    <col min="6414" max="6414" width="18.33203125" style="6" customWidth="1"/>
    <col min="6415" max="6415" width="1" style="6" customWidth="1"/>
    <col min="6416" max="6416" width="41.33203125" style="6" customWidth="1"/>
    <col min="6417" max="6417" width="1" style="6" customWidth="1"/>
    <col min="6418" max="6418" width="11.109375" style="6" customWidth="1"/>
    <col min="6419" max="6419" width="1.33203125" style="6" customWidth="1"/>
    <col min="6420" max="6420" width="10.6640625" style="6" customWidth="1"/>
    <col min="6421" max="6421" width="1" style="6" customWidth="1"/>
    <col min="6422" max="6422" width="10.44140625" style="6" customWidth="1"/>
    <col min="6423" max="6423" width="0.88671875" style="6" customWidth="1"/>
    <col min="6424" max="6424" width="14" style="6" customWidth="1"/>
    <col min="6425" max="6425" width="0.88671875" style="6" customWidth="1"/>
    <col min="6426" max="6426" width="8.44140625" style="6" customWidth="1"/>
    <col min="6427" max="6427" width="0.88671875" style="6" customWidth="1"/>
    <col min="6428" max="6428" width="9.88671875" style="6" customWidth="1"/>
    <col min="6429" max="6429" width="0.88671875" style="6" customWidth="1"/>
    <col min="6430" max="6430" width="16" style="6" customWidth="1"/>
    <col min="6431" max="6431" width="0.5546875" style="6" customWidth="1"/>
    <col min="6432" max="6432" width="9.44140625" style="6" bestFit="1" customWidth="1"/>
    <col min="6433" max="6433" width="1.109375" style="6" customWidth="1"/>
    <col min="6434" max="6664" width="9.109375" style="6"/>
    <col min="6665" max="6665" width="2.109375" style="6" customWidth="1"/>
    <col min="6666" max="6666" width="14" style="6" customWidth="1"/>
    <col min="6667" max="6667" width="0.6640625" style="6" customWidth="1"/>
    <col min="6668" max="6668" width="17.109375" style="6" customWidth="1"/>
    <col min="6669" max="6669" width="1.109375" style="6" customWidth="1"/>
    <col min="6670" max="6670" width="18.33203125" style="6" customWidth="1"/>
    <col min="6671" max="6671" width="1" style="6" customWidth="1"/>
    <col min="6672" max="6672" width="41.33203125" style="6" customWidth="1"/>
    <col min="6673" max="6673" width="1" style="6" customWidth="1"/>
    <col min="6674" max="6674" width="11.109375" style="6" customWidth="1"/>
    <col min="6675" max="6675" width="1.33203125" style="6" customWidth="1"/>
    <col min="6676" max="6676" width="10.6640625" style="6" customWidth="1"/>
    <col min="6677" max="6677" width="1" style="6" customWidth="1"/>
    <col min="6678" max="6678" width="10.44140625" style="6" customWidth="1"/>
    <col min="6679" max="6679" width="0.88671875" style="6" customWidth="1"/>
    <col min="6680" max="6680" width="14" style="6" customWidth="1"/>
    <col min="6681" max="6681" width="0.88671875" style="6" customWidth="1"/>
    <col min="6682" max="6682" width="8.44140625" style="6" customWidth="1"/>
    <col min="6683" max="6683" width="0.88671875" style="6" customWidth="1"/>
    <col min="6684" max="6684" width="9.88671875" style="6" customWidth="1"/>
    <col min="6685" max="6685" width="0.88671875" style="6" customWidth="1"/>
    <col min="6686" max="6686" width="16" style="6" customWidth="1"/>
    <col min="6687" max="6687" width="0.5546875" style="6" customWidth="1"/>
    <col min="6688" max="6688" width="9.44140625" style="6" bestFit="1" customWidth="1"/>
    <col min="6689" max="6689" width="1.109375" style="6" customWidth="1"/>
    <col min="6690" max="6920" width="9.109375" style="6"/>
    <col min="6921" max="6921" width="2.109375" style="6" customWidth="1"/>
    <col min="6922" max="6922" width="14" style="6" customWidth="1"/>
    <col min="6923" max="6923" width="0.6640625" style="6" customWidth="1"/>
    <col min="6924" max="6924" width="17.109375" style="6" customWidth="1"/>
    <col min="6925" max="6925" width="1.109375" style="6" customWidth="1"/>
    <col min="6926" max="6926" width="18.33203125" style="6" customWidth="1"/>
    <col min="6927" max="6927" width="1" style="6" customWidth="1"/>
    <col min="6928" max="6928" width="41.33203125" style="6" customWidth="1"/>
    <col min="6929" max="6929" width="1" style="6" customWidth="1"/>
    <col min="6930" max="6930" width="11.109375" style="6" customWidth="1"/>
    <col min="6931" max="6931" width="1.33203125" style="6" customWidth="1"/>
    <col min="6932" max="6932" width="10.6640625" style="6" customWidth="1"/>
    <col min="6933" max="6933" width="1" style="6" customWidth="1"/>
    <col min="6934" max="6934" width="10.44140625" style="6" customWidth="1"/>
    <col min="6935" max="6935" width="0.88671875" style="6" customWidth="1"/>
    <col min="6936" max="6936" width="14" style="6" customWidth="1"/>
    <col min="6937" max="6937" width="0.88671875" style="6" customWidth="1"/>
    <col min="6938" max="6938" width="8.44140625" style="6" customWidth="1"/>
    <col min="6939" max="6939" width="0.88671875" style="6" customWidth="1"/>
    <col min="6940" max="6940" width="9.88671875" style="6" customWidth="1"/>
    <col min="6941" max="6941" width="0.88671875" style="6" customWidth="1"/>
    <col min="6942" max="6942" width="16" style="6" customWidth="1"/>
    <col min="6943" max="6943" width="0.5546875" style="6" customWidth="1"/>
    <col min="6944" max="6944" width="9.44140625" style="6" bestFit="1" customWidth="1"/>
    <col min="6945" max="6945" width="1.109375" style="6" customWidth="1"/>
    <col min="6946" max="7176" width="9.109375" style="6"/>
    <col min="7177" max="7177" width="2.109375" style="6" customWidth="1"/>
    <col min="7178" max="7178" width="14" style="6" customWidth="1"/>
    <col min="7179" max="7179" width="0.6640625" style="6" customWidth="1"/>
    <col min="7180" max="7180" width="17.109375" style="6" customWidth="1"/>
    <col min="7181" max="7181" width="1.109375" style="6" customWidth="1"/>
    <col min="7182" max="7182" width="18.33203125" style="6" customWidth="1"/>
    <col min="7183" max="7183" width="1" style="6" customWidth="1"/>
    <col min="7184" max="7184" width="41.33203125" style="6" customWidth="1"/>
    <col min="7185" max="7185" width="1" style="6" customWidth="1"/>
    <col min="7186" max="7186" width="11.109375" style="6" customWidth="1"/>
    <col min="7187" max="7187" width="1.33203125" style="6" customWidth="1"/>
    <col min="7188" max="7188" width="10.6640625" style="6" customWidth="1"/>
    <col min="7189" max="7189" width="1" style="6" customWidth="1"/>
    <col min="7190" max="7190" width="10.44140625" style="6" customWidth="1"/>
    <col min="7191" max="7191" width="0.88671875" style="6" customWidth="1"/>
    <col min="7192" max="7192" width="14" style="6" customWidth="1"/>
    <col min="7193" max="7193" width="0.88671875" style="6" customWidth="1"/>
    <col min="7194" max="7194" width="8.44140625" style="6" customWidth="1"/>
    <col min="7195" max="7195" width="0.88671875" style="6" customWidth="1"/>
    <col min="7196" max="7196" width="9.88671875" style="6" customWidth="1"/>
    <col min="7197" max="7197" width="0.88671875" style="6" customWidth="1"/>
    <col min="7198" max="7198" width="16" style="6" customWidth="1"/>
    <col min="7199" max="7199" width="0.5546875" style="6" customWidth="1"/>
    <col min="7200" max="7200" width="9.44140625" style="6" bestFit="1" customWidth="1"/>
    <col min="7201" max="7201" width="1.109375" style="6" customWidth="1"/>
    <col min="7202" max="7432" width="9.109375" style="6"/>
    <col min="7433" max="7433" width="2.109375" style="6" customWidth="1"/>
    <col min="7434" max="7434" width="14" style="6" customWidth="1"/>
    <col min="7435" max="7435" width="0.6640625" style="6" customWidth="1"/>
    <col min="7436" max="7436" width="17.109375" style="6" customWidth="1"/>
    <col min="7437" max="7437" width="1.109375" style="6" customWidth="1"/>
    <col min="7438" max="7438" width="18.33203125" style="6" customWidth="1"/>
    <col min="7439" max="7439" width="1" style="6" customWidth="1"/>
    <col min="7440" max="7440" width="41.33203125" style="6" customWidth="1"/>
    <col min="7441" max="7441" width="1" style="6" customWidth="1"/>
    <col min="7442" max="7442" width="11.109375" style="6" customWidth="1"/>
    <col min="7443" max="7443" width="1.33203125" style="6" customWidth="1"/>
    <col min="7444" max="7444" width="10.6640625" style="6" customWidth="1"/>
    <col min="7445" max="7445" width="1" style="6" customWidth="1"/>
    <col min="7446" max="7446" width="10.44140625" style="6" customWidth="1"/>
    <col min="7447" max="7447" width="0.88671875" style="6" customWidth="1"/>
    <col min="7448" max="7448" width="14" style="6" customWidth="1"/>
    <col min="7449" max="7449" width="0.88671875" style="6" customWidth="1"/>
    <col min="7450" max="7450" width="8.44140625" style="6" customWidth="1"/>
    <col min="7451" max="7451" width="0.88671875" style="6" customWidth="1"/>
    <col min="7452" max="7452" width="9.88671875" style="6" customWidth="1"/>
    <col min="7453" max="7453" width="0.88671875" style="6" customWidth="1"/>
    <col min="7454" max="7454" width="16" style="6" customWidth="1"/>
    <col min="7455" max="7455" width="0.5546875" style="6" customWidth="1"/>
    <col min="7456" max="7456" width="9.44140625" style="6" bestFit="1" customWidth="1"/>
    <col min="7457" max="7457" width="1.109375" style="6" customWidth="1"/>
    <col min="7458" max="7688" width="9.109375" style="6"/>
    <col min="7689" max="7689" width="2.109375" style="6" customWidth="1"/>
    <col min="7690" max="7690" width="14" style="6" customWidth="1"/>
    <col min="7691" max="7691" width="0.6640625" style="6" customWidth="1"/>
    <col min="7692" max="7692" width="17.109375" style="6" customWidth="1"/>
    <col min="7693" max="7693" width="1.109375" style="6" customWidth="1"/>
    <col min="7694" max="7694" width="18.33203125" style="6" customWidth="1"/>
    <col min="7695" max="7695" width="1" style="6" customWidth="1"/>
    <col min="7696" max="7696" width="41.33203125" style="6" customWidth="1"/>
    <col min="7697" max="7697" width="1" style="6" customWidth="1"/>
    <col min="7698" max="7698" width="11.109375" style="6" customWidth="1"/>
    <col min="7699" max="7699" width="1.33203125" style="6" customWidth="1"/>
    <col min="7700" max="7700" width="10.6640625" style="6" customWidth="1"/>
    <col min="7701" max="7701" width="1" style="6" customWidth="1"/>
    <col min="7702" max="7702" width="10.44140625" style="6" customWidth="1"/>
    <col min="7703" max="7703" width="0.88671875" style="6" customWidth="1"/>
    <col min="7704" max="7704" width="14" style="6" customWidth="1"/>
    <col min="7705" max="7705" width="0.88671875" style="6" customWidth="1"/>
    <col min="7706" max="7706" width="8.44140625" style="6" customWidth="1"/>
    <col min="7707" max="7707" width="0.88671875" style="6" customWidth="1"/>
    <col min="7708" max="7708" width="9.88671875" style="6" customWidth="1"/>
    <col min="7709" max="7709" width="0.88671875" style="6" customWidth="1"/>
    <col min="7710" max="7710" width="16" style="6" customWidth="1"/>
    <col min="7711" max="7711" width="0.5546875" style="6" customWidth="1"/>
    <col min="7712" max="7712" width="9.44140625" style="6" bestFit="1" customWidth="1"/>
    <col min="7713" max="7713" width="1.109375" style="6" customWidth="1"/>
    <col min="7714" max="7944" width="9.109375" style="6"/>
    <col min="7945" max="7945" width="2.109375" style="6" customWidth="1"/>
    <col min="7946" max="7946" width="14" style="6" customWidth="1"/>
    <col min="7947" max="7947" width="0.6640625" style="6" customWidth="1"/>
    <col min="7948" max="7948" width="17.109375" style="6" customWidth="1"/>
    <col min="7949" max="7949" width="1.109375" style="6" customWidth="1"/>
    <col min="7950" max="7950" width="18.33203125" style="6" customWidth="1"/>
    <col min="7951" max="7951" width="1" style="6" customWidth="1"/>
    <col min="7952" max="7952" width="41.33203125" style="6" customWidth="1"/>
    <col min="7953" max="7953" width="1" style="6" customWidth="1"/>
    <col min="7954" max="7954" width="11.109375" style="6" customWidth="1"/>
    <col min="7955" max="7955" width="1.33203125" style="6" customWidth="1"/>
    <col min="7956" max="7956" width="10.6640625" style="6" customWidth="1"/>
    <col min="7957" max="7957" width="1" style="6" customWidth="1"/>
    <col min="7958" max="7958" width="10.44140625" style="6" customWidth="1"/>
    <col min="7959" max="7959" width="0.88671875" style="6" customWidth="1"/>
    <col min="7960" max="7960" width="14" style="6" customWidth="1"/>
    <col min="7961" max="7961" width="0.88671875" style="6" customWidth="1"/>
    <col min="7962" max="7962" width="8.44140625" style="6" customWidth="1"/>
    <col min="7963" max="7963" width="0.88671875" style="6" customWidth="1"/>
    <col min="7964" max="7964" width="9.88671875" style="6" customWidth="1"/>
    <col min="7965" max="7965" width="0.88671875" style="6" customWidth="1"/>
    <col min="7966" max="7966" width="16" style="6" customWidth="1"/>
    <col min="7967" max="7967" width="0.5546875" style="6" customWidth="1"/>
    <col min="7968" max="7968" width="9.44140625" style="6" bestFit="1" customWidth="1"/>
    <col min="7969" max="7969" width="1.109375" style="6" customWidth="1"/>
    <col min="7970" max="8200" width="9.109375" style="6"/>
    <col min="8201" max="8201" width="2.109375" style="6" customWidth="1"/>
    <col min="8202" max="8202" width="14" style="6" customWidth="1"/>
    <col min="8203" max="8203" width="0.6640625" style="6" customWidth="1"/>
    <col min="8204" max="8204" width="17.109375" style="6" customWidth="1"/>
    <col min="8205" max="8205" width="1.109375" style="6" customWidth="1"/>
    <col min="8206" max="8206" width="18.33203125" style="6" customWidth="1"/>
    <col min="8207" max="8207" width="1" style="6" customWidth="1"/>
    <col min="8208" max="8208" width="41.33203125" style="6" customWidth="1"/>
    <col min="8209" max="8209" width="1" style="6" customWidth="1"/>
    <col min="8210" max="8210" width="11.109375" style="6" customWidth="1"/>
    <col min="8211" max="8211" width="1.33203125" style="6" customWidth="1"/>
    <col min="8212" max="8212" width="10.6640625" style="6" customWidth="1"/>
    <col min="8213" max="8213" width="1" style="6" customWidth="1"/>
    <col min="8214" max="8214" width="10.44140625" style="6" customWidth="1"/>
    <col min="8215" max="8215" width="0.88671875" style="6" customWidth="1"/>
    <col min="8216" max="8216" width="14" style="6" customWidth="1"/>
    <col min="8217" max="8217" width="0.88671875" style="6" customWidth="1"/>
    <col min="8218" max="8218" width="8.44140625" style="6" customWidth="1"/>
    <col min="8219" max="8219" width="0.88671875" style="6" customWidth="1"/>
    <col min="8220" max="8220" width="9.88671875" style="6" customWidth="1"/>
    <col min="8221" max="8221" width="0.88671875" style="6" customWidth="1"/>
    <col min="8222" max="8222" width="16" style="6" customWidth="1"/>
    <col min="8223" max="8223" width="0.5546875" style="6" customWidth="1"/>
    <col min="8224" max="8224" width="9.44140625" style="6" bestFit="1" customWidth="1"/>
    <col min="8225" max="8225" width="1.109375" style="6" customWidth="1"/>
    <col min="8226" max="8456" width="9.109375" style="6"/>
    <col min="8457" max="8457" width="2.109375" style="6" customWidth="1"/>
    <col min="8458" max="8458" width="14" style="6" customWidth="1"/>
    <col min="8459" max="8459" width="0.6640625" style="6" customWidth="1"/>
    <col min="8460" max="8460" width="17.109375" style="6" customWidth="1"/>
    <col min="8461" max="8461" width="1.109375" style="6" customWidth="1"/>
    <col min="8462" max="8462" width="18.33203125" style="6" customWidth="1"/>
    <col min="8463" max="8463" width="1" style="6" customWidth="1"/>
    <col min="8464" max="8464" width="41.33203125" style="6" customWidth="1"/>
    <col min="8465" max="8465" width="1" style="6" customWidth="1"/>
    <col min="8466" max="8466" width="11.109375" style="6" customWidth="1"/>
    <col min="8467" max="8467" width="1.33203125" style="6" customWidth="1"/>
    <col min="8468" max="8468" width="10.6640625" style="6" customWidth="1"/>
    <col min="8469" max="8469" width="1" style="6" customWidth="1"/>
    <col min="8470" max="8470" width="10.44140625" style="6" customWidth="1"/>
    <col min="8471" max="8471" width="0.88671875" style="6" customWidth="1"/>
    <col min="8472" max="8472" width="14" style="6" customWidth="1"/>
    <col min="8473" max="8473" width="0.88671875" style="6" customWidth="1"/>
    <col min="8474" max="8474" width="8.44140625" style="6" customWidth="1"/>
    <col min="8475" max="8475" width="0.88671875" style="6" customWidth="1"/>
    <col min="8476" max="8476" width="9.88671875" style="6" customWidth="1"/>
    <col min="8477" max="8477" width="0.88671875" style="6" customWidth="1"/>
    <col min="8478" max="8478" width="16" style="6" customWidth="1"/>
    <col min="8479" max="8479" width="0.5546875" style="6" customWidth="1"/>
    <col min="8480" max="8480" width="9.44140625" style="6" bestFit="1" customWidth="1"/>
    <col min="8481" max="8481" width="1.109375" style="6" customWidth="1"/>
    <col min="8482" max="8712" width="9.109375" style="6"/>
    <col min="8713" max="8713" width="2.109375" style="6" customWidth="1"/>
    <col min="8714" max="8714" width="14" style="6" customWidth="1"/>
    <col min="8715" max="8715" width="0.6640625" style="6" customWidth="1"/>
    <col min="8716" max="8716" width="17.109375" style="6" customWidth="1"/>
    <col min="8717" max="8717" width="1.109375" style="6" customWidth="1"/>
    <col min="8718" max="8718" width="18.33203125" style="6" customWidth="1"/>
    <col min="8719" max="8719" width="1" style="6" customWidth="1"/>
    <col min="8720" max="8720" width="41.33203125" style="6" customWidth="1"/>
    <col min="8721" max="8721" width="1" style="6" customWidth="1"/>
    <col min="8722" max="8722" width="11.109375" style="6" customWidth="1"/>
    <col min="8723" max="8723" width="1.33203125" style="6" customWidth="1"/>
    <col min="8724" max="8724" width="10.6640625" style="6" customWidth="1"/>
    <col min="8725" max="8725" width="1" style="6" customWidth="1"/>
    <col min="8726" max="8726" width="10.44140625" style="6" customWidth="1"/>
    <col min="8727" max="8727" width="0.88671875" style="6" customWidth="1"/>
    <col min="8728" max="8728" width="14" style="6" customWidth="1"/>
    <col min="8729" max="8729" width="0.88671875" style="6" customWidth="1"/>
    <col min="8730" max="8730" width="8.44140625" style="6" customWidth="1"/>
    <col min="8731" max="8731" width="0.88671875" style="6" customWidth="1"/>
    <col min="8732" max="8732" width="9.88671875" style="6" customWidth="1"/>
    <col min="8733" max="8733" width="0.88671875" style="6" customWidth="1"/>
    <col min="8734" max="8734" width="16" style="6" customWidth="1"/>
    <col min="8735" max="8735" width="0.5546875" style="6" customWidth="1"/>
    <col min="8736" max="8736" width="9.44140625" style="6" bestFit="1" customWidth="1"/>
    <col min="8737" max="8737" width="1.109375" style="6" customWidth="1"/>
    <col min="8738" max="8968" width="9.109375" style="6"/>
    <col min="8969" max="8969" width="2.109375" style="6" customWidth="1"/>
    <col min="8970" max="8970" width="14" style="6" customWidth="1"/>
    <col min="8971" max="8971" width="0.6640625" style="6" customWidth="1"/>
    <col min="8972" max="8972" width="17.109375" style="6" customWidth="1"/>
    <col min="8973" max="8973" width="1.109375" style="6" customWidth="1"/>
    <col min="8974" max="8974" width="18.33203125" style="6" customWidth="1"/>
    <col min="8975" max="8975" width="1" style="6" customWidth="1"/>
    <col min="8976" max="8976" width="41.33203125" style="6" customWidth="1"/>
    <col min="8977" max="8977" width="1" style="6" customWidth="1"/>
    <col min="8978" max="8978" width="11.109375" style="6" customWidth="1"/>
    <col min="8979" max="8979" width="1.33203125" style="6" customWidth="1"/>
    <col min="8980" max="8980" width="10.6640625" style="6" customWidth="1"/>
    <col min="8981" max="8981" width="1" style="6" customWidth="1"/>
    <col min="8982" max="8982" width="10.44140625" style="6" customWidth="1"/>
    <col min="8983" max="8983" width="0.88671875" style="6" customWidth="1"/>
    <col min="8984" max="8984" width="14" style="6" customWidth="1"/>
    <col min="8985" max="8985" width="0.88671875" style="6" customWidth="1"/>
    <col min="8986" max="8986" width="8.44140625" style="6" customWidth="1"/>
    <col min="8987" max="8987" width="0.88671875" style="6" customWidth="1"/>
    <col min="8988" max="8988" width="9.88671875" style="6" customWidth="1"/>
    <col min="8989" max="8989" width="0.88671875" style="6" customWidth="1"/>
    <col min="8990" max="8990" width="16" style="6" customWidth="1"/>
    <col min="8991" max="8991" width="0.5546875" style="6" customWidth="1"/>
    <col min="8992" max="8992" width="9.44140625" style="6" bestFit="1" customWidth="1"/>
    <col min="8993" max="8993" width="1.109375" style="6" customWidth="1"/>
    <col min="8994" max="9224" width="9.109375" style="6"/>
    <col min="9225" max="9225" width="2.109375" style="6" customWidth="1"/>
    <col min="9226" max="9226" width="14" style="6" customWidth="1"/>
    <col min="9227" max="9227" width="0.6640625" style="6" customWidth="1"/>
    <col min="9228" max="9228" width="17.109375" style="6" customWidth="1"/>
    <col min="9229" max="9229" width="1.109375" style="6" customWidth="1"/>
    <col min="9230" max="9230" width="18.33203125" style="6" customWidth="1"/>
    <col min="9231" max="9231" width="1" style="6" customWidth="1"/>
    <col min="9232" max="9232" width="41.33203125" style="6" customWidth="1"/>
    <col min="9233" max="9233" width="1" style="6" customWidth="1"/>
    <col min="9234" max="9234" width="11.109375" style="6" customWidth="1"/>
    <col min="9235" max="9235" width="1.33203125" style="6" customWidth="1"/>
    <col min="9236" max="9236" width="10.6640625" style="6" customWidth="1"/>
    <col min="9237" max="9237" width="1" style="6" customWidth="1"/>
    <col min="9238" max="9238" width="10.44140625" style="6" customWidth="1"/>
    <col min="9239" max="9239" width="0.88671875" style="6" customWidth="1"/>
    <col min="9240" max="9240" width="14" style="6" customWidth="1"/>
    <col min="9241" max="9241" width="0.88671875" style="6" customWidth="1"/>
    <col min="9242" max="9242" width="8.44140625" style="6" customWidth="1"/>
    <col min="9243" max="9243" width="0.88671875" style="6" customWidth="1"/>
    <col min="9244" max="9244" width="9.88671875" style="6" customWidth="1"/>
    <col min="9245" max="9245" width="0.88671875" style="6" customWidth="1"/>
    <col min="9246" max="9246" width="16" style="6" customWidth="1"/>
    <col min="9247" max="9247" width="0.5546875" style="6" customWidth="1"/>
    <col min="9248" max="9248" width="9.44140625" style="6" bestFit="1" customWidth="1"/>
    <col min="9249" max="9249" width="1.109375" style="6" customWidth="1"/>
    <col min="9250" max="9480" width="9.109375" style="6"/>
    <col min="9481" max="9481" width="2.109375" style="6" customWidth="1"/>
    <col min="9482" max="9482" width="14" style="6" customWidth="1"/>
    <col min="9483" max="9483" width="0.6640625" style="6" customWidth="1"/>
    <col min="9484" max="9484" width="17.109375" style="6" customWidth="1"/>
    <col min="9485" max="9485" width="1.109375" style="6" customWidth="1"/>
    <col min="9486" max="9486" width="18.33203125" style="6" customWidth="1"/>
    <col min="9487" max="9487" width="1" style="6" customWidth="1"/>
    <col min="9488" max="9488" width="41.33203125" style="6" customWidth="1"/>
    <col min="9489" max="9489" width="1" style="6" customWidth="1"/>
    <col min="9490" max="9490" width="11.109375" style="6" customWidth="1"/>
    <col min="9491" max="9491" width="1.33203125" style="6" customWidth="1"/>
    <col min="9492" max="9492" width="10.6640625" style="6" customWidth="1"/>
    <col min="9493" max="9493" width="1" style="6" customWidth="1"/>
    <col min="9494" max="9494" width="10.44140625" style="6" customWidth="1"/>
    <col min="9495" max="9495" width="0.88671875" style="6" customWidth="1"/>
    <col min="9496" max="9496" width="14" style="6" customWidth="1"/>
    <col min="9497" max="9497" width="0.88671875" style="6" customWidth="1"/>
    <col min="9498" max="9498" width="8.44140625" style="6" customWidth="1"/>
    <col min="9499" max="9499" width="0.88671875" style="6" customWidth="1"/>
    <col min="9500" max="9500" width="9.88671875" style="6" customWidth="1"/>
    <col min="9501" max="9501" width="0.88671875" style="6" customWidth="1"/>
    <col min="9502" max="9502" width="16" style="6" customWidth="1"/>
    <col min="9503" max="9503" width="0.5546875" style="6" customWidth="1"/>
    <col min="9504" max="9504" width="9.44140625" style="6" bestFit="1" customWidth="1"/>
    <col min="9505" max="9505" width="1.109375" style="6" customWidth="1"/>
    <col min="9506" max="9736" width="9.109375" style="6"/>
    <col min="9737" max="9737" width="2.109375" style="6" customWidth="1"/>
    <col min="9738" max="9738" width="14" style="6" customWidth="1"/>
    <col min="9739" max="9739" width="0.6640625" style="6" customWidth="1"/>
    <col min="9740" max="9740" width="17.109375" style="6" customWidth="1"/>
    <col min="9741" max="9741" width="1.109375" style="6" customWidth="1"/>
    <col min="9742" max="9742" width="18.33203125" style="6" customWidth="1"/>
    <col min="9743" max="9743" width="1" style="6" customWidth="1"/>
    <col min="9744" max="9744" width="41.33203125" style="6" customWidth="1"/>
    <col min="9745" max="9745" width="1" style="6" customWidth="1"/>
    <col min="9746" max="9746" width="11.109375" style="6" customWidth="1"/>
    <col min="9747" max="9747" width="1.33203125" style="6" customWidth="1"/>
    <col min="9748" max="9748" width="10.6640625" style="6" customWidth="1"/>
    <col min="9749" max="9749" width="1" style="6" customWidth="1"/>
    <col min="9750" max="9750" width="10.44140625" style="6" customWidth="1"/>
    <col min="9751" max="9751" width="0.88671875" style="6" customWidth="1"/>
    <col min="9752" max="9752" width="14" style="6" customWidth="1"/>
    <col min="9753" max="9753" width="0.88671875" style="6" customWidth="1"/>
    <col min="9754" max="9754" width="8.44140625" style="6" customWidth="1"/>
    <col min="9755" max="9755" width="0.88671875" style="6" customWidth="1"/>
    <col min="9756" max="9756" width="9.88671875" style="6" customWidth="1"/>
    <col min="9757" max="9757" width="0.88671875" style="6" customWidth="1"/>
    <col min="9758" max="9758" width="16" style="6" customWidth="1"/>
    <col min="9759" max="9759" width="0.5546875" style="6" customWidth="1"/>
    <col min="9760" max="9760" width="9.44140625" style="6" bestFit="1" customWidth="1"/>
    <col min="9761" max="9761" width="1.109375" style="6" customWidth="1"/>
    <col min="9762" max="9992" width="9.109375" style="6"/>
    <col min="9993" max="9993" width="2.109375" style="6" customWidth="1"/>
    <col min="9994" max="9994" width="14" style="6" customWidth="1"/>
    <col min="9995" max="9995" width="0.6640625" style="6" customWidth="1"/>
    <col min="9996" max="9996" width="17.109375" style="6" customWidth="1"/>
    <col min="9997" max="9997" width="1.109375" style="6" customWidth="1"/>
    <col min="9998" max="9998" width="18.33203125" style="6" customWidth="1"/>
    <col min="9999" max="9999" width="1" style="6" customWidth="1"/>
    <col min="10000" max="10000" width="41.33203125" style="6" customWidth="1"/>
    <col min="10001" max="10001" width="1" style="6" customWidth="1"/>
    <col min="10002" max="10002" width="11.109375" style="6" customWidth="1"/>
    <col min="10003" max="10003" width="1.33203125" style="6" customWidth="1"/>
    <col min="10004" max="10004" width="10.6640625" style="6" customWidth="1"/>
    <col min="10005" max="10005" width="1" style="6" customWidth="1"/>
    <col min="10006" max="10006" width="10.44140625" style="6" customWidth="1"/>
    <col min="10007" max="10007" width="0.88671875" style="6" customWidth="1"/>
    <col min="10008" max="10008" width="14" style="6" customWidth="1"/>
    <col min="10009" max="10009" width="0.88671875" style="6" customWidth="1"/>
    <col min="10010" max="10010" width="8.44140625" style="6" customWidth="1"/>
    <col min="10011" max="10011" width="0.88671875" style="6" customWidth="1"/>
    <col min="10012" max="10012" width="9.88671875" style="6" customWidth="1"/>
    <col min="10013" max="10013" width="0.88671875" style="6" customWidth="1"/>
    <col min="10014" max="10014" width="16" style="6" customWidth="1"/>
    <col min="10015" max="10015" width="0.5546875" style="6" customWidth="1"/>
    <col min="10016" max="10016" width="9.44140625" style="6" bestFit="1" customWidth="1"/>
    <col min="10017" max="10017" width="1.109375" style="6" customWidth="1"/>
    <col min="10018" max="10248" width="9.109375" style="6"/>
    <col min="10249" max="10249" width="2.109375" style="6" customWidth="1"/>
    <col min="10250" max="10250" width="14" style="6" customWidth="1"/>
    <col min="10251" max="10251" width="0.6640625" style="6" customWidth="1"/>
    <col min="10252" max="10252" width="17.109375" style="6" customWidth="1"/>
    <col min="10253" max="10253" width="1.109375" style="6" customWidth="1"/>
    <col min="10254" max="10254" width="18.33203125" style="6" customWidth="1"/>
    <col min="10255" max="10255" width="1" style="6" customWidth="1"/>
    <col min="10256" max="10256" width="41.33203125" style="6" customWidth="1"/>
    <col min="10257" max="10257" width="1" style="6" customWidth="1"/>
    <col min="10258" max="10258" width="11.109375" style="6" customWidth="1"/>
    <col min="10259" max="10259" width="1.33203125" style="6" customWidth="1"/>
    <col min="10260" max="10260" width="10.6640625" style="6" customWidth="1"/>
    <col min="10261" max="10261" width="1" style="6" customWidth="1"/>
    <col min="10262" max="10262" width="10.44140625" style="6" customWidth="1"/>
    <col min="10263" max="10263" width="0.88671875" style="6" customWidth="1"/>
    <col min="10264" max="10264" width="14" style="6" customWidth="1"/>
    <col min="10265" max="10265" width="0.88671875" style="6" customWidth="1"/>
    <col min="10266" max="10266" width="8.44140625" style="6" customWidth="1"/>
    <col min="10267" max="10267" width="0.88671875" style="6" customWidth="1"/>
    <col min="10268" max="10268" width="9.88671875" style="6" customWidth="1"/>
    <col min="10269" max="10269" width="0.88671875" style="6" customWidth="1"/>
    <col min="10270" max="10270" width="16" style="6" customWidth="1"/>
    <col min="10271" max="10271" width="0.5546875" style="6" customWidth="1"/>
    <col min="10272" max="10272" width="9.44140625" style="6" bestFit="1" customWidth="1"/>
    <col min="10273" max="10273" width="1.109375" style="6" customWidth="1"/>
    <col min="10274" max="10504" width="9.109375" style="6"/>
    <col min="10505" max="10505" width="2.109375" style="6" customWidth="1"/>
    <col min="10506" max="10506" width="14" style="6" customWidth="1"/>
    <col min="10507" max="10507" width="0.6640625" style="6" customWidth="1"/>
    <col min="10508" max="10508" width="17.109375" style="6" customWidth="1"/>
    <col min="10509" max="10509" width="1.109375" style="6" customWidth="1"/>
    <col min="10510" max="10510" width="18.33203125" style="6" customWidth="1"/>
    <col min="10511" max="10511" width="1" style="6" customWidth="1"/>
    <col min="10512" max="10512" width="41.33203125" style="6" customWidth="1"/>
    <col min="10513" max="10513" width="1" style="6" customWidth="1"/>
    <col min="10514" max="10514" width="11.109375" style="6" customWidth="1"/>
    <col min="10515" max="10515" width="1.33203125" style="6" customWidth="1"/>
    <col min="10516" max="10516" width="10.6640625" style="6" customWidth="1"/>
    <col min="10517" max="10517" width="1" style="6" customWidth="1"/>
    <col min="10518" max="10518" width="10.44140625" style="6" customWidth="1"/>
    <col min="10519" max="10519" width="0.88671875" style="6" customWidth="1"/>
    <col min="10520" max="10520" width="14" style="6" customWidth="1"/>
    <col min="10521" max="10521" width="0.88671875" style="6" customWidth="1"/>
    <col min="10522" max="10522" width="8.44140625" style="6" customWidth="1"/>
    <col min="10523" max="10523" width="0.88671875" style="6" customWidth="1"/>
    <col min="10524" max="10524" width="9.88671875" style="6" customWidth="1"/>
    <col min="10525" max="10525" width="0.88671875" style="6" customWidth="1"/>
    <col min="10526" max="10526" width="16" style="6" customWidth="1"/>
    <col min="10527" max="10527" width="0.5546875" style="6" customWidth="1"/>
    <col min="10528" max="10528" width="9.44140625" style="6" bestFit="1" customWidth="1"/>
    <col min="10529" max="10529" width="1.109375" style="6" customWidth="1"/>
    <col min="10530" max="10760" width="9.109375" style="6"/>
    <col min="10761" max="10761" width="2.109375" style="6" customWidth="1"/>
    <col min="10762" max="10762" width="14" style="6" customWidth="1"/>
    <col min="10763" max="10763" width="0.6640625" style="6" customWidth="1"/>
    <col min="10764" max="10764" width="17.109375" style="6" customWidth="1"/>
    <col min="10765" max="10765" width="1.109375" style="6" customWidth="1"/>
    <col min="10766" max="10766" width="18.33203125" style="6" customWidth="1"/>
    <col min="10767" max="10767" width="1" style="6" customWidth="1"/>
    <col min="10768" max="10768" width="41.33203125" style="6" customWidth="1"/>
    <col min="10769" max="10769" width="1" style="6" customWidth="1"/>
    <col min="10770" max="10770" width="11.109375" style="6" customWidth="1"/>
    <col min="10771" max="10771" width="1.33203125" style="6" customWidth="1"/>
    <col min="10772" max="10772" width="10.6640625" style="6" customWidth="1"/>
    <col min="10773" max="10773" width="1" style="6" customWidth="1"/>
    <col min="10774" max="10774" width="10.44140625" style="6" customWidth="1"/>
    <col min="10775" max="10775" width="0.88671875" style="6" customWidth="1"/>
    <col min="10776" max="10776" width="14" style="6" customWidth="1"/>
    <col min="10777" max="10777" width="0.88671875" style="6" customWidth="1"/>
    <col min="10778" max="10778" width="8.44140625" style="6" customWidth="1"/>
    <col min="10779" max="10779" width="0.88671875" style="6" customWidth="1"/>
    <col min="10780" max="10780" width="9.88671875" style="6" customWidth="1"/>
    <col min="10781" max="10781" width="0.88671875" style="6" customWidth="1"/>
    <col min="10782" max="10782" width="16" style="6" customWidth="1"/>
    <col min="10783" max="10783" width="0.5546875" style="6" customWidth="1"/>
    <col min="10784" max="10784" width="9.44140625" style="6" bestFit="1" customWidth="1"/>
    <col min="10785" max="10785" width="1.109375" style="6" customWidth="1"/>
    <col min="10786" max="11016" width="9.109375" style="6"/>
    <col min="11017" max="11017" width="2.109375" style="6" customWidth="1"/>
    <col min="11018" max="11018" width="14" style="6" customWidth="1"/>
    <col min="11019" max="11019" width="0.6640625" style="6" customWidth="1"/>
    <col min="11020" max="11020" width="17.109375" style="6" customWidth="1"/>
    <col min="11021" max="11021" width="1.109375" style="6" customWidth="1"/>
    <col min="11022" max="11022" width="18.33203125" style="6" customWidth="1"/>
    <col min="11023" max="11023" width="1" style="6" customWidth="1"/>
    <col min="11024" max="11024" width="41.33203125" style="6" customWidth="1"/>
    <col min="11025" max="11025" width="1" style="6" customWidth="1"/>
    <col min="11026" max="11026" width="11.109375" style="6" customWidth="1"/>
    <col min="11027" max="11027" width="1.33203125" style="6" customWidth="1"/>
    <col min="11028" max="11028" width="10.6640625" style="6" customWidth="1"/>
    <col min="11029" max="11029" width="1" style="6" customWidth="1"/>
    <col min="11030" max="11030" width="10.44140625" style="6" customWidth="1"/>
    <col min="11031" max="11031" width="0.88671875" style="6" customWidth="1"/>
    <col min="11032" max="11032" width="14" style="6" customWidth="1"/>
    <col min="11033" max="11033" width="0.88671875" style="6" customWidth="1"/>
    <col min="11034" max="11034" width="8.44140625" style="6" customWidth="1"/>
    <col min="11035" max="11035" width="0.88671875" style="6" customWidth="1"/>
    <col min="11036" max="11036" width="9.88671875" style="6" customWidth="1"/>
    <col min="11037" max="11037" width="0.88671875" style="6" customWidth="1"/>
    <col min="11038" max="11038" width="16" style="6" customWidth="1"/>
    <col min="11039" max="11039" width="0.5546875" style="6" customWidth="1"/>
    <col min="11040" max="11040" width="9.44140625" style="6" bestFit="1" customWidth="1"/>
    <col min="11041" max="11041" width="1.109375" style="6" customWidth="1"/>
    <col min="11042" max="11272" width="9.109375" style="6"/>
    <col min="11273" max="11273" width="2.109375" style="6" customWidth="1"/>
    <col min="11274" max="11274" width="14" style="6" customWidth="1"/>
    <col min="11275" max="11275" width="0.6640625" style="6" customWidth="1"/>
    <col min="11276" max="11276" width="17.109375" style="6" customWidth="1"/>
    <col min="11277" max="11277" width="1.109375" style="6" customWidth="1"/>
    <col min="11278" max="11278" width="18.33203125" style="6" customWidth="1"/>
    <col min="11279" max="11279" width="1" style="6" customWidth="1"/>
    <col min="11280" max="11280" width="41.33203125" style="6" customWidth="1"/>
    <col min="11281" max="11281" width="1" style="6" customWidth="1"/>
    <col min="11282" max="11282" width="11.109375" style="6" customWidth="1"/>
    <col min="11283" max="11283" width="1.33203125" style="6" customWidth="1"/>
    <col min="11284" max="11284" width="10.6640625" style="6" customWidth="1"/>
    <col min="11285" max="11285" width="1" style="6" customWidth="1"/>
    <col min="11286" max="11286" width="10.44140625" style="6" customWidth="1"/>
    <col min="11287" max="11287" width="0.88671875" style="6" customWidth="1"/>
    <col min="11288" max="11288" width="14" style="6" customWidth="1"/>
    <col min="11289" max="11289" width="0.88671875" style="6" customWidth="1"/>
    <col min="11290" max="11290" width="8.44140625" style="6" customWidth="1"/>
    <col min="11291" max="11291" width="0.88671875" style="6" customWidth="1"/>
    <col min="11292" max="11292" width="9.88671875" style="6" customWidth="1"/>
    <col min="11293" max="11293" width="0.88671875" style="6" customWidth="1"/>
    <col min="11294" max="11294" width="16" style="6" customWidth="1"/>
    <col min="11295" max="11295" width="0.5546875" style="6" customWidth="1"/>
    <col min="11296" max="11296" width="9.44140625" style="6" bestFit="1" customWidth="1"/>
    <col min="11297" max="11297" width="1.109375" style="6" customWidth="1"/>
    <col min="11298" max="11528" width="9.109375" style="6"/>
    <col min="11529" max="11529" width="2.109375" style="6" customWidth="1"/>
    <col min="11530" max="11530" width="14" style="6" customWidth="1"/>
    <col min="11531" max="11531" width="0.6640625" style="6" customWidth="1"/>
    <col min="11532" max="11532" width="17.109375" style="6" customWidth="1"/>
    <col min="11533" max="11533" width="1.109375" style="6" customWidth="1"/>
    <col min="11534" max="11534" width="18.33203125" style="6" customWidth="1"/>
    <col min="11535" max="11535" width="1" style="6" customWidth="1"/>
    <col min="11536" max="11536" width="41.33203125" style="6" customWidth="1"/>
    <col min="11537" max="11537" width="1" style="6" customWidth="1"/>
    <col min="11538" max="11538" width="11.109375" style="6" customWidth="1"/>
    <col min="11539" max="11539" width="1.33203125" style="6" customWidth="1"/>
    <col min="11540" max="11540" width="10.6640625" style="6" customWidth="1"/>
    <col min="11541" max="11541" width="1" style="6" customWidth="1"/>
    <col min="11542" max="11542" width="10.44140625" style="6" customWidth="1"/>
    <col min="11543" max="11543" width="0.88671875" style="6" customWidth="1"/>
    <col min="11544" max="11544" width="14" style="6" customWidth="1"/>
    <col min="11545" max="11545" width="0.88671875" style="6" customWidth="1"/>
    <col min="11546" max="11546" width="8.44140625" style="6" customWidth="1"/>
    <col min="11547" max="11547" width="0.88671875" style="6" customWidth="1"/>
    <col min="11548" max="11548" width="9.88671875" style="6" customWidth="1"/>
    <col min="11549" max="11549" width="0.88671875" style="6" customWidth="1"/>
    <col min="11550" max="11550" width="16" style="6" customWidth="1"/>
    <col min="11551" max="11551" width="0.5546875" style="6" customWidth="1"/>
    <col min="11552" max="11552" width="9.44140625" style="6" bestFit="1" customWidth="1"/>
    <col min="11553" max="11553" width="1.109375" style="6" customWidth="1"/>
    <col min="11554" max="11784" width="9.109375" style="6"/>
    <col min="11785" max="11785" width="2.109375" style="6" customWidth="1"/>
    <col min="11786" max="11786" width="14" style="6" customWidth="1"/>
    <col min="11787" max="11787" width="0.6640625" style="6" customWidth="1"/>
    <col min="11788" max="11788" width="17.109375" style="6" customWidth="1"/>
    <col min="11789" max="11789" width="1.109375" style="6" customWidth="1"/>
    <col min="11790" max="11790" width="18.33203125" style="6" customWidth="1"/>
    <col min="11791" max="11791" width="1" style="6" customWidth="1"/>
    <col min="11792" max="11792" width="41.33203125" style="6" customWidth="1"/>
    <col min="11793" max="11793" width="1" style="6" customWidth="1"/>
    <col min="11794" max="11794" width="11.109375" style="6" customWidth="1"/>
    <col min="11795" max="11795" width="1.33203125" style="6" customWidth="1"/>
    <col min="11796" max="11796" width="10.6640625" style="6" customWidth="1"/>
    <col min="11797" max="11797" width="1" style="6" customWidth="1"/>
    <col min="11798" max="11798" width="10.44140625" style="6" customWidth="1"/>
    <col min="11799" max="11799" width="0.88671875" style="6" customWidth="1"/>
    <col min="11800" max="11800" width="14" style="6" customWidth="1"/>
    <col min="11801" max="11801" width="0.88671875" style="6" customWidth="1"/>
    <col min="11802" max="11802" width="8.44140625" style="6" customWidth="1"/>
    <col min="11803" max="11803" width="0.88671875" style="6" customWidth="1"/>
    <col min="11804" max="11804" width="9.88671875" style="6" customWidth="1"/>
    <col min="11805" max="11805" width="0.88671875" style="6" customWidth="1"/>
    <col min="11806" max="11806" width="16" style="6" customWidth="1"/>
    <col min="11807" max="11807" width="0.5546875" style="6" customWidth="1"/>
    <col min="11808" max="11808" width="9.44140625" style="6" bestFit="1" customWidth="1"/>
    <col min="11809" max="11809" width="1.109375" style="6" customWidth="1"/>
    <col min="11810" max="12040" width="9.109375" style="6"/>
    <col min="12041" max="12041" width="2.109375" style="6" customWidth="1"/>
    <col min="12042" max="12042" width="14" style="6" customWidth="1"/>
    <col min="12043" max="12043" width="0.6640625" style="6" customWidth="1"/>
    <col min="12044" max="12044" width="17.109375" style="6" customWidth="1"/>
    <col min="12045" max="12045" width="1.109375" style="6" customWidth="1"/>
    <col min="12046" max="12046" width="18.33203125" style="6" customWidth="1"/>
    <col min="12047" max="12047" width="1" style="6" customWidth="1"/>
    <col min="12048" max="12048" width="41.33203125" style="6" customWidth="1"/>
    <col min="12049" max="12049" width="1" style="6" customWidth="1"/>
    <col min="12050" max="12050" width="11.109375" style="6" customWidth="1"/>
    <col min="12051" max="12051" width="1.33203125" style="6" customWidth="1"/>
    <col min="12052" max="12052" width="10.6640625" style="6" customWidth="1"/>
    <col min="12053" max="12053" width="1" style="6" customWidth="1"/>
    <col min="12054" max="12054" width="10.44140625" style="6" customWidth="1"/>
    <col min="12055" max="12055" width="0.88671875" style="6" customWidth="1"/>
    <col min="12056" max="12056" width="14" style="6" customWidth="1"/>
    <col min="12057" max="12057" width="0.88671875" style="6" customWidth="1"/>
    <col min="12058" max="12058" width="8.44140625" style="6" customWidth="1"/>
    <col min="12059" max="12059" width="0.88671875" style="6" customWidth="1"/>
    <col min="12060" max="12060" width="9.88671875" style="6" customWidth="1"/>
    <col min="12061" max="12061" width="0.88671875" style="6" customWidth="1"/>
    <col min="12062" max="12062" width="16" style="6" customWidth="1"/>
    <col min="12063" max="12063" width="0.5546875" style="6" customWidth="1"/>
    <col min="12064" max="12064" width="9.44140625" style="6" bestFit="1" customWidth="1"/>
    <col min="12065" max="12065" width="1.109375" style="6" customWidth="1"/>
    <col min="12066" max="12296" width="9.109375" style="6"/>
    <col min="12297" max="12297" width="2.109375" style="6" customWidth="1"/>
    <col min="12298" max="12298" width="14" style="6" customWidth="1"/>
    <col min="12299" max="12299" width="0.6640625" style="6" customWidth="1"/>
    <col min="12300" max="12300" width="17.109375" style="6" customWidth="1"/>
    <col min="12301" max="12301" width="1.109375" style="6" customWidth="1"/>
    <col min="12302" max="12302" width="18.33203125" style="6" customWidth="1"/>
    <col min="12303" max="12303" width="1" style="6" customWidth="1"/>
    <col min="12304" max="12304" width="41.33203125" style="6" customWidth="1"/>
    <col min="12305" max="12305" width="1" style="6" customWidth="1"/>
    <col min="12306" max="12306" width="11.109375" style="6" customWidth="1"/>
    <col min="12307" max="12307" width="1.33203125" style="6" customWidth="1"/>
    <col min="12308" max="12308" width="10.6640625" style="6" customWidth="1"/>
    <col min="12309" max="12309" width="1" style="6" customWidth="1"/>
    <col min="12310" max="12310" width="10.44140625" style="6" customWidth="1"/>
    <col min="12311" max="12311" width="0.88671875" style="6" customWidth="1"/>
    <col min="12312" max="12312" width="14" style="6" customWidth="1"/>
    <col min="12313" max="12313" width="0.88671875" style="6" customWidth="1"/>
    <col min="12314" max="12314" width="8.44140625" style="6" customWidth="1"/>
    <col min="12315" max="12315" width="0.88671875" style="6" customWidth="1"/>
    <col min="12316" max="12316" width="9.88671875" style="6" customWidth="1"/>
    <col min="12317" max="12317" width="0.88671875" style="6" customWidth="1"/>
    <col min="12318" max="12318" width="16" style="6" customWidth="1"/>
    <col min="12319" max="12319" width="0.5546875" style="6" customWidth="1"/>
    <col min="12320" max="12320" width="9.44140625" style="6" bestFit="1" customWidth="1"/>
    <col min="12321" max="12321" width="1.109375" style="6" customWidth="1"/>
    <col min="12322" max="12552" width="9.109375" style="6"/>
    <col min="12553" max="12553" width="2.109375" style="6" customWidth="1"/>
    <col min="12554" max="12554" width="14" style="6" customWidth="1"/>
    <col min="12555" max="12555" width="0.6640625" style="6" customWidth="1"/>
    <col min="12556" max="12556" width="17.109375" style="6" customWidth="1"/>
    <col min="12557" max="12557" width="1.109375" style="6" customWidth="1"/>
    <col min="12558" max="12558" width="18.33203125" style="6" customWidth="1"/>
    <col min="12559" max="12559" width="1" style="6" customWidth="1"/>
    <col min="12560" max="12560" width="41.33203125" style="6" customWidth="1"/>
    <col min="12561" max="12561" width="1" style="6" customWidth="1"/>
    <col min="12562" max="12562" width="11.109375" style="6" customWidth="1"/>
    <col min="12563" max="12563" width="1.33203125" style="6" customWidth="1"/>
    <col min="12564" max="12564" width="10.6640625" style="6" customWidth="1"/>
    <col min="12565" max="12565" width="1" style="6" customWidth="1"/>
    <col min="12566" max="12566" width="10.44140625" style="6" customWidth="1"/>
    <col min="12567" max="12567" width="0.88671875" style="6" customWidth="1"/>
    <col min="12568" max="12568" width="14" style="6" customWidth="1"/>
    <col min="12569" max="12569" width="0.88671875" style="6" customWidth="1"/>
    <col min="12570" max="12570" width="8.44140625" style="6" customWidth="1"/>
    <col min="12571" max="12571" width="0.88671875" style="6" customWidth="1"/>
    <col min="12572" max="12572" width="9.88671875" style="6" customWidth="1"/>
    <col min="12573" max="12573" width="0.88671875" style="6" customWidth="1"/>
    <col min="12574" max="12574" width="16" style="6" customWidth="1"/>
    <col min="12575" max="12575" width="0.5546875" style="6" customWidth="1"/>
    <col min="12576" max="12576" width="9.44140625" style="6" bestFit="1" customWidth="1"/>
    <col min="12577" max="12577" width="1.109375" style="6" customWidth="1"/>
    <col min="12578" max="12808" width="9.109375" style="6"/>
    <col min="12809" max="12809" width="2.109375" style="6" customWidth="1"/>
    <col min="12810" max="12810" width="14" style="6" customWidth="1"/>
    <col min="12811" max="12811" width="0.6640625" style="6" customWidth="1"/>
    <col min="12812" max="12812" width="17.109375" style="6" customWidth="1"/>
    <col min="12813" max="12813" width="1.109375" style="6" customWidth="1"/>
    <col min="12814" max="12814" width="18.33203125" style="6" customWidth="1"/>
    <col min="12815" max="12815" width="1" style="6" customWidth="1"/>
    <col min="12816" max="12816" width="41.33203125" style="6" customWidth="1"/>
    <col min="12817" max="12817" width="1" style="6" customWidth="1"/>
    <col min="12818" max="12818" width="11.109375" style="6" customWidth="1"/>
    <col min="12819" max="12819" width="1.33203125" style="6" customWidth="1"/>
    <col min="12820" max="12820" width="10.6640625" style="6" customWidth="1"/>
    <col min="12821" max="12821" width="1" style="6" customWidth="1"/>
    <col min="12822" max="12822" width="10.44140625" style="6" customWidth="1"/>
    <col min="12823" max="12823" width="0.88671875" style="6" customWidth="1"/>
    <col min="12824" max="12824" width="14" style="6" customWidth="1"/>
    <col min="12825" max="12825" width="0.88671875" style="6" customWidth="1"/>
    <col min="12826" max="12826" width="8.44140625" style="6" customWidth="1"/>
    <col min="12827" max="12827" width="0.88671875" style="6" customWidth="1"/>
    <col min="12828" max="12828" width="9.88671875" style="6" customWidth="1"/>
    <col min="12829" max="12829" width="0.88671875" style="6" customWidth="1"/>
    <col min="12830" max="12830" width="16" style="6" customWidth="1"/>
    <col min="12831" max="12831" width="0.5546875" style="6" customWidth="1"/>
    <col min="12832" max="12832" width="9.44140625" style="6" bestFit="1" customWidth="1"/>
    <col min="12833" max="12833" width="1.109375" style="6" customWidth="1"/>
    <col min="12834" max="13064" width="9.109375" style="6"/>
    <col min="13065" max="13065" width="2.109375" style="6" customWidth="1"/>
    <col min="13066" max="13066" width="14" style="6" customWidth="1"/>
    <col min="13067" max="13067" width="0.6640625" style="6" customWidth="1"/>
    <col min="13068" max="13068" width="17.109375" style="6" customWidth="1"/>
    <col min="13069" max="13069" width="1.109375" style="6" customWidth="1"/>
    <col min="13070" max="13070" width="18.33203125" style="6" customWidth="1"/>
    <col min="13071" max="13071" width="1" style="6" customWidth="1"/>
    <col min="13072" max="13072" width="41.33203125" style="6" customWidth="1"/>
    <col min="13073" max="13073" width="1" style="6" customWidth="1"/>
    <col min="13074" max="13074" width="11.109375" style="6" customWidth="1"/>
    <col min="13075" max="13075" width="1.33203125" style="6" customWidth="1"/>
    <col min="13076" max="13076" width="10.6640625" style="6" customWidth="1"/>
    <col min="13077" max="13077" width="1" style="6" customWidth="1"/>
    <col min="13078" max="13078" width="10.44140625" style="6" customWidth="1"/>
    <col min="13079" max="13079" width="0.88671875" style="6" customWidth="1"/>
    <col min="13080" max="13080" width="14" style="6" customWidth="1"/>
    <col min="13081" max="13081" width="0.88671875" style="6" customWidth="1"/>
    <col min="13082" max="13082" width="8.44140625" style="6" customWidth="1"/>
    <col min="13083" max="13083" width="0.88671875" style="6" customWidth="1"/>
    <col min="13084" max="13084" width="9.88671875" style="6" customWidth="1"/>
    <col min="13085" max="13085" width="0.88671875" style="6" customWidth="1"/>
    <col min="13086" max="13086" width="16" style="6" customWidth="1"/>
    <col min="13087" max="13087" width="0.5546875" style="6" customWidth="1"/>
    <col min="13088" max="13088" width="9.44140625" style="6" bestFit="1" customWidth="1"/>
    <col min="13089" max="13089" width="1.109375" style="6" customWidth="1"/>
    <col min="13090" max="13320" width="9.109375" style="6"/>
    <col min="13321" max="13321" width="2.109375" style="6" customWidth="1"/>
    <col min="13322" max="13322" width="14" style="6" customWidth="1"/>
    <col min="13323" max="13323" width="0.6640625" style="6" customWidth="1"/>
    <col min="13324" max="13324" width="17.109375" style="6" customWidth="1"/>
    <col min="13325" max="13325" width="1.109375" style="6" customWidth="1"/>
    <col min="13326" max="13326" width="18.33203125" style="6" customWidth="1"/>
    <col min="13327" max="13327" width="1" style="6" customWidth="1"/>
    <col min="13328" max="13328" width="41.33203125" style="6" customWidth="1"/>
    <col min="13329" max="13329" width="1" style="6" customWidth="1"/>
    <col min="13330" max="13330" width="11.109375" style="6" customWidth="1"/>
    <col min="13331" max="13331" width="1.33203125" style="6" customWidth="1"/>
    <col min="13332" max="13332" width="10.6640625" style="6" customWidth="1"/>
    <col min="13333" max="13333" width="1" style="6" customWidth="1"/>
    <col min="13334" max="13334" width="10.44140625" style="6" customWidth="1"/>
    <col min="13335" max="13335" width="0.88671875" style="6" customWidth="1"/>
    <col min="13336" max="13336" width="14" style="6" customWidth="1"/>
    <col min="13337" max="13337" width="0.88671875" style="6" customWidth="1"/>
    <col min="13338" max="13338" width="8.44140625" style="6" customWidth="1"/>
    <col min="13339" max="13339" width="0.88671875" style="6" customWidth="1"/>
    <col min="13340" max="13340" width="9.88671875" style="6" customWidth="1"/>
    <col min="13341" max="13341" width="0.88671875" style="6" customWidth="1"/>
    <col min="13342" max="13342" width="16" style="6" customWidth="1"/>
    <col min="13343" max="13343" width="0.5546875" style="6" customWidth="1"/>
    <col min="13344" max="13344" width="9.44140625" style="6" bestFit="1" customWidth="1"/>
    <col min="13345" max="13345" width="1.109375" style="6" customWidth="1"/>
    <col min="13346" max="13576" width="9.109375" style="6"/>
    <col min="13577" max="13577" width="2.109375" style="6" customWidth="1"/>
    <col min="13578" max="13578" width="14" style="6" customWidth="1"/>
    <col min="13579" max="13579" width="0.6640625" style="6" customWidth="1"/>
    <col min="13580" max="13580" width="17.109375" style="6" customWidth="1"/>
    <col min="13581" max="13581" width="1.109375" style="6" customWidth="1"/>
    <col min="13582" max="13582" width="18.33203125" style="6" customWidth="1"/>
    <col min="13583" max="13583" width="1" style="6" customWidth="1"/>
    <col min="13584" max="13584" width="41.33203125" style="6" customWidth="1"/>
    <col min="13585" max="13585" width="1" style="6" customWidth="1"/>
    <col min="13586" max="13586" width="11.109375" style="6" customWidth="1"/>
    <col min="13587" max="13587" width="1.33203125" style="6" customWidth="1"/>
    <col min="13588" max="13588" width="10.6640625" style="6" customWidth="1"/>
    <col min="13589" max="13589" width="1" style="6" customWidth="1"/>
    <col min="13590" max="13590" width="10.44140625" style="6" customWidth="1"/>
    <col min="13591" max="13591" width="0.88671875" style="6" customWidth="1"/>
    <col min="13592" max="13592" width="14" style="6" customWidth="1"/>
    <col min="13593" max="13593" width="0.88671875" style="6" customWidth="1"/>
    <col min="13594" max="13594" width="8.44140625" style="6" customWidth="1"/>
    <col min="13595" max="13595" width="0.88671875" style="6" customWidth="1"/>
    <col min="13596" max="13596" width="9.88671875" style="6" customWidth="1"/>
    <col min="13597" max="13597" width="0.88671875" style="6" customWidth="1"/>
    <col min="13598" max="13598" width="16" style="6" customWidth="1"/>
    <col min="13599" max="13599" width="0.5546875" style="6" customWidth="1"/>
    <col min="13600" max="13600" width="9.44140625" style="6" bestFit="1" customWidth="1"/>
    <col min="13601" max="13601" width="1.109375" style="6" customWidth="1"/>
    <col min="13602" max="13832" width="9.109375" style="6"/>
    <col min="13833" max="13833" width="2.109375" style="6" customWidth="1"/>
    <col min="13834" max="13834" width="14" style="6" customWidth="1"/>
    <col min="13835" max="13835" width="0.6640625" style="6" customWidth="1"/>
    <col min="13836" max="13836" width="17.109375" style="6" customWidth="1"/>
    <col min="13837" max="13837" width="1.109375" style="6" customWidth="1"/>
    <col min="13838" max="13838" width="18.33203125" style="6" customWidth="1"/>
    <col min="13839" max="13839" width="1" style="6" customWidth="1"/>
    <col min="13840" max="13840" width="41.33203125" style="6" customWidth="1"/>
    <col min="13841" max="13841" width="1" style="6" customWidth="1"/>
    <col min="13842" max="13842" width="11.109375" style="6" customWidth="1"/>
    <col min="13843" max="13843" width="1.33203125" style="6" customWidth="1"/>
    <col min="13844" max="13844" width="10.6640625" style="6" customWidth="1"/>
    <col min="13845" max="13845" width="1" style="6" customWidth="1"/>
    <col min="13846" max="13846" width="10.44140625" style="6" customWidth="1"/>
    <col min="13847" max="13847" width="0.88671875" style="6" customWidth="1"/>
    <col min="13848" max="13848" width="14" style="6" customWidth="1"/>
    <col min="13849" max="13849" width="0.88671875" style="6" customWidth="1"/>
    <col min="13850" max="13850" width="8.44140625" style="6" customWidth="1"/>
    <col min="13851" max="13851" width="0.88671875" style="6" customWidth="1"/>
    <col min="13852" max="13852" width="9.88671875" style="6" customWidth="1"/>
    <col min="13853" max="13853" width="0.88671875" style="6" customWidth="1"/>
    <col min="13854" max="13854" width="16" style="6" customWidth="1"/>
    <col min="13855" max="13855" width="0.5546875" style="6" customWidth="1"/>
    <col min="13856" max="13856" width="9.44140625" style="6" bestFit="1" customWidth="1"/>
    <col min="13857" max="13857" width="1.109375" style="6" customWidth="1"/>
    <col min="13858" max="14088" width="9.109375" style="6"/>
    <col min="14089" max="14089" width="2.109375" style="6" customWidth="1"/>
    <col min="14090" max="14090" width="14" style="6" customWidth="1"/>
    <col min="14091" max="14091" width="0.6640625" style="6" customWidth="1"/>
    <col min="14092" max="14092" width="17.109375" style="6" customWidth="1"/>
    <col min="14093" max="14093" width="1.109375" style="6" customWidth="1"/>
    <col min="14094" max="14094" width="18.33203125" style="6" customWidth="1"/>
    <col min="14095" max="14095" width="1" style="6" customWidth="1"/>
    <col min="14096" max="14096" width="41.33203125" style="6" customWidth="1"/>
    <col min="14097" max="14097" width="1" style="6" customWidth="1"/>
    <col min="14098" max="14098" width="11.109375" style="6" customWidth="1"/>
    <col min="14099" max="14099" width="1.33203125" style="6" customWidth="1"/>
    <col min="14100" max="14100" width="10.6640625" style="6" customWidth="1"/>
    <col min="14101" max="14101" width="1" style="6" customWidth="1"/>
    <col min="14102" max="14102" width="10.44140625" style="6" customWidth="1"/>
    <col min="14103" max="14103" width="0.88671875" style="6" customWidth="1"/>
    <col min="14104" max="14104" width="14" style="6" customWidth="1"/>
    <col min="14105" max="14105" width="0.88671875" style="6" customWidth="1"/>
    <col min="14106" max="14106" width="8.44140625" style="6" customWidth="1"/>
    <col min="14107" max="14107" width="0.88671875" style="6" customWidth="1"/>
    <col min="14108" max="14108" width="9.88671875" style="6" customWidth="1"/>
    <col min="14109" max="14109" width="0.88671875" style="6" customWidth="1"/>
    <col min="14110" max="14110" width="16" style="6" customWidth="1"/>
    <col min="14111" max="14111" width="0.5546875" style="6" customWidth="1"/>
    <col min="14112" max="14112" width="9.44140625" style="6" bestFit="1" customWidth="1"/>
    <col min="14113" max="14113" width="1.109375" style="6" customWidth="1"/>
    <col min="14114" max="14344" width="9.109375" style="6"/>
    <col min="14345" max="14345" width="2.109375" style="6" customWidth="1"/>
    <col min="14346" max="14346" width="14" style="6" customWidth="1"/>
    <col min="14347" max="14347" width="0.6640625" style="6" customWidth="1"/>
    <col min="14348" max="14348" width="17.109375" style="6" customWidth="1"/>
    <col min="14349" max="14349" width="1.109375" style="6" customWidth="1"/>
    <col min="14350" max="14350" width="18.33203125" style="6" customWidth="1"/>
    <col min="14351" max="14351" width="1" style="6" customWidth="1"/>
    <col min="14352" max="14352" width="41.33203125" style="6" customWidth="1"/>
    <col min="14353" max="14353" width="1" style="6" customWidth="1"/>
    <col min="14354" max="14354" width="11.109375" style="6" customWidth="1"/>
    <col min="14355" max="14355" width="1.33203125" style="6" customWidth="1"/>
    <col min="14356" max="14356" width="10.6640625" style="6" customWidth="1"/>
    <col min="14357" max="14357" width="1" style="6" customWidth="1"/>
    <col min="14358" max="14358" width="10.44140625" style="6" customWidth="1"/>
    <col min="14359" max="14359" width="0.88671875" style="6" customWidth="1"/>
    <col min="14360" max="14360" width="14" style="6" customWidth="1"/>
    <col min="14361" max="14361" width="0.88671875" style="6" customWidth="1"/>
    <col min="14362" max="14362" width="8.44140625" style="6" customWidth="1"/>
    <col min="14363" max="14363" width="0.88671875" style="6" customWidth="1"/>
    <col min="14364" max="14364" width="9.88671875" style="6" customWidth="1"/>
    <col min="14365" max="14365" width="0.88671875" style="6" customWidth="1"/>
    <col min="14366" max="14366" width="16" style="6" customWidth="1"/>
    <col min="14367" max="14367" width="0.5546875" style="6" customWidth="1"/>
    <col min="14368" max="14368" width="9.44140625" style="6" bestFit="1" customWidth="1"/>
    <col min="14369" max="14369" width="1.109375" style="6" customWidth="1"/>
    <col min="14370" max="14600" width="9.109375" style="6"/>
    <col min="14601" max="14601" width="2.109375" style="6" customWidth="1"/>
    <col min="14602" max="14602" width="14" style="6" customWidth="1"/>
    <col min="14603" max="14603" width="0.6640625" style="6" customWidth="1"/>
    <col min="14604" max="14604" width="17.109375" style="6" customWidth="1"/>
    <col min="14605" max="14605" width="1.109375" style="6" customWidth="1"/>
    <col min="14606" max="14606" width="18.33203125" style="6" customWidth="1"/>
    <col min="14607" max="14607" width="1" style="6" customWidth="1"/>
    <col min="14608" max="14608" width="41.33203125" style="6" customWidth="1"/>
    <col min="14609" max="14609" width="1" style="6" customWidth="1"/>
    <col min="14610" max="14610" width="11.109375" style="6" customWidth="1"/>
    <col min="14611" max="14611" width="1.33203125" style="6" customWidth="1"/>
    <col min="14612" max="14612" width="10.6640625" style="6" customWidth="1"/>
    <col min="14613" max="14613" width="1" style="6" customWidth="1"/>
    <col min="14614" max="14614" width="10.44140625" style="6" customWidth="1"/>
    <col min="14615" max="14615" width="0.88671875" style="6" customWidth="1"/>
    <col min="14616" max="14616" width="14" style="6" customWidth="1"/>
    <col min="14617" max="14617" width="0.88671875" style="6" customWidth="1"/>
    <col min="14618" max="14618" width="8.44140625" style="6" customWidth="1"/>
    <col min="14619" max="14619" width="0.88671875" style="6" customWidth="1"/>
    <col min="14620" max="14620" width="9.88671875" style="6" customWidth="1"/>
    <col min="14621" max="14621" width="0.88671875" style="6" customWidth="1"/>
    <col min="14622" max="14622" width="16" style="6" customWidth="1"/>
    <col min="14623" max="14623" width="0.5546875" style="6" customWidth="1"/>
    <col min="14624" max="14624" width="9.44140625" style="6" bestFit="1" customWidth="1"/>
    <col min="14625" max="14625" width="1.109375" style="6" customWidth="1"/>
    <col min="14626" max="14856" width="9.109375" style="6"/>
    <col min="14857" max="14857" width="2.109375" style="6" customWidth="1"/>
    <col min="14858" max="14858" width="14" style="6" customWidth="1"/>
    <col min="14859" max="14859" width="0.6640625" style="6" customWidth="1"/>
    <col min="14860" max="14860" width="17.109375" style="6" customWidth="1"/>
    <col min="14861" max="14861" width="1.109375" style="6" customWidth="1"/>
    <col min="14862" max="14862" width="18.33203125" style="6" customWidth="1"/>
    <col min="14863" max="14863" width="1" style="6" customWidth="1"/>
    <col min="14864" max="14864" width="41.33203125" style="6" customWidth="1"/>
    <col min="14865" max="14865" width="1" style="6" customWidth="1"/>
    <col min="14866" max="14866" width="11.109375" style="6" customWidth="1"/>
    <col min="14867" max="14867" width="1.33203125" style="6" customWidth="1"/>
    <col min="14868" max="14868" width="10.6640625" style="6" customWidth="1"/>
    <col min="14869" max="14869" width="1" style="6" customWidth="1"/>
    <col min="14870" max="14870" width="10.44140625" style="6" customWidth="1"/>
    <col min="14871" max="14871" width="0.88671875" style="6" customWidth="1"/>
    <col min="14872" max="14872" width="14" style="6" customWidth="1"/>
    <col min="14873" max="14873" width="0.88671875" style="6" customWidth="1"/>
    <col min="14874" max="14874" width="8.44140625" style="6" customWidth="1"/>
    <col min="14875" max="14875" width="0.88671875" style="6" customWidth="1"/>
    <col min="14876" max="14876" width="9.88671875" style="6" customWidth="1"/>
    <col min="14877" max="14877" width="0.88671875" style="6" customWidth="1"/>
    <col min="14878" max="14878" width="16" style="6" customWidth="1"/>
    <col min="14879" max="14879" width="0.5546875" style="6" customWidth="1"/>
    <col min="14880" max="14880" width="9.44140625" style="6" bestFit="1" customWidth="1"/>
    <col min="14881" max="14881" width="1.109375" style="6" customWidth="1"/>
    <col min="14882" max="15112" width="9.109375" style="6"/>
    <col min="15113" max="15113" width="2.109375" style="6" customWidth="1"/>
    <col min="15114" max="15114" width="14" style="6" customWidth="1"/>
    <col min="15115" max="15115" width="0.6640625" style="6" customWidth="1"/>
    <col min="15116" max="15116" width="17.109375" style="6" customWidth="1"/>
    <col min="15117" max="15117" width="1.109375" style="6" customWidth="1"/>
    <col min="15118" max="15118" width="18.33203125" style="6" customWidth="1"/>
    <col min="15119" max="15119" width="1" style="6" customWidth="1"/>
    <col min="15120" max="15120" width="41.33203125" style="6" customWidth="1"/>
    <col min="15121" max="15121" width="1" style="6" customWidth="1"/>
    <col min="15122" max="15122" width="11.109375" style="6" customWidth="1"/>
    <col min="15123" max="15123" width="1.33203125" style="6" customWidth="1"/>
    <col min="15124" max="15124" width="10.6640625" style="6" customWidth="1"/>
    <col min="15125" max="15125" width="1" style="6" customWidth="1"/>
    <col min="15126" max="15126" width="10.44140625" style="6" customWidth="1"/>
    <col min="15127" max="15127" width="0.88671875" style="6" customWidth="1"/>
    <col min="15128" max="15128" width="14" style="6" customWidth="1"/>
    <col min="15129" max="15129" width="0.88671875" style="6" customWidth="1"/>
    <col min="15130" max="15130" width="8.44140625" style="6" customWidth="1"/>
    <col min="15131" max="15131" width="0.88671875" style="6" customWidth="1"/>
    <col min="15132" max="15132" width="9.88671875" style="6" customWidth="1"/>
    <col min="15133" max="15133" width="0.88671875" style="6" customWidth="1"/>
    <col min="15134" max="15134" width="16" style="6" customWidth="1"/>
    <col min="15135" max="15135" width="0.5546875" style="6" customWidth="1"/>
    <col min="15136" max="15136" width="9.44140625" style="6" bestFit="1" customWidth="1"/>
    <col min="15137" max="15137" width="1.109375" style="6" customWidth="1"/>
    <col min="15138" max="15368" width="9.109375" style="6"/>
    <col min="15369" max="15369" width="2.109375" style="6" customWidth="1"/>
    <col min="15370" max="15370" width="14" style="6" customWidth="1"/>
    <col min="15371" max="15371" width="0.6640625" style="6" customWidth="1"/>
    <col min="15372" max="15372" width="17.109375" style="6" customWidth="1"/>
    <col min="15373" max="15373" width="1.109375" style="6" customWidth="1"/>
    <col min="15374" max="15374" width="18.33203125" style="6" customWidth="1"/>
    <col min="15375" max="15375" width="1" style="6" customWidth="1"/>
    <col min="15376" max="15376" width="41.33203125" style="6" customWidth="1"/>
    <col min="15377" max="15377" width="1" style="6" customWidth="1"/>
    <col min="15378" max="15378" width="11.109375" style="6" customWidth="1"/>
    <col min="15379" max="15379" width="1.33203125" style="6" customWidth="1"/>
    <col min="15380" max="15380" width="10.6640625" style="6" customWidth="1"/>
    <col min="15381" max="15381" width="1" style="6" customWidth="1"/>
    <col min="15382" max="15382" width="10.44140625" style="6" customWidth="1"/>
    <col min="15383" max="15383" width="0.88671875" style="6" customWidth="1"/>
    <col min="15384" max="15384" width="14" style="6" customWidth="1"/>
    <col min="15385" max="15385" width="0.88671875" style="6" customWidth="1"/>
    <col min="15386" max="15386" width="8.44140625" style="6" customWidth="1"/>
    <col min="15387" max="15387" width="0.88671875" style="6" customWidth="1"/>
    <col min="15388" max="15388" width="9.88671875" style="6" customWidth="1"/>
    <col min="15389" max="15389" width="0.88671875" style="6" customWidth="1"/>
    <col min="15390" max="15390" width="16" style="6" customWidth="1"/>
    <col min="15391" max="15391" width="0.5546875" style="6" customWidth="1"/>
    <col min="15392" max="15392" width="9.44140625" style="6" bestFit="1" customWidth="1"/>
    <col min="15393" max="15393" width="1.109375" style="6" customWidth="1"/>
    <col min="15394" max="15624" width="9.109375" style="6"/>
    <col min="15625" max="15625" width="2.109375" style="6" customWidth="1"/>
    <col min="15626" max="15626" width="14" style="6" customWidth="1"/>
    <col min="15627" max="15627" width="0.6640625" style="6" customWidth="1"/>
    <col min="15628" max="15628" width="17.109375" style="6" customWidth="1"/>
    <col min="15629" max="15629" width="1.109375" style="6" customWidth="1"/>
    <col min="15630" max="15630" width="18.33203125" style="6" customWidth="1"/>
    <col min="15631" max="15631" width="1" style="6" customWidth="1"/>
    <col min="15632" max="15632" width="41.33203125" style="6" customWidth="1"/>
    <col min="15633" max="15633" width="1" style="6" customWidth="1"/>
    <col min="15634" max="15634" width="11.109375" style="6" customWidth="1"/>
    <col min="15635" max="15635" width="1.33203125" style="6" customWidth="1"/>
    <col min="15636" max="15636" width="10.6640625" style="6" customWidth="1"/>
    <col min="15637" max="15637" width="1" style="6" customWidth="1"/>
    <col min="15638" max="15638" width="10.44140625" style="6" customWidth="1"/>
    <col min="15639" max="15639" width="0.88671875" style="6" customWidth="1"/>
    <col min="15640" max="15640" width="14" style="6" customWidth="1"/>
    <col min="15641" max="15641" width="0.88671875" style="6" customWidth="1"/>
    <col min="15642" max="15642" width="8.44140625" style="6" customWidth="1"/>
    <col min="15643" max="15643" width="0.88671875" style="6" customWidth="1"/>
    <col min="15644" max="15644" width="9.88671875" style="6" customWidth="1"/>
    <col min="15645" max="15645" width="0.88671875" style="6" customWidth="1"/>
    <col min="15646" max="15646" width="16" style="6" customWidth="1"/>
    <col min="15647" max="15647" width="0.5546875" style="6" customWidth="1"/>
    <col min="15648" max="15648" width="9.44140625" style="6" bestFit="1" customWidth="1"/>
    <col min="15649" max="15649" width="1.109375" style="6" customWidth="1"/>
    <col min="15650" max="15880" width="9.109375" style="6"/>
    <col min="15881" max="15881" width="2.109375" style="6" customWidth="1"/>
    <col min="15882" max="15882" width="14" style="6" customWidth="1"/>
    <col min="15883" max="15883" width="0.6640625" style="6" customWidth="1"/>
    <col min="15884" max="15884" width="17.109375" style="6" customWidth="1"/>
    <col min="15885" max="15885" width="1.109375" style="6" customWidth="1"/>
    <col min="15886" max="15886" width="18.33203125" style="6" customWidth="1"/>
    <col min="15887" max="15887" width="1" style="6" customWidth="1"/>
    <col min="15888" max="15888" width="41.33203125" style="6" customWidth="1"/>
    <col min="15889" max="15889" width="1" style="6" customWidth="1"/>
    <col min="15890" max="15890" width="11.109375" style="6" customWidth="1"/>
    <col min="15891" max="15891" width="1.33203125" style="6" customWidth="1"/>
    <col min="15892" max="15892" width="10.6640625" style="6" customWidth="1"/>
    <col min="15893" max="15893" width="1" style="6" customWidth="1"/>
    <col min="15894" max="15894" width="10.44140625" style="6" customWidth="1"/>
    <col min="15895" max="15895" width="0.88671875" style="6" customWidth="1"/>
    <col min="15896" max="15896" width="14" style="6" customWidth="1"/>
    <col min="15897" max="15897" width="0.88671875" style="6" customWidth="1"/>
    <col min="15898" max="15898" width="8.44140625" style="6" customWidth="1"/>
    <col min="15899" max="15899" width="0.88671875" style="6" customWidth="1"/>
    <col min="15900" max="15900" width="9.88671875" style="6" customWidth="1"/>
    <col min="15901" max="15901" width="0.88671875" style="6" customWidth="1"/>
    <col min="15902" max="15902" width="16" style="6" customWidth="1"/>
    <col min="15903" max="15903" width="0.5546875" style="6" customWidth="1"/>
    <col min="15904" max="15904" width="9.44140625" style="6" bestFit="1" customWidth="1"/>
    <col min="15905" max="15905" width="1.109375" style="6" customWidth="1"/>
    <col min="15906" max="16136" width="9.109375" style="6"/>
    <col min="16137" max="16137" width="2.109375" style="6" customWidth="1"/>
    <col min="16138" max="16138" width="14" style="6" customWidth="1"/>
    <col min="16139" max="16139" width="0.6640625" style="6" customWidth="1"/>
    <col min="16140" max="16140" width="17.109375" style="6" customWidth="1"/>
    <col min="16141" max="16141" width="1.109375" style="6" customWidth="1"/>
    <col min="16142" max="16142" width="18.33203125" style="6" customWidth="1"/>
    <col min="16143" max="16143" width="1" style="6" customWidth="1"/>
    <col min="16144" max="16144" width="41.33203125" style="6" customWidth="1"/>
    <col min="16145" max="16145" width="1" style="6" customWidth="1"/>
    <col min="16146" max="16146" width="11.109375" style="6" customWidth="1"/>
    <col min="16147" max="16147" width="1.33203125" style="6" customWidth="1"/>
    <col min="16148" max="16148" width="10.6640625" style="6" customWidth="1"/>
    <col min="16149" max="16149" width="1" style="6" customWidth="1"/>
    <col min="16150" max="16150" width="10.44140625" style="6" customWidth="1"/>
    <col min="16151" max="16151" width="0.88671875" style="6" customWidth="1"/>
    <col min="16152" max="16152" width="14" style="6" customWidth="1"/>
    <col min="16153" max="16153" width="0.88671875" style="6" customWidth="1"/>
    <col min="16154" max="16154" width="8.44140625" style="6" customWidth="1"/>
    <col min="16155" max="16155" width="0.88671875" style="6" customWidth="1"/>
    <col min="16156" max="16156" width="9.88671875" style="6" customWidth="1"/>
    <col min="16157" max="16157" width="0.88671875" style="6" customWidth="1"/>
    <col min="16158" max="16158" width="16" style="6" customWidth="1"/>
    <col min="16159" max="16159" width="0.5546875" style="6" customWidth="1"/>
    <col min="16160" max="16160" width="9.44140625" style="6" bestFit="1" customWidth="1"/>
    <col min="16161" max="16161" width="1.109375" style="6" customWidth="1"/>
    <col min="16162" max="16384" width="9.109375" style="6"/>
  </cols>
  <sheetData>
    <row r="1" spans="1:38" ht="48" x14ac:dyDescent="0.25">
      <c r="A1" s="1"/>
      <c r="B1" s="2" t="s">
        <v>9</v>
      </c>
      <c r="C1" s="1"/>
      <c r="D1" s="2" t="s">
        <v>40</v>
      </c>
      <c r="E1" s="1"/>
      <c r="F1" s="3" t="s">
        <v>0</v>
      </c>
      <c r="G1" s="2"/>
      <c r="H1" s="3" t="s">
        <v>1</v>
      </c>
      <c r="I1" s="2"/>
      <c r="J1" s="4" t="s">
        <v>4</v>
      </c>
      <c r="K1" s="1"/>
      <c r="L1" s="2" t="s">
        <v>2</v>
      </c>
      <c r="M1" s="1"/>
      <c r="N1" s="2" t="s">
        <v>7</v>
      </c>
      <c r="O1" s="1"/>
      <c r="P1" s="2" t="s">
        <v>8</v>
      </c>
      <c r="Q1" s="2" t="s">
        <v>24</v>
      </c>
      <c r="R1" s="5" t="s">
        <v>5</v>
      </c>
      <c r="S1" s="1"/>
      <c r="T1" s="61" t="s">
        <v>6</v>
      </c>
      <c r="U1" s="1"/>
      <c r="V1" s="83" t="s">
        <v>592</v>
      </c>
      <c r="W1" s="1"/>
      <c r="X1" s="89" t="s">
        <v>593</v>
      </c>
      <c r="Y1" s="1"/>
      <c r="Z1" s="296" t="s">
        <v>719</v>
      </c>
      <c r="AA1" s="296"/>
      <c r="AB1" s="296" t="s">
        <v>720</v>
      </c>
      <c r="AC1" s="296"/>
      <c r="AD1" s="296" t="s">
        <v>721</v>
      </c>
      <c r="AE1" s="296"/>
      <c r="AF1" s="296" t="s">
        <v>722</v>
      </c>
      <c r="AG1" s="296" t="s">
        <v>723</v>
      </c>
      <c r="AH1" s="296"/>
      <c r="AI1" s="296" t="s">
        <v>724</v>
      </c>
      <c r="AJ1" s="296" t="s">
        <v>25</v>
      </c>
      <c r="AK1" s="63"/>
      <c r="AL1" s="6" t="s">
        <v>3</v>
      </c>
    </row>
    <row r="2" spans="1:38" ht="144" x14ac:dyDescent="0.25">
      <c r="A2" s="7" t="s">
        <v>531</v>
      </c>
      <c r="B2" s="8" t="s">
        <v>519</v>
      </c>
      <c r="D2" s="15" t="s">
        <v>520</v>
      </c>
      <c r="E2" s="14"/>
      <c r="F2" s="15" t="s">
        <v>521</v>
      </c>
      <c r="G2" s="13"/>
      <c r="H2" s="15" t="s">
        <v>522</v>
      </c>
      <c r="I2" s="13"/>
      <c r="J2" s="15" t="s">
        <v>540</v>
      </c>
      <c r="K2" s="14"/>
      <c r="L2" s="14" t="s">
        <v>21</v>
      </c>
      <c r="M2" s="14"/>
      <c r="N2" s="15" t="s">
        <v>520</v>
      </c>
      <c r="O2" s="14"/>
      <c r="P2" s="15" t="s">
        <v>523</v>
      </c>
      <c r="Q2" s="8" t="s">
        <v>524</v>
      </c>
      <c r="R2" s="78">
        <v>1295</v>
      </c>
      <c r="S2" s="14"/>
      <c r="T2" s="62">
        <v>231748.95</v>
      </c>
      <c r="U2" s="14"/>
      <c r="V2" s="10">
        <v>1439</v>
      </c>
      <c r="W2" s="14"/>
      <c r="X2" s="63">
        <v>251664.13</v>
      </c>
      <c r="Y2" s="14"/>
      <c r="Z2" s="63">
        <v>1549</v>
      </c>
      <c r="AA2" s="63"/>
      <c r="AB2" s="63">
        <v>265692</v>
      </c>
      <c r="AC2" s="63"/>
      <c r="AD2" s="63">
        <v>1713</v>
      </c>
      <c r="AE2" s="63"/>
      <c r="AF2" s="63">
        <v>131890</v>
      </c>
      <c r="AG2" s="63">
        <v>1690</v>
      </c>
      <c r="AH2" s="63"/>
      <c r="AI2" s="63">
        <v>300790</v>
      </c>
      <c r="AJ2" s="63" t="s">
        <v>525</v>
      </c>
      <c r="AK2" s="63"/>
      <c r="AL2" s="18" t="s">
        <v>542</v>
      </c>
    </row>
    <row r="3" spans="1:38" ht="48" x14ac:dyDescent="0.25">
      <c r="A3" s="7"/>
      <c r="B3" s="8" t="s">
        <v>519</v>
      </c>
      <c r="C3" s="7"/>
      <c r="D3" s="11" t="s">
        <v>526</v>
      </c>
      <c r="E3" s="10"/>
      <c r="F3" s="11" t="s">
        <v>527</v>
      </c>
      <c r="G3" s="9"/>
      <c r="H3" s="11" t="s">
        <v>539</v>
      </c>
      <c r="I3" s="9"/>
      <c r="J3" s="140">
        <v>10</v>
      </c>
      <c r="K3" s="10"/>
      <c r="L3" s="10" t="s">
        <v>21</v>
      </c>
      <c r="M3" s="10"/>
      <c r="N3" s="10" t="s">
        <v>538</v>
      </c>
      <c r="O3" s="10"/>
      <c r="P3" s="9" t="s">
        <v>367</v>
      </c>
      <c r="Q3" s="8" t="s">
        <v>528</v>
      </c>
      <c r="R3" s="10">
        <v>90</v>
      </c>
      <c r="S3" s="10"/>
      <c r="T3" s="63">
        <v>900</v>
      </c>
      <c r="U3" s="10"/>
      <c r="V3" s="10">
        <v>96</v>
      </c>
      <c r="W3" s="10"/>
      <c r="X3" s="63">
        <v>960</v>
      </c>
      <c r="Y3" s="10"/>
      <c r="Z3" s="10">
        <v>84</v>
      </c>
      <c r="AA3" s="63"/>
      <c r="AB3" s="63">
        <v>840</v>
      </c>
      <c r="AC3" s="63"/>
      <c r="AD3" s="10">
        <v>82</v>
      </c>
      <c r="AE3" s="63"/>
      <c r="AF3" s="63">
        <v>820</v>
      </c>
      <c r="AG3" s="10">
        <v>75</v>
      </c>
      <c r="AH3" s="63"/>
      <c r="AI3" s="63">
        <v>750</v>
      </c>
      <c r="AJ3" s="63" t="s">
        <v>529</v>
      </c>
      <c r="AK3" s="63"/>
    </row>
    <row r="4" spans="1:38" ht="13.2" x14ac:dyDescent="0.25">
      <c r="A4" s="7"/>
      <c r="B4" s="141" t="s">
        <v>591</v>
      </c>
      <c r="C4" s="142"/>
      <c r="D4" s="142"/>
      <c r="E4" s="10"/>
      <c r="F4" s="11"/>
      <c r="G4" s="9"/>
      <c r="H4" s="11"/>
      <c r="I4" s="9"/>
      <c r="J4" s="9"/>
      <c r="K4" s="10"/>
      <c r="L4" s="10"/>
      <c r="M4" s="10"/>
      <c r="N4" s="10"/>
      <c r="O4" s="10"/>
      <c r="P4" s="9"/>
      <c r="Q4" s="8"/>
      <c r="R4" s="295">
        <f>SUM(R2:R3)</f>
        <v>1385</v>
      </c>
      <c r="S4" s="10"/>
      <c r="T4" s="63">
        <f>SUM(T2:T3)</f>
        <v>232648.95</v>
      </c>
      <c r="U4" s="10"/>
      <c r="V4" s="295">
        <f>SUM(V2:V3)</f>
        <v>1535</v>
      </c>
      <c r="W4" s="10"/>
      <c r="X4" s="63">
        <f>SUM(X2:X3)</f>
        <v>252624.13</v>
      </c>
      <c r="Y4" s="10"/>
      <c r="Z4" s="295">
        <f>SUM(Z2:Z3)</f>
        <v>1633</v>
      </c>
      <c r="AA4" s="63"/>
      <c r="AB4" s="63">
        <f>SUM(AB2:AB3)</f>
        <v>266532</v>
      </c>
      <c r="AC4" s="63"/>
      <c r="AD4" s="295">
        <f>SUM(AD2:AD3)</f>
        <v>1795</v>
      </c>
      <c r="AE4" s="63"/>
      <c r="AF4" s="63">
        <f>SUM(AF2:AF3)</f>
        <v>132710</v>
      </c>
      <c r="AG4" s="295">
        <f>SUM(AG2:AG3)</f>
        <v>1765</v>
      </c>
      <c r="AH4" s="63"/>
      <c r="AI4" s="63">
        <f>SUM(AI2:AI3)</f>
        <v>301540</v>
      </c>
      <c r="AJ4" s="63"/>
      <c r="AK4" s="63"/>
    </row>
    <row r="5" spans="1:38" s="50" customFormat="1" x14ac:dyDescent="0.25">
      <c r="A5" s="45"/>
      <c r="B5" s="345" t="s">
        <v>799</v>
      </c>
      <c r="C5" s="345"/>
      <c r="D5" s="345"/>
      <c r="E5" s="345"/>
      <c r="F5" s="345"/>
      <c r="G5" s="345"/>
      <c r="H5" s="345"/>
      <c r="I5" s="345"/>
      <c r="J5" s="345"/>
      <c r="K5" s="48"/>
      <c r="L5" s="48"/>
      <c r="M5" s="48"/>
      <c r="N5" s="48"/>
      <c r="O5" s="48"/>
      <c r="P5" s="47"/>
      <c r="Q5" s="147"/>
      <c r="R5" s="48"/>
      <c r="S5" s="48"/>
      <c r="T5" s="64"/>
      <c r="U5" s="48"/>
      <c r="V5" s="48"/>
      <c r="W5" s="48"/>
      <c r="X5" s="48"/>
      <c r="Y5" s="48"/>
      <c r="Z5" s="48"/>
      <c r="AA5" s="48"/>
      <c r="AB5" s="64"/>
      <c r="AC5" s="48"/>
      <c r="AD5" s="48"/>
      <c r="AE5" s="48"/>
      <c r="AF5" s="48"/>
      <c r="AG5" s="48"/>
      <c r="AH5" s="48"/>
      <c r="AI5" s="48"/>
    </row>
    <row r="6" spans="1:38" s="50" customFormat="1" x14ac:dyDescent="0.25">
      <c r="A6" s="145" t="s">
        <v>541</v>
      </c>
      <c r="B6" s="145"/>
      <c r="C6" s="145"/>
      <c r="D6" s="145"/>
      <c r="E6" s="145"/>
      <c r="F6" s="145"/>
      <c r="G6" s="145"/>
      <c r="H6" s="145"/>
      <c r="I6" s="145"/>
      <c r="J6" s="145"/>
      <c r="K6" s="145"/>
      <c r="L6" s="145"/>
      <c r="M6" s="145"/>
      <c r="N6" s="145"/>
      <c r="O6" s="145"/>
      <c r="P6" s="145"/>
      <c r="R6" s="145"/>
      <c r="S6" s="145"/>
      <c r="T6" s="145"/>
      <c r="U6" s="145"/>
      <c r="V6" s="145"/>
      <c r="W6" s="145"/>
      <c r="X6" s="145"/>
      <c r="Y6" s="145"/>
      <c r="Z6" s="145"/>
      <c r="AA6" s="145"/>
      <c r="AB6" s="145"/>
      <c r="AC6" s="145"/>
      <c r="AD6" s="145"/>
      <c r="AE6" s="145"/>
      <c r="AF6" s="145"/>
      <c r="AG6" s="145"/>
      <c r="AH6" s="145"/>
      <c r="AI6" s="145"/>
    </row>
    <row r="7" spans="1:38" s="50" customFormat="1" x14ac:dyDescent="0.25">
      <c r="A7" s="45"/>
      <c r="B7" s="46"/>
      <c r="C7" s="45"/>
      <c r="D7" s="47"/>
      <c r="E7" s="48"/>
      <c r="F7" s="49"/>
      <c r="G7" s="47"/>
      <c r="H7" s="49"/>
      <c r="I7" s="47"/>
      <c r="J7" s="47"/>
      <c r="K7" s="48"/>
      <c r="L7" s="48"/>
      <c r="M7" s="48"/>
      <c r="N7" s="48"/>
      <c r="O7" s="48"/>
      <c r="P7" s="47"/>
      <c r="R7" s="48"/>
      <c r="S7" s="48"/>
      <c r="T7" s="64"/>
      <c r="U7" s="48"/>
      <c r="V7" s="48"/>
      <c r="W7" s="48"/>
      <c r="X7" s="48"/>
      <c r="Y7" s="48"/>
      <c r="Z7" s="48"/>
      <c r="AA7" s="48"/>
      <c r="AB7" s="64"/>
      <c r="AC7" s="48"/>
      <c r="AD7" s="48"/>
      <c r="AE7" s="48"/>
      <c r="AF7" s="48"/>
      <c r="AG7" s="48"/>
      <c r="AH7" s="48"/>
      <c r="AI7" s="48"/>
    </row>
    <row r="8" spans="1:38" s="133" customFormat="1" ht="19.8" customHeight="1" x14ac:dyDescent="0.25">
      <c r="A8" s="134"/>
      <c r="D8" s="135"/>
      <c r="E8" s="136"/>
      <c r="F8" s="137"/>
      <c r="G8" s="135"/>
      <c r="H8" s="137"/>
      <c r="I8" s="135"/>
      <c r="J8" s="135"/>
      <c r="K8" s="136"/>
      <c r="L8" s="136"/>
      <c r="M8" s="136"/>
      <c r="N8" s="136"/>
      <c r="O8" s="136"/>
      <c r="P8" s="136"/>
      <c r="R8" s="136"/>
      <c r="S8" s="136"/>
      <c r="T8" s="138"/>
      <c r="U8" s="136"/>
      <c r="V8" s="136"/>
      <c r="W8" s="136"/>
      <c r="X8" s="136"/>
      <c r="Y8" s="136"/>
      <c r="Z8" s="136"/>
      <c r="AA8" s="136"/>
      <c r="AB8" s="138"/>
      <c r="AC8" s="136"/>
      <c r="AD8" s="136"/>
      <c r="AE8" s="136"/>
      <c r="AF8" s="136"/>
      <c r="AG8" s="136"/>
      <c r="AH8" s="136"/>
      <c r="AI8" s="136"/>
    </row>
    <row r="9" spans="1:38" s="50" customFormat="1" x14ac:dyDescent="0.25">
      <c r="A9" s="45"/>
      <c r="B9" s="46"/>
      <c r="C9" s="45"/>
      <c r="D9" s="47"/>
      <c r="E9" s="48"/>
      <c r="F9" s="49"/>
      <c r="G9" s="47"/>
      <c r="H9" s="49"/>
      <c r="I9" s="47"/>
      <c r="J9" s="47"/>
      <c r="K9" s="48"/>
      <c r="L9" s="48"/>
      <c r="M9" s="48"/>
      <c r="N9" s="48"/>
      <c r="O9" s="48"/>
      <c r="P9" s="47"/>
      <c r="R9" s="48"/>
      <c r="S9" s="48"/>
      <c r="T9" s="64"/>
      <c r="U9" s="48"/>
      <c r="V9" s="48"/>
      <c r="W9" s="48"/>
      <c r="X9" s="48"/>
      <c r="Y9" s="48"/>
      <c r="Z9" s="48"/>
      <c r="AA9" s="48"/>
      <c r="AB9" s="64"/>
      <c r="AC9" s="48"/>
      <c r="AD9" s="48"/>
      <c r="AE9" s="48"/>
      <c r="AF9" s="48"/>
      <c r="AG9" s="48"/>
      <c r="AH9" s="48"/>
      <c r="AI9" s="48"/>
    </row>
    <row r="10" spans="1:38" s="50" customFormat="1" x14ac:dyDescent="0.25">
      <c r="A10" s="45"/>
      <c r="B10" s="46"/>
      <c r="C10" s="45"/>
      <c r="D10" s="47"/>
      <c r="E10" s="48"/>
      <c r="F10" s="49"/>
      <c r="G10" s="47"/>
      <c r="H10" s="49"/>
      <c r="I10" s="47"/>
      <c r="J10" s="47"/>
      <c r="K10" s="48"/>
      <c r="L10" s="48"/>
      <c r="M10" s="48"/>
      <c r="N10" s="48"/>
      <c r="O10" s="48"/>
      <c r="P10" s="47"/>
      <c r="R10" s="48"/>
      <c r="S10" s="48"/>
      <c r="T10" s="64"/>
      <c r="U10" s="48"/>
      <c r="V10" s="48"/>
      <c r="W10" s="48"/>
      <c r="X10" s="48"/>
      <c r="Y10" s="48"/>
      <c r="Z10" s="48"/>
      <c r="AA10" s="48"/>
      <c r="AB10" s="64"/>
      <c r="AC10" s="48"/>
      <c r="AD10" s="48"/>
      <c r="AE10" s="48"/>
      <c r="AF10" s="48"/>
      <c r="AG10" s="48"/>
      <c r="AH10" s="48"/>
      <c r="AI10" s="48"/>
    </row>
    <row r="11" spans="1:38" s="50" customFormat="1" x14ac:dyDescent="0.25">
      <c r="A11" s="45"/>
      <c r="B11" s="46"/>
      <c r="C11" s="45"/>
      <c r="D11" s="47"/>
      <c r="E11" s="48"/>
      <c r="F11" s="49"/>
      <c r="G11" s="47"/>
      <c r="H11" s="49"/>
      <c r="I11" s="47"/>
      <c r="J11" s="47"/>
      <c r="K11" s="48"/>
      <c r="L11" s="48"/>
      <c r="M11" s="48"/>
      <c r="N11" s="48"/>
      <c r="O11" s="48"/>
      <c r="P11" s="47"/>
      <c r="R11" s="48"/>
      <c r="S11" s="48"/>
      <c r="T11" s="64"/>
      <c r="U11" s="48"/>
      <c r="V11" s="48"/>
      <c r="W11" s="48"/>
      <c r="X11" s="48"/>
      <c r="Y11" s="48"/>
      <c r="Z11" s="48"/>
      <c r="AA11" s="48"/>
      <c r="AB11" s="64"/>
      <c r="AC11" s="48"/>
      <c r="AD11" s="48"/>
      <c r="AE11" s="48"/>
      <c r="AF11" s="48"/>
      <c r="AG11" s="48"/>
      <c r="AH11" s="48"/>
      <c r="AI11" s="48"/>
    </row>
    <row r="12" spans="1:38" s="50" customFormat="1" x14ac:dyDescent="0.25">
      <c r="A12" s="45"/>
      <c r="B12" s="46"/>
      <c r="C12" s="45"/>
      <c r="D12" s="47"/>
      <c r="E12" s="48"/>
      <c r="F12" s="49"/>
      <c r="G12" s="47"/>
      <c r="H12" s="49"/>
      <c r="I12" s="47"/>
      <c r="J12" s="47"/>
      <c r="K12" s="48"/>
      <c r="L12" s="48"/>
      <c r="M12" s="48"/>
      <c r="N12" s="48"/>
      <c r="O12" s="48"/>
      <c r="P12" s="47"/>
      <c r="R12" s="48"/>
      <c r="S12" s="48"/>
      <c r="T12" s="64"/>
      <c r="U12" s="48"/>
      <c r="V12" s="48"/>
      <c r="W12" s="48"/>
      <c r="X12" s="48"/>
      <c r="Y12" s="48"/>
      <c r="Z12" s="48"/>
      <c r="AA12" s="48"/>
      <c r="AB12" s="64"/>
      <c r="AC12" s="48"/>
      <c r="AD12" s="48"/>
      <c r="AE12" s="48"/>
      <c r="AF12" s="48"/>
      <c r="AG12" s="48"/>
      <c r="AH12" s="48"/>
      <c r="AI12" s="48"/>
    </row>
    <row r="13" spans="1:38" s="50" customFormat="1" x14ac:dyDescent="0.25">
      <c r="A13" s="45"/>
      <c r="B13" s="46"/>
      <c r="C13" s="45"/>
      <c r="D13" s="47"/>
      <c r="E13" s="48"/>
      <c r="F13" s="49"/>
      <c r="G13" s="47"/>
      <c r="H13" s="49"/>
      <c r="I13" s="47"/>
      <c r="J13" s="47"/>
      <c r="K13" s="48"/>
      <c r="L13" s="48"/>
      <c r="M13" s="48"/>
      <c r="N13" s="48"/>
      <c r="O13" s="48"/>
      <c r="P13" s="47"/>
      <c r="R13" s="48"/>
      <c r="S13" s="48"/>
      <c r="T13" s="64"/>
      <c r="U13" s="48"/>
      <c r="V13" s="48"/>
      <c r="W13" s="48"/>
      <c r="X13" s="48"/>
      <c r="Y13" s="48"/>
      <c r="Z13" s="48"/>
      <c r="AA13" s="48"/>
      <c r="AB13" s="64"/>
      <c r="AC13" s="48"/>
      <c r="AD13" s="48"/>
      <c r="AE13" s="48"/>
      <c r="AF13" s="48"/>
      <c r="AG13" s="48"/>
      <c r="AH13" s="48"/>
      <c r="AI13" s="48"/>
    </row>
    <row r="14" spans="1:38" s="50" customFormat="1" x14ac:dyDescent="0.25">
      <c r="A14" s="45"/>
      <c r="B14" s="46"/>
      <c r="C14" s="45"/>
      <c r="D14" s="47"/>
      <c r="E14" s="48"/>
      <c r="F14" s="49"/>
      <c r="G14" s="47"/>
      <c r="H14" s="49"/>
      <c r="I14" s="47"/>
      <c r="J14" s="47"/>
      <c r="K14" s="48"/>
      <c r="L14" s="48"/>
      <c r="M14" s="48"/>
      <c r="N14" s="48"/>
      <c r="O14" s="48"/>
      <c r="P14" s="47"/>
      <c r="R14" s="48"/>
      <c r="S14" s="48"/>
      <c r="T14" s="64"/>
      <c r="U14" s="48"/>
      <c r="V14" s="48"/>
      <c r="W14" s="48"/>
      <c r="X14" s="48"/>
      <c r="Y14" s="48"/>
      <c r="Z14" s="48"/>
      <c r="AA14" s="48"/>
      <c r="AB14" s="64"/>
      <c r="AC14" s="48"/>
      <c r="AD14" s="48"/>
      <c r="AE14" s="48"/>
      <c r="AF14" s="48"/>
      <c r="AG14" s="48"/>
      <c r="AH14" s="48"/>
      <c r="AI14" s="48"/>
    </row>
    <row r="15" spans="1:38" s="50" customFormat="1" x14ac:dyDescent="0.25">
      <c r="A15" s="45"/>
      <c r="B15" s="46"/>
      <c r="C15" s="45"/>
      <c r="D15" s="47"/>
      <c r="E15" s="48"/>
      <c r="F15" s="49"/>
      <c r="G15" s="47"/>
      <c r="H15" s="49"/>
      <c r="I15" s="47"/>
      <c r="J15" s="47"/>
      <c r="K15" s="48"/>
      <c r="L15" s="48"/>
      <c r="M15" s="48"/>
      <c r="N15" s="48"/>
      <c r="O15" s="48"/>
      <c r="P15" s="47"/>
      <c r="R15" s="48"/>
      <c r="S15" s="48"/>
      <c r="T15" s="64"/>
      <c r="U15" s="48"/>
      <c r="V15" s="48"/>
      <c r="W15" s="48"/>
      <c r="X15" s="48"/>
      <c r="Y15" s="48"/>
      <c r="Z15" s="48"/>
      <c r="AA15" s="48"/>
      <c r="AB15" s="64"/>
      <c r="AC15" s="48"/>
      <c r="AD15" s="48"/>
      <c r="AE15" s="48"/>
      <c r="AF15" s="48"/>
      <c r="AG15" s="48"/>
      <c r="AH15" s="48"/>
      <c r="AI15" s="48"/>
    </row>
    <row r="16" spans="1:38" s="50" customFormat="1" x14ac:dyDescent="0.25">
      <c r="A16" s="45"/>
      <c r="B16" s="46"/>
      <c r="C16" s="45"/>
      <c r="D16" s="47"/>
      <c r="E16" s="48"/>
      <c r="F16" s="49"/>
      <c r="G16" s="47"/>
      <c r="H16" s="49"/>
      <c r="I16" s="47"/>
      <c r="J16" s="47"/>
      <c r="K16" s="48"/>
      <c r="L16" s="48"/>
      <c r="M16" s="48"/>
      <c r="N16" s="48"/>
      <c r="O16" s="48"/>
      <c r="P16" s="47"/>
      <c r="R16" s="48"/>
      <c r="S16" s="48"/>
      <c r="T16" s="64"/>
      <c r="U16" s="48"/>
      <c r="V16" s="48"/>
      <c r="W16" s="48"/>
      <c r="X16" s="48"/>
      <c r="Y16" s="48"/>
      <c r="Z16" s="48"/>
      <c r="AA16" s="48"/>
      <c r="AB16" s="64"/>
      <c r="AC16" s="48"/>
      <c r="AD16" s="48"/>
      <c r="AE16" s="48"/>
      <c r="AF16" s="48"/>
      <c r="AG16" s="48"/>
      <c r="AH16" s="48"/>
      <c r="AI16" s="48"/>
    </row>
    <row r="17" spans="1:35" s="50" customFormat="1" x14ac:dyDescent="0.25">
      <c r="A17" s="45"/>
      <c r="B17" s="46"/>
      <c r="C17" s="45"/>
      <c r="D17" s="47"/>
      <c r="E17" s="48"/>
      <c r="F17" s="49"/>
      <c r="G17" s="47"/>
      <c r="H17" s="49"/>
      <c r="I17" s="47"/>
      <c r="J17" s="47"/>
      <c r="K17" s="48"/>
      <c r="L17" s="48"/>
      <c r="M17" s="48"/>
      <c r="N17" s="48"/>
      <c r="O17" s="48"/>
      <c r="P17" s="47"/>
      <c r="R17" s="48"/>
      <c r="S17" s="48"/>
      <c r="T17" s="64"/>
      <c r="U17" s="48"/>
      <c r="V17" s="48"/>
      <c r="W17" s="48"/>
      <c r="X17" s="48"/>
      <c r="Y17" s="48"/>
      <c r="Z17" s="48"/>
      <c r="AA17" s="48"/>
      <c r="AB17" s="64"/>
      <c r="AC17" s="48"/>
      <c r="AD17" s="48"/>
      <c r="AE17" s="48"/>
      <c r="AF17" s="48"/>
      <c r="AG17" s="48"/>
      <c r="AH17" s="48"/>
      <c r="AI17" s="48"/>
    </row>
    <row r="18" spans="1:35" s="50" customFormat="1" x14ac:dyDescent="0.25">
      <c r="A18" s="45"/>
      <c r="B18" s="46"/>
      <c r="C18" s="45"/>
      <c r="D18" s="47"/>
      <c r="E18" s="48"/>
      <c r="F18" s="49"/>
      <c r="G18" s="47"/>
      <c r="H18" s="49"/>
      <c r="I18" s="47"/>
      <c r="J18" s="47"/>
      <c r="K18" s="48"/>
      <c r="L18" s="48"/>
      <c r="M18" s="48"/>
      <c r="N18" s="48"/>
      <c r="O18" s="48"/>
      <c r="P18" s="47"/>
      <c r="R18" s="48"/>
      <c r="S18" s="48"/>
      <c r="T18" s="64"/>
      <c r="U18" s="48"/>
      <c r="V18" s="48"/>
      <c r="W18" s="48"/>
      <c r="X18" s="48"/>
      <c r="Y18" s="48"/>
      <c r="Z18" s="48"/>
      <c r="AA18" s="48"/>
      <c r="AB18" s="64"/>
      <c r="AC18" s="48"/>
      <c r="AD18" s="48"/>
      <c r="AE18" s="48"/>
      <c r="AF18" s="48"/>
      <c r="AG18" s="48"/>
      <c r="AH18" s="48"/>
      <c r="AI18" s="48"/>
    </row>
    <row r="19" spans="1:35" s="50" customFormat="1" x14ac:dyDescent="0.25">
      <c r="A19" s="45"/>
      <c r="B19" s="46"/>
      <c r="C19" s="45"/>
      <c r="D19" s="47"/>
      <c r="E19" s="48"/>
      <c r="F19" s="49"/>
      <c r="G19" s="47"/>
      <c r="H19" s="49"/>
      <c r="I19" s="47"/>
      <c r="J19" s="47"/>
      <c r="K19" s="48"/>
      <c r="L19" s="48"/>
      <c r="M19" s="48"/>
      <c r="N19" s="48"/>
      <c r="O19" s="48"/>
      <c r="P19" s="47"/>
      <c r="R19" s="48"/>
      <c r="S19" s="48"/>
      <c r="T19" s="64"/>
      <c r="U19" s="48"/>
      <c r="V19" s="48"/>
      <c r="W19" s="48"/>
      <c r="X19" s="48"/>
      <c r="Y19" s="48"/>
      <c r="Z19" s="48"/>
      <c r="AA19" s="48"/>
      <c r="AB19" s="64"/>
      <c r="AC19" s="48"/>
      <c r="AD19" s="48"/>
      <c r="AE19" s="48"/>
      <c r="AF19" s="48"/>
      <c r="AG19" s="48"/>
      <c r="AH19" s="48"/>
      <c r="AI19" s="48"/>
    </row>
    <row r="20" spans="1:35" s="50" customFormat="1" x14ac:dyDescent="0.25">
      <c r="A20" s="45"/>
      <c r="B20" s="46"/>
      <c r="C20" s="45"/>
      <c r="D20" s="47"/>
      <c r="E20" s="48"/>
      <c r="F20" s="49"/>
      <c r="G20" s="47"/>
      <c r="H20" s="49"/>
      <c r="I20" s="47"/>
      <c r="J20" s="47"/>
      <c r="K20" s="48"/>
      <c r="L20" s="48"/>
      <c r="M20" s="48"/>
      <c r="N20" s="48"/>
      <c r="O20" s="48"/>
      <c r="P20" s="47"/>
      <c r="R20" s="48"/>
      <c r="S20" s="48"/>
      <c r="T20" s="64"/>
      <c r="U20" s="48"/>
      <c r="V20" s="48"/>
      <c r="W20" s="48"/>
      <c r="X20" s="48"/>
      <c r="Y20" s="48"/>
      <c r="Z20" s="48"/>
      <c r="AA20" s="48"/>
      <c r="AB20" s="64"/>
      <c r="AC20" s="48"/>
      <c r="AD20" s="48"/>
      <c r="AE20" s="48"/>
      <c r="AF20" s="48"/>
      <c r="AG20" s="48"/>
      <c r="AH20" s="48"/>
      <c r="AI20" s="48"/>
    </row>
    <row r="21" spans="1:35" s="50" customFormat="1" x14ac:dyDescent="0.25">
      <c r="A21" s="45"/>
      <c r="B21" s="46"/>
      <c r="C21" s="45"/>
      <c r="D21" s="47"/>
      <c r="E21" s="48"/>
      <c r="F21" s="49"/>
      <c r="G21" s="47"/>
      <c r="H21" s="49"/>
      <c r="I21" s="47"/>
      <c r="J21" s="47"/>
      <c r="K21" s="48"/>
      <c r="L21" s="48"/>
      <c r="M21" s="48"/>
      <c r="N21" s="48"/>
      <c r="O21" s="48"/>
      <c r="P21" s="47"/>
      <c r="R21" s="48"/>
      <c r="S21" s="48"/>
      <c r="T21" s="64"/>
      <c r="U21" s="48"/>
      <c r="V21" s="48"/>
      <c r="W21" s="48"/>
      <c r="X21" s="48"/>
      <c r="Y21" s="48"/>
      <c r="Z21" s="48"/>
      <c r="AA21" s="48"/>
      <c r="AB21" s="64"/>
      <c r="AC21" s="48"/>
      <c r="AD21" s="48"/>
      <c r="AE21" s="48"/>
      <c r="AF21" s="48"/>
      <c r="AG21" s="48"/>
      <c r="AH21" s="48"/>
      <c r="AI21" s="48"/>
    </row>
    <row r="22" spans="1:35" s="52" customFormat="1" x14ac:dyDescent="0.25">
      <c r="A22" s="51"/>
      <c r="B22" s="46"/>
      <c r="C22" s="51"/>
      <c r="D22" s="47"/>
      <c r="E22" s="48"/>
      <c r="F22" s="49"/>
      <c r="G22" s="47"/>
      <c r="H22" s="49"/>
      <c r="I22" s="47"/>
      <c r="J22" s="47"/>
      <c r="K22" s="48"/>
      <c r="L22" s="48"/>
      <c r="M22" s="48"/>
      <c r="N22" s="48"/>
      <c r="O22" s="48"/>
      <c r="P22" s="47"/>
      <c r="R22" s="48"/>
      <c r="S22" s="48"/>
      <c r="T22" s="64"/>
      <c r="U22" s="48"/>
      <c r="V22" s="48"/>
      <c r="W22" s="48"/>
      <c r="X22" s="48"/>
      <c r="Y22" s="48"/>
      <c r="Z22" s="48"/>
      <c r="AA22" s="48"/>
      <c r="AB22" s="64"/>
      <c r="AC22" s="48"/>
      <c r="AD22" s="48"/>
      <c r="AE22" s="48"/>
      <c r="AF22" s="48"/>
      <c r="AG22" s="48"/>
      <c r="AH22" s="48"/>
      <c r="AI22" s="48"/>
    </row>
    <row r="23" spans="1:35" s="52" customFormat="1" x14ac:dyDescent="0.25">
      <c r="A23" s="51"/>
      <c r="B23" s="46"/>
      <c r="C23" s="51"/>
      <c r="D23" s="47"/>
      <c r="E23" s="48"/>
      <c r="F23" s="49"/>
      <c r="G23" s="47"/>
      <c r="H23" s="49"/>
      <c r="I23" s="47"/>
      <c r="J23" s="47"/>
      <c r="K23" s="48"/>
      <c r="L23" s="48"/>
      <c r="M23" s="48"/>
      <c r="N23" s="48"/>
      <c r="O23" s="48"/>
      <c r="P23" s="47"/>
      <c r="R23" s="48"/>
      <c r="S23" s="48"/>
      <c r="T23" s="64"/>
      <c r="U23" s="48"/>
      <c r="V23" s="48"/>
      <c r="W23" s="48"/>
      <c r="X23" s="48"/>
      <c r="Y23" s="48"/>
      <c r="Z23" s="48"/>
      <c r="AA23" s="48"/>
      <c r="AB23" s="64"/>
      <c r="AC23" s="48"/>
      <c r="AD23" s="48"/>
      <c r="AE23" s="48"/>
      <c r="AF23" s="48"/>
      <c r="AG23" s="48"/>
      <c r="AH23" s="48"/>
      <c r="AI23" s="48"/>
    </row>
    <row r="24" spans="1:35" s="50" customFormat="1" x14ac:dyDescent="0.25">
      <c r="A24" s="45"/>
      <c r="B24" s="46"/>
      <c r="C24" s="45"/>
      <c r="D24" s="47"/>
      <c r="E24" s="48"/>
      <c r="F24" s="49"/>
      <c r="G24" s="47"/>
      <c r="H24" s="49"/>
      <c r="I24" s="47"/>
      <c r="J24" s="47"/>
      <c r="K24" s="48"/>
      <c r="L24" s="48"/>
      <c r="M24" s="48"/>
      <c r="N24" s="47"/>
      <c r="O24" s="48"/>
      <c r="P24" s="47"/>
      <c r="R24" s="48"/>
      <c r="S24" s="48"/>
      <c r="T24" s="64"/>
      <c r="U24" s="48"/>
      <c r="V24" s="48"/>
      <c r="W24" s="48"/>
      <c r="X24" s="48"/>
      <c r="Y24" s="48"/>
      <c r="Z24" s="48"/>
      <c r="AA24" s="48"/>
      <c r="AB24" s="64"/>
      <c r="AC24" s="48"/>
      <c r="AD24" s="48"/>
      <c r="AE24" s="48"/>
      <c r="AF24" s="48"/>
      <c r="AG24" s="48"/>
      <c r="AH24" s="48"/>
      <c r="AI24" s="48"/>
    </row>
    <row r="25" spans="1:35" s="50" customFormat="1" x14ac:dyDescent="0.25">
      <c r="A25" s="45"/>
      <c r="B25" s="46"/>
      <c r="C25" s="45"/>
      <c r="D25" s="47"/>
      <c r="E25" s="48"/>
      <c r="F25" s="49"/>
      <c r="G25" s="47"/>
      <c r="H25" s="49"/>
      <c r="I25" s="47"/>
      <c r="J25" s="47"/>
      <c r="K25" s="48"/>
      <c r="L25" s="48"/>
      <c r="M25" s="48"/>
      <c r="N25" s="48"/>
      <c r="O25" s="48"/>
      <c r="P25" s="47"/>
      <c r="R25" s="48"/>
      <c r="S25" s="48"/>
      <c r="T25" s="64"/>
      <c r="U25" s="48"/>
      <c r="V25" s="48"/>
      <c r="W25" s="48"/>
      <c r="X25" s="48"/>
      <c r="Y25" s="48"/>
      <c r="Z25" s="48"/>
      <c r="AA25" s="48"/>
      <c r="AB25" s="64"/>
      <c r="AC25" s="48"/>
      <c r="AD25" s="48"/>
      <c r="AE25" s="48"/>
      <c r="AF25" s="48"/>
      <c r="AG25" s="48"/>
      <c r="AH25" s="48"/>
      <c r="AI25" s="48"/>
    </row>
    <row r="26" spans="1:35" s="50" customFormat="1" x14ac:dyDescent="0.25">
      <c r="A26" s="45"/>
      <c r="B26" s="46"/>
      <c r="C26" s="45"/>
      <c r="D26" s="47"/>
      <c r="E26" s="48"/>
      <c r="F26" s="49"/>
      <c r="G26" s="47"/>
      <c r="H26" s="49"/>
      <c r="I26" s="47"/>
      <c r="J26" s="47"/>
      <c r="K26" s="48"/>
      <c r="L26" s="48"/>
      <c r="M26" s="48"/>
      <c r="N26" s="48"/>
      <c r="O26" s="48"/>
      <c r="P26" s="47"/>
      <c r="R26" s="48"/>
      <c r="S26" s="48"/>
      <c r="T26" s="64"/>
      <c r="U26" s="48"/>
      <c r="V26" s="48"/>
      <c r="W26" s="48"/>
      <c r="X26" s="48"/>
      <c r="Y26" s="48"/>
      <c r="Z26" s="48"/>
      <c r="AA26" s="48"/>
      <c r="AB26" s="64"/>
      <c r="AC26" s="48"/>
      <c r="AD26" s="48"/>
      <c r="AE26" s="48"/>
      <c r="AF26" s="48"/>
      <c r="AG26" s="48"/>
      <c r="AH26" s="48"/>
      <c r="AI26" s="48"/>
    </row>
    <row r="27" spans="1:35" s="50" customFormat="1" x14ac:dyDescent="0.25">
      <c r="A27" s="45"/>
      <c r="B27" s="46"/>
      <c r="C27" s="45"/>
      <c r="D27" s="47"/>
      <c r="E27" s="48"/>
      <c r="F27" s="49"/>
      <c r="G27" s="47"/>
      <c r="H27" s="49"/>
      <c r="I27" s="47"/>
      <c r="J27" s="47"/>
      <c r="K27" s="48"/>
      <c r="L27" s="48"/>
      <c r="M27" s="48"/>
      <c r="N27" s="48"/>
      <c r="O27" s="48"/>
      <c r="P27" s="47"/>
      <c r="R27" s="48"/>
      <c r="S27" s="48"/>
      <c r="T27" s="64"/>
      <c r="U27" s="48"/>
      <c r="V27" s="48"/>
      <c r="W27" s="48"/>
      <c r="X27" s="48"/>
      <c r="Y27" s="48"/>
      <c r="Z27" s="48"/>
      <c r="AA27" s="48"/>
      <c r="AB27" s="64"/>
      <c r="AC27" s="48"/>
      <c r="AD27" s="48"/>
      <c r="AE27" s="48"/>
      <c r="AF27" s="48"/>
      <c r="AG27" s="48"/>
      <c r="AH27" s="48"/>
      <c r="AI27" s="48"/>
    </row>
    <row r="28" spans="1:35" s="50" customFormat="1" x14ac:dyDescent="0.25">
      <c r="A28" s="45"/>
      <c r="B28" s="46"/>
      <c r="C28" s="45"/>
      <c r="D28" s="47"/>
      <c r="E28" s="48"/>
      <c r="F28" s="49"/>
      <c r="G28" s="47"/>
      <c r="H28" s="49"/>
      <c r="I28" s="47"/>
      <c r="J28" s="47"/>
      <c r="K28" s="48"/>
      <c r="L28" s="48"/>
      <c r="M28" s="48"/>
      <c r="N28" s="48"/>
      <c r="O28" s="48"/>
      <c r="P28" s="47"/>
      <c r="R28" s="48"/>
      <c r="S28" s="48"/>
      <c r="T28" s="64"/>
      <c r="U28" s="48"/>
      <c r="V28" s="48"/>
      <c r="W28" s="48"/>
      <c r="X28" s="48"/>
      <c r="Y28" s="48"/>
      <c r="Z28" s="48"/>
      <c r="AA28" s="48"/>
      <c r="AB28" s="64"/>
      <c r="AC28" s="48"/>
      <c r="AD28" s="48"/>
      <c r="AE28" s="48"/>
      <c r="AF28" s="48"/>
      <c r="AG28" s="48"/>
      <c r="AH28" s="48"/>
      <c r="AI28" s="48"/>
    </row>
    <row r="29" spans="1:35" s="50" customFormat="1" x14ac:dyDescent="0.25">
      <c r="A29" s="45"/>
      <c r="B29" s="46"/>
      <c r="C29" s="45"/>
      <c r="D29" s="47"/>
      <c r="E29" s="48"/>
      <c r="F29" s="49"/>
      <c r="G29" s="47"/>
      <c r="H29" s="49"/>
      <c r="I29" s="47"/>
      <c r="J29" s="47"/>
      <c r="K29" s="48"/>
      <c r="L29" s="48"/>
      <c r="M29" s="48"/>
      <c r="N29" s="48"/>
      <c r="O29" s="48"/>
      <c r="P29" s="47"/>
      <c r="R29" s="48"/>
      <c r="S29" s="48"/>
      <c r="T29" s="64"/>
      <c r="U29" s="48"/>
      <c r="V29" s="48"/>
      <c r="W29" s="48"/>
      <c r="X29" s="48"/>
      <c r="Y29" s="48"/>
      <c r="Z29" s="48"/>
      <c r="AA29" s="48"/>
      <c r="AB29" s="64"/>
      <c r="AC29" s="48"/>
      <c r="AD29" s="48"/>
      <c r="AE29" s="48"/>
      <c r="AF29" s="48"/>
      <c r="AG29" s="48"/>
      <c r="AH29" s="48"/>
      <c r="AI29" s="48"/>
    </row>
    <row r="30" spans="1:35" s="52" customFormat="1" x14ac:dyDescent="0.25">
      <c r="A30" s="51"/>
      <c r="B30" s="46"/>
      <c r="C30" s="51"/>
      <c r="D30" s="47"/>
      <c r="E30" s="48"/>
      <c r="F30" s="49"/>
      <c r="G30" s="47"/>
      <c r="H30" s="49"/>
      <c r="I30" s="47"/>
      <c r="J30" s="47"/>
      <c r="K30" s="48"/>
      <c r="L30" s="48"/>
      <c r="M30" s="48"/>
      <c r="N30" s="48"/>
      <c r="O30" s="48"/>
      <c r="P30" s="47"/>
      <c r="R30" s="48"/>
      <c r="S30" s="48"/>
      <c r="T30" s="64"/>
      <c r="U30" s="48"/>
      <c r="V30" s="48"/>
      <c r="W30" s="48"/>
      <c r="X30" s="48"/>
      <c r="Y30" s="48"/>
      <c r="Z30" s="48"/>
      <c r="AA30" s="48"/>
      <c r="AB30" s="64"/>
      <c r="AC30" s="48"/>
      <c r="AD30" s="48"/>
      <c r="AE30" s="48"/>
      <c r="AF30" s="48"/>
      <c r="AG30" s="48"/>
      <c r="AH30" s="48"/>
      <c r="AI30" s="48"/>
    </row>
    <row r="31" spans="1:35" s="50" customFormat="1" x14ac:dyDescent="0.25">
      <c r="A31" s="45"/>
      <c r="B31" s="46"/>
      <c r="C31" s="45"/>
      <c r="D31" s="47"/>
      <c r="E31" s="48"/>
      <c r="F31" s="49"/>
      <c r="G31" s="47"/>
      <c r="H31" s="49"/>
      <c r="I31" s="47"/>
      <c r="J31" s="47"/>
      <c r="K31" s="48"/>
      <c r="L31" s="48"/>
      <c r="M31" s="48"/>
      <c r="N31" s="48"/>
      <c r="O31" s="48"/>
      <c r="P31" s="47"/>
      <c r="R31" s="48"/>
      <c r="S31" s="48"/>
      <c r="T31" s="64"/>
      <c r="U31" s="48"/>
      <c r="V31" s="48"/>
      <c r="W31" s="48"/>
      <c r="X31" s="48"/>
      <c r="Y31" s="48"/>
      <c r="Z31" s="48"/>
      <c r="AA31" s="48"/>
      <c r="AB31" s="64"/>
      <c r="AC31" s="48"/>
      <c r="AD31" s="48"/>
      <c r="AE31" s="48"/>
      <c r="AF31" s="48"/>
      <c r="AG31" s="48"/>
      <c r="AH31" s="48"/>
      <c r="AI31" s="48"/>
    </row>
    <row r="32" spans="1:35" s="52" customFormat="1" x14ac:dyDescent="0.25">
      <c r="A32" s="51"/>
      <c r="B32" s="46"/>
      <c r="C32" s="51"/>
      <c r="D32" s="47"/>
      <c r="E32" s="48"/>
      <c r="F32" s="49"/>
      <c r="G32" s="47"/>
      <c r="H32" s="49"/>
      <c r="I32" s="47"/>
      <c r="J32" s="47"/>
      <c r="K32" s="48"/>
      <c r="L32" s="48"/>
      <c r="M32" s="48"/>
      <c r="N32" s="48"/>
      <c r="O32" s="48"/>
      <c r="P32" s="47"/>
      <c r="R32" s="48"/>
      <c r="S32" s="48"/>
      <c r="T32" s="64"/>
      <c r="U32" s="48"/>
      <c r="V32" s="48"/>
      <c r="W32" s="48"/>
      <c r="X32" s="48"/>
      <c r="Y32" s="48"/>
      <c r="Z32" s="48"/>
      <c r="AA32" s="48"/>
      <c r="AB32" s="64"/>
      <c r="AC32" s="48"/>
      <c r="AD32" s="48"/>
      <c r="AE32" s="48"/>
      <c r="AF32" s="48"/>
      <c r="AG32" s="48"/>
      <c r="AH32" s="48"/>
      <c r="AI32" s="48"/>
    </row>
    <row r="33" spans="1:35" s="52" customFormat="1" x14ac:dyDescent="0.25">
      <c r="A33" s="51"/>
      <c r="B33" s="46"/>
      <c r="C33" s="51"/>
      <c r="D33" s="47"/>
      <c r="E33" s="48"/>
      <c r="F33" s="49"/>
      <c r="G33" s="47"/>
      <c r="H33" s="49"/>
      <c r="I33" s="47"/>
      <c r="J33" s="47"/>
      <c r="K33" s="48"/>
      <c r="L33" s="48"/>
      <c r="M33" s="48"/>
      <c r="N33" s="48"/>
      <c r="O33" s="48"/>
      <c r="P33" s="47"/>
      <c r="R33" s="48"/>
      <c r="S33" s="48"/>
      <c r="T33" s="64"/>
      <c r="U33" s="48"/>
      <c r="V33" s="48"/>
      <c r="W33" s="48"/>
      <c r="X33" s="48"/>
      <c r="Y33" s="48"/>
      <c r="Z33" s="48"/>
      <c r="AA33" s="48"/>
      <c r="AB33" s="64"/>
      <c r="AC33" s="48"/>
      <c r="AD33" s="48"/>
      <c r="AE33" s="48"/>
      <c r="AF33" s="48"/>
      <c r="AG33" s="48"/>
      <c r="AH33" s="48"/>
      <c r="AI33" s="48"/>
    </row>
    <row r="34" spans="1:35" s="50" customFormat="1" x14ac:dyDescent="0.25">
      <c r="A34" s="45"/>
      <c r="B34" s="46"/>
      <c r="C34" s="45"/>
      <c r="D34" s="47"/>
      <c r="E34" s="48"/>
      <c r="F34" s="49"/>
      <c r="G34" s="47"/>
      <c r="H34" s="49"/>
      <c r="I34" s="47"/>
      <c r="J34" s="47"/>
      <c r="K34" s="48"/>
      <c r="L34" s="48"/>
      <c r="M34" s="48"/>
      <c r="N34" s="48"/>
      <c r="O34" s="48"/>
      <c r="P34" s="47"/>
      <c r="R34" s="48"/>
      <c r="S34" s="48"/>
      <c r="T34" s="64"/>
      <c r="U34" s="48"/>
      <c r="V34" s="48"/>
      <c r="W34" s="48"/>
      <c r="X34" s="48"/>
      <c r="Y34" s="48"/>
      <c r="Z34" s="48"/>
      <c r="AA34" s="48"/>
      <c r="AB34" s="64"/>
      <c r="AC34" s="48"/>
      <c r="AD34" s="48"/>
      <c r="AE34" s="48"/>
      <c r="AF34" s="48"/>
      <c r="AG34" s="48"/>
      <c r="AH34" s="48"/>
      <c r="AI34" s="48"/>
    </row>
    <row r="35" spans="1:35" s="52" customFormat="1" x14ac:dyDescent="0.25">
      <c r="A35" s="51"/>
      <c r="B35" s="46"/>
      <c r="C35" s="51"/>
      <c r="D35" s="47"/>
      <c r="E35" s="48"/>
      <c r="F35" s="49"/>
      <c r="G35" s="47"/>
      <c r="H35" s="49"/>
      <c r="I35" s="47"/>
      <c r="J35" s="47"/>
      <c r="K35" s="48"/>
      <c r="L35" s="48"/>
      <c r="M35" s="48"/>
      <c r="N35" s="48"/>
      <c r="O35" s="48"/>
      <c r="P35" s="47"/>
      <c r="R35" s="48"/>
      <c r="S35" s="48"/>
      <c r="T35" s="64"/>
      <c r="U35" s="48"/>
      <c r="V35" s="48"/>
      <c r="W35" s="48"/>
      <c r="X35" s="48"/>
      <c r="Y35" s="48"/>
      <c r="Z35" s="48"/>
      <c r="AA35" s="48"/>
      <c r="AB35" s="64"/>
      <c r="AC35" s="48"/>
      <c r="AD35" s="48"/>
      <c r="AE35" s="48"/>
      <c r="AF35" s="48"/>
      <c r="AG35" s="48"/>
      <c r="AH35" s="48"/>
      <c r="AI35" s="48"/>
    </row>
    <row r="36" spans="1:35" s="50" customFormat="1" x14ac:dyDescent="0.25">
      <c r="A36" s="45"/>
      <c r="B36" s="46"/>
      <c r="C36" s="45"/>
      <c r="D36" s="47"/>
      <c r="E36" s="48"/>
      <c r="F36" s="49"/>
      <c r="G36" s="47"/>
      <c r="H36" s="49"/>
      <c r="I36" s="47"/>
      <c r="J36" s="47"/>
      <c r="K36" s="48"/>
      <c r="L36" s="48"/>
      <c r="M36" s="48"/>
      <c r="N36" s="48"/>
      <c r="O36" s="48"/>
      <c r="P36" s="47"/>
      <c r="R36" s="48"/>
      <c r="S36" s="48"/>
      <c r="T36" s="64"/>
      <c r="U36" s="48"/>
      <c r="V36" s="48"/>
      <c r="W36" s="48"/>
      <c r="X36" s="48"/>
      <c r="Y36" s="48"/>
      <c r="Z36" s="48"/>
      <c r="AA36" s="48"/>
      <c r="AB36" s="64"/>
      <c r="AC36" s="48"/>
      <c r="AD36" s="48"/>
      <c r="AE36" s="48"/>
      <c r="AF36" s="48"/>
      <c r="AG36" s="48"/>
      <c r="AH36" s="48"/>
      <c r="AI36" s="48"/>
    </row>
    <row r="37" spans="1:35" s="50" customFormat="1" x14ac:dyDescent="0.25">
      <c r="A37" s="45"/>
      <c r="B37" s="45"/>
      <c r="C37" s="45"/>
      <c r="D37" s="53"/>
      <c r="E37" s="45"/>
      <c r="F37" s="54"/>
      <c r="G37" s="46"/>
      <c r="H37" s="54"/>
      <c r="I37" s="46"/>
      <c r="J37" s="55"/>
      <c r="K37" s="56"/>
      <c r="L37" s="56"/>
      <c r="M37" s="56"/>
      <c r="N37" s="56"/>
      <c r="O37" s="56"/>
      <c r="P37" s="55"/>
      <c r="R37" s="56"/>
      <c r="S37" s="56"/>
      <c r="T37" s="65"/>
      <c r="U37" s="56"/>
      <c r="V37" s="86"/>
      <c r="W37" s="56"/>
      <c r="X37" s="86"/>
      <c r="Y37" s="56"/>
      <c r="Z37" s="56"/>
      <c r="AA37" s="56"/>
      <c r="AB37" s="65"/>
      <c r="AC37" s="56"/>
      <c r="AD37" s="86"/>
      <c r="AE37" s="56"/>
      <c r="AF37" s="86"/>
      <c r="AG37" s="86"/>
      <c r="AH37" s="56"/>
      <c r="AI37" s="86"/>
    </row>
    <row r="38" spans="1:35" s="50" customFormat="1" x14ac:dyDescent="0.25">
      <c r="A38" s="45"/>
      <c r="B38" s="45"/>
      <c r="C38" s="45"/>
      <c r="D38" s="53"/>
      <c r="E38" s="45"/>
      <c r="F38" s="54"/>
      <c r="G38" s="46"/>
      <c r="H38" s="54"/>
      <c r="I38" s="46"/>
      <c r="J38" s="55"/>
      <c r="K38" s="56"/>
      <c r="L38" s="56"/>
      <c r="M38" s="56"/>
      <c r="N38" s="56"/>
      <c r="O38" s="56"/>
      <c r="P38" s="55"/>
      <c r="R38" s="56"/>
      <c r="S38" s="56"/>
      <c r="T38" s="65"/>
      <c r="U38" s="56"/>
      <c r="V38" s="86"/>
      <c r="W38" s="56"/>
      <c r="X38" s="86"/>
      <c r="Y38" s="56"/>
      <c r="Z38" s="56"/>
      <c r="AA38" s="56"/>
      <c r="AB38" s="65"/>
      <c r="AC38" s="56"/>
      <c r="AD38" s="86"/>
      <c r="AE38" s="56"/>
      <c r="AF38" s="86"/>
      <c r="AG38" s="86"/>
      <c r="AH38" s="56"/>
      <c r="AI38" s="86"/>
    </row>
    <row r="39" spans="1:35" s="50" customFormat="1" x14ac:dyDescent="0.25">
      <c r="A39" s="45"/>
      <c r="B39" s="45"/>
      <c r="C39" s="45"/>
      <c r="D39" s="53"/>
      <c r="E39" s="45"/>
      <c r="F39" s="54"/>
      <c r="G39" s="46"/>
      <c r="H39" s="54"/>
      <c r="I39" s="46"/>
      <c r="J39" s="55"/>
      <c r="K39" s="56"/>
      <c r="L39" s="56"/>
      <c r="M39" s="56"/>
      <c r="N39" s="56"/>
      <c r="O39" s="56"/>
      <c r="P39" s="55"/>
      <c r="R39" s="56"/>
      <c r="S39" s="56"/>
      <c r="T39" s="65"/>
      <c r="U39" s="56"/>
      <c r="V39" s="86"/>
      <c r="W39" s="56"/>
      <c r="X39" s="86"/>
      <c r="Y39" s="56"/>
      <c r="Z39" s="56"/>
      <c r="AA39" s="56"/>
      <c r="AB39" s="65"/>
      <c r="AC39" s="56"/>
      <c r="AD39" s="86"/>
      <c r="AE39" s="56"/>
      <c r="AF39" s="86"/>
      <c r="AG39" s="86"/>
      <c r="AH39" s="56"/>
      <c r="AI39" s="86"/>
    </row>
    <row r="40" spans="1:35" s="50" customFormat="1" x14ac:dyDescent="0.25">
      <c r="A40" s="45"/>
      <c r="B40" s="45"/>
      <c r="C40" s="45"/>
      <c r="D40" s="53"/>
      <c r="E40" s="45"/>
      <c r="F40" s="54"/>
      <c r="G40" s="46"/>
      <c r="H40" s="54"/>
      <c r="I40" s="46"/>
      <c r="J40" s="55"/>
      <c r="K40" s="56"/>
      <c r="L40" s="56"/>
      <c r="M40" s="56"/>
      <c r="N40" s="56"/>
      <c r="O40" s="56"/>
      <c r="P40" s="55"/>
      <c r="R40" s="56"/>
      <c r="S40" s="56"/>
      <c r="T40" s="65"/>
      <c r="U40" s="56"/>
      <c r="V40" s="86"/>
      <c r="W40" s="56"/>
      <c r="X40" s="86"/>
      <c r="Y40" s="56"/>
      <c r="Z40" s="56"/>
      <c r="AA40" s="56"/>
      <c r="AB40" s="65"/>
      <c r="AC40" s="56"/>
      <c r="AD40" s="86"/>
      <c r="AE40" s="56"/>
      <c r="AF40" s="86"/>
      <c r="AG40" s="86"/>
      <c r="AH40" s="56"/>
      <c r="AI40" s="86"/>
    </row>
    <row r="41" spans="1:35" s="50" customFormat="1" x14ac:dyDescent="0.25">
      <c r="A41" s="45"/>
      <c r="B41" s="45"/>
      <c r="C41" s="45"/>
      <c r="D41" s="53"/>
      <c r="E41" s="45"/>
      <c r="F41" s="54"/>
      <c r="G41" s="46"/>
      <c r="H41" s="54"/>
      <c r="I41" s="46"/>
      <c r="J41" s="55"/>
      <c r="K41" s="56"/>
      <c r="L41" s="56"/>
      <c r="M41" s="56"/>
      <c r="N41" s="56"/>
      <c r="O41" s="56"/>
      <c r="P41" s="55"/>
      <c r="R41" s="56"/>
      <c r="S41" s="56"/>
      <c r="T41" s="65"/>
      <c r="U41" s="56"/>
      <c r="V41" s="86"/>
      <c r="W41" s="56"/>
      <c r="X41" s="86"/>
      <c r="Y41" s="56"/>
      <c r="Z41" s="56"/>
      <c r="AA41" s="56"/>
      <c r="AB41" s="65"/>
      <c r="AC41" s="56"/>
      <c r="AD41" s="86"/>
      <c r="AE41" s="56"/>
      <c r="AF41" s="86"/>
      <c r="AG41" s="86"/>
      <c r="AH41" s="56"/>
      <c r="AI41" s="86"/>
    </row>
    <row r="42" spans="1:35" s="50" customFormat="1" x14ac:dyDescent="0.25">
      <c r="A42" s="45"/>
      <c r="B42" s="45"/>
      <c r="C42" s="45"/>
      <c r="D42" s="53"/>
      <c r="E42" s="45"/>
      <c r="F42" s="54"/>
      <c r="G42" s="46"/>
      <c r="H42" s="54"/>
      <c r="I42" s="46"/>
      <c r="J42" s="55"/>
      <c r="K42" s="56"/>
      <c r="L42" s="56"/>
      <c r="M42" s="56"/>
      <c r="N42" s="56"/>
      <c r="O42" s="56"/>
      <c r="P42" s="55"/>
      <c r="R42" s="56"/>
      <c r="S42" s="56"/>
      <c r="T42" s="65"/>
      <c r="U42" s="56"/>
      <c r="V42" s="86"/>
      <c r="W42" s="56"/>
      <c r="X42" s="86"/>
      <c r="Y42" s="56"/>
      <c r="Z42" s="56"/>
      <c r="AA42" s="56"/>
      <c r="AB42" s="65"/>
      <c r="AC42" s="56"/>
      <c r="AD42" s="86"/>
      <c r="AE42" s="56"/>
      <c r="AF42" s="86"/>
      <c r="AG42" s="86"/>
      <c r="AH42" s="56"/>
      <c r="AI42" s="86"/>
    </row>
    <row r="43" spans="1:35" s="50" customFormat="1" x14ac:dyDescent="0.25">
      <c r="A43" s="45"/>
      <c r="B43" s="45"/>
      <c r="C43" s="45"/>
      <c r="D43" s="53"/>
      <c r="E43" s="45"/>
      <c r="F43" s="54"/>
      <c r="G43" s="46"/>
      <c r="H43" s="54"/>
      <c r="I43" s="46"/>
      <c r="J43" s="55"/>
      <c r="K43" s="56"/>
      <c r="L43" s="56"/>
      <c r="M43" s="56"/>
      <c r="N43" s="56"/>
      <c r="O43" s="56"/>
      <c r="P43" s="55"/>
      <c r="R43" s="56"/>
      <c r="S43" s="56"/>
      <c r="T43" s="65"/>
      <c r="U43" s="56"/>
      <c r="V43" s="86"/>
      <c r="W43" s="56"/>
      <c r="X43" s="86"/>
      <c r="Y43" s="56"/>
      <c r="Z43" s="56"/>
      <c r="AA43" s="56"/>
      <c r="AB43" s="65"/>
      <c r="AC43" s="56"/>
      <c r="AD43" s="86"/>
      <c r="AE43" s="56"/>
      <c r="AF43" s="86"/>
      <c r="AG43" s="86"/>
      <c r="AH43" s="56"/>
      <c r="AI43" s="86"/>
    </row>
    <row r="44" spans="1:35" s="50" customFormat="1" x14ac:dyDescent="0.25">
      <c r="A44" s="45"/>
      <c r="B44" s="45"/>
      <c r="C44" s="45"/>
      <c r="D44" s="53"/>
      <c r="E44" s="45"/>
      <c r="F44" s="54"/>
      <c r="G44" s="46"/>
      <c r="H44" s="54"/>
      <c r="I44" s="46"/>
      <c r="J44" s="55"/>
      <c r="K44" s="56"/>
      <c r="L44" s="56"/>
      <c r="M44" s="56"/>
      <c r="N44" s="56"/>
      <c r="O44" s="56"/>
      <c r="P44" s="55"/>
      <c r="R44" s="56"/>
      <c r="S44" s="56"/>
      <c r="T44" s="65"/>
      <c r="U44" s="56"/>
      <c r="V44" s="86"/>
      <c r="W44" s="56"/>
      <c r="X44" s="86"/>
      <c r="Y44" s="56"/>
      <c r="Z44" s="56"/>
      <c r="AA44" s="56"/>
      <c r="AB44" s="65"/>
      <c r="AC44" s="56"/>
      <c r="AD44" s="86"/>
      <c r="AE44" s="56"/>
      <c r="AF44" s="86"/>
      <c r="AG44" s="86"/>
      <c r="AH44" s="56"/>
      <c r="AI44" s="86"/>
    </row>
    <row r="45" spans="1:35" s="50" customFormat="1" x14ac:dyDescent="0.25">
      <c r="A45" s="45"/>
      <c r="B45" s="45"/>
      <c r="C45" s="45"/>
      <c r="D45" s="53"/>
      <c r="E45" s="45"/>
      <c r="F45" s="54"/>
      <c r="G45" s="46"/>
      <c r="H45" s="54"/>
      <c r="I45" s="46"/>
      <c r="J45" s="55"/>
      <c r="K45" s="56"/>
      <c r="L45" s="56"/>
      <c r="M45" s="56"/>
      <c r="N45" s="56"/>
      <c r="O45" s="56"/>
      <c r="P45" s="55"/>
      <c r="R45" s="56"/>
      <c r="S45" s="56"/>
      <c r="T45" s="65"/>
      <c r="U45" s="56"/>
      <c r="V45" s="86"/>
      <c r="W45" s="56"/>
      <c r="X45" s="86"/>
      <c r="Y45" s="56"/>
      <c r="Z45" s="56"/>
      <c r="AA45" s="56"/>
      <c r="AB45" s="65"/>
      <c r="AC45" s="56"/>
      <c r="AD45" s="86"/>
      <c r="AE45" s="56"/>
      <c r="AF45" s="86"/>
      <c r="AG45" s="86"/>
      <c r="AH45" s="56"/>
      <c r="AI45" s="86"/>
    </row>
    <row r="46" spans="1:35" x14ac:dyDescent="0.25">
      <c r="J46" s="19"/>
      <c r="K46" s="20"/>
      <c r="L46" s="20"/>
      <c r="M46" s="20"/>
      <c r="N46" s="20"/>
      <c r="O46" s="20"/>
      <c r="P46" s="19"/>
      <c r="R46" s="20"/>
      <c r="S46" s="20"/>
      <c r="T46" s="66"/>
      <c r="U46" s="20"/>
      <c r="V46" s="87"/>
      <c r="W46" s="20"/>
      <c r="X46" s="87"/>
      <c r="Y46" s="20"/>
      <c r="Z46" s="20"/>
      <c r="AA46" s="20"/>
      <c r="AB46" s="66"/>
      <c r="AC46" s="20"/>
      <c r="AD46" s="87"/>
      <c r="AE46" s="20"/>
      <c r="AF46" s="87"/>
      <c r="AG46" s="87"/>
      <c r="AH46" s="20"/>
      <c r="AI46" s="87"/>
    </row>
    <row r="47" spans="1:35" x14ac:dyDescent="0.25">
      <c r="J47" s="19"/>
      <c r="K47" s="20"/>
      <c r="L47" s="20"/>
      <c r="M47" s="20"/>
      <c r="N47" s="20"/>
      <c r="O47" s="20"/>
      <c r="P47" s="19"/>
      <c r="R47" s="20"/>
      <c r="S47" s="20"/>
      <c r="T47" s="66"/>
      <c r="U47" s="20"/>
      <c r="V47" s="87"/>
      <c r="W47" s="20"/>
      <c r="X47" s="87"/>
      <c r="Y47" s="20"/>
      <c r="Z47" s="20"/>
      <c r="AA47" s="20"/>
      <c r="AB47" s="66"/>
      <c r="AC47" s="20"/>
      <c r="AD47" s="87"/>
      <c r="AE47" s="20"/>
      <c r="AF47" s="87"/>
      <c r="AG47" s="87"/>
      <c r="AH47" s="20"/>
      <c r="AI47" s="87"/>
    </row>
    <row r="48" spans="1:35" x14ac:dyDescent="0.25">
      <c r="J48" s="19"/>
      <c r="K48" s="20"/>
      <c r="L48" s="20"/>
      <c r="M48" s="20"/>
      <c r="N48" s="20"/>
      <c r="O48" s="20"/>
      <c r="P48" s="19"/>
      <c r="R48" s="20"/>
      <c r="S48" s="20"/>
      <c r="T48" s="66"/>
      <c r="U48" s="20"/>
      <c r="V48" s="87"/>
      <c r="W48" s="20"/>
      <c r="X48" s="87"/>
      <c r="Y48" s="20"/>
      <c r="Z48" s="20"/>
      <c r="AA48" s="20"/>
      <c r="AB48" s="66"/>
      <c r="AC48" s="20"/>
      <c r="AD48" s="87"/>
      <c r="AE48" s="20"/>
      <c r="AF48" s="87"/>
      <c r="AG48" s="87"/>
      <c r="AH48" s="20"/>
      <c r="AI48" s="87"/>
    </row>
    <row r="49" spans="10:35" x14ac:dyDescent="0.25">
      <c r="J49" s="19"/>
      <c r="K49" s="20"/>
      <c r="L49" s="20"/>
      <c r="M49" s="20"/>
      <c r="N49" s="20"/>
      <c r="O49" s="20"/>
      <c r="P49" s="19"/>
      <c r="R49" s="20"/>
      <c r="S49" s="20"/>
      <c r="T49" s="66"/>
      <c r="U49" s="20"/>
      <c r="V49" s="87"/>
      <c r="W49" s="20"/>
      <c r="X49" s="87"/>
      <c r="Y49" s="20"/>
      <c r="Z49" s="20"/>
      <c r="AA49" s="20"/>
      <c r="AB49" s="66"/>
      <c r="AC49" s="20"/>
      <c r="AD49" s="87"/>
      <c r="AE49" s="20"/>
      <c r="AF49" s="87"/>
      <c r="AG49" s="87"/>
      <c r="AH49" s="20"/>
      <c r="AI49" s="87"/>
    </row>
    <row r="50" spans="10:35" x14ac:dyDescent="0.25">
      <c r="J50" s="19"/>
      <c r="K50" s="20"/>
      <c r="L50" s="20"/>
      <c r="M50" s="20"/>
      <c r="N50" s="20"/>
      <c r="O50" s="20"/>
      <c r="P50" s="19"/>
      <c r="R50" s="20"/>
      <c r="S50" s="20"/>
      <c r="T50" s="66"/>
      <c r="U50" s="20"/>
      <c r="V50" s="87"/>
      <c r="W50" s="20"/>
      <c r="X50" s="87"/>
      <c r="Y50" s="20"/>
      <c r="Z50" s="20"/>
      <c r="AA50" s="20"/>
      <c r="AB50" s="66"/>
      <c r="AC50" s="20"/>
      <c r="AD50" s="87"/>
      <c r="AE50" s="20"/>
      <c r="AF50" s="87"/>
      <c r="AG50" s="87"/>
      <c r="AH50" s="20"/>
      <c r="AI50" s="87"/>
    </row>
    <row r="51" spans="10:35" x14ac:dyDescent="0.25">
      <c r="J51" s="19"/>
      <c r="K51" s="20"/>
      <c r="L51" s="20"/>
      <c r="M51" s="20"/>
      <c r="N51" s="20"/>
      <c r="O51" s="20"/>
      <c r="P51" s="19"/>
      <c r="R51" s="20"/>
      <c r="S51" s="20"/>
      <c r="T51" s="66"/>
      <c r="U51" s="20"/>
      <c r="V51" s="87"/>
      <c r="W51" s="20"/>
      <c r="X51" s="87"/>
      <c r="Y51" s="20"/>
      <c r="Z51" s="20"/>
      <c r="AA51" s="20"/>
      <c r="AB51" s="66"/>
      <c r="AC51" s="20"/>
      <c r="AD51" s="87"/>
      <c r="AE51" s="20"/>
      <c r="AF51" s="87"/>
      <c r="AG51" s="87"/>
      <c r="AH51" s="20"/>
      <c r="AI51" s="87"/>
    </row>
    <row r="52" spans="10:35" x14ac:dyDescent="0.25">
      <c r="J52" s="19"/>
      <c r="K52" s="20"/>
      <c r="L52" s="20"/>
      <c r="M52" s="20"/>
      <c r="N52" s="20"/>
      <c r="O52" s="20"/>
      <c r="P52" s="19"/>
      <c r="R52" s="20"/>
      <c r="S52" s="20"/>
      <c r="T52" s="66"/>
      <c r="U52" s="20"/>
      <c r="V52" s="87"/>
      <c r="W52" s="20"/>
      <c r="X52" s="87"/>
      <c r="Y52" s="20"/>
      <c r="Z52" s="20"/>
      <c r="AA52" s="20"/>
      <c r="AB52" s="66"/>
      <c r="AC52" s="20"/>
      <c r="AD52" s="87"/>
      <c r="AE52" s="20"/>
      <c r="AF52" s="87"/>
      <c r="AG52" s="87"/>
      <c r="AH52" s="20"/>
      <c r="AI52" s="87"/>
    </row>
    <row r="53" spans="10:35" x14ac:dyDescent="0.25">
      <c r="J53" s="19"/>
      <c r="K53" s="20"/>
      <c r="L53" s="20"/>
      <c r="M53" s="20"/>
      <c r="N53" s="20"/>
      <c r="O53" s="20"/>
      <c r="P53" s="19"/>
      <c r="R53" s="20"/>
      <c r="S53" s="20"/>
      <c r="T53" s="66"/>
      <c r="U53" s="20"/>
      <c r="V53" s="87"/>
      <c r="W53" s="20"/>
      <c r="X53" s="87"/>
      <c r="Y53" s="20"/>
      <c r="Z53" s="20"/>
      <c r="AA53" s="20"/>
      <c r="AB53" s="66"/>
      <c r="AC53" s="20"/>
      <c r="AD53" s="87"/>
      <c r="AE53" s="20"/>
      <c r="AF53" s="87"/>
      <c r="AG53" s="87"/>
      <c r="AH53" s="20"/>
      <c r="AI53" s="87"/>
    </row>
    <row r="54" spans="10:35" x14ac:dyDescent="0.25">
      <c r="J54" s="19"/>
      <c r="K54" s="20"/>
      <c r="L54" s="20"/>
      <c r="M54" s="20"/>
      <c r="N54" s="20"/>
      <c r="O54" s="20"/>
      <c r="P54" s="19"/>
      <c r="R54" s="20"/>
      <c r="S54" s="20"/>
      <c r="T54" s="66"/>
      <c r="U54" s="20"/>
      <c r="V54" s="87"/>
      <c r="W54" s="20"/>
      <c r="X54" s="87"/>
      <c r="Y54" s="20"/>
      <c r="Z54" s="20"/>
      <c r="AA54" s="20"/>
      <c r="AB54" s="66"/>
      <c r="AC54" s="20"/>
      <c r="AD54" s="87"/>
      <c r="AE54" s="20"/>
      <c r="AF54" s="87"/>
      <c r="AG54" s="87"/>
      <c r="AH54" s="20"/>
      <c r="AI54" s="87"/>
    </row>
    <row r="55" spans="10:35" x14ac:dyDescent="0.25">
      <c r="J55" s="19"/>
      <c r="K55" s="20"/>
      <c r="L55" s="20"/>
      <c r="M55" s="20"/>
      <c r="N55" s="20"/>
      <c r="O55" s="20"/>
      <c r="P55" s="19"/>
      <c r="R55" s="20"/>
      <c r="S55" s="20"/>
      <c r="T55" s="66"/>
      <c r="U55" s="20"/>
      <c r="V55" s="87"/>
      <c r="W55" s="20"/>
      <c r="X55" s="87"/>
      <c r="Y55" s="20"/>
      <c r="Z55" s="20"/>
      <c r="AA55" s="20"/>
      <c r="AB55" s="66"/>
      <c r="AC55" s="20"/>
      <c r="AD55" s="87"/>
      <c r="AE55" s="20"/>
      <c r="AF55" s="87"/>
      <c r="AG55" s="87"/>
      <c r="AH55" s="20"/>
      <c r="AI55" s="87"/>
    </row>
    <row r="56" spans="10:35" x14ac:dyDescent="0.25">
      <c r="J56" s="19"/>
      <c r="K56" s="20"/>
      <c r="L56" s="20"/>
      <c r="M56" s="20"/>
      <c r="N56" s="20"/>
      <c r="O56" s="20"/>
      <c r="P56" s="19"/>
      <c r="R56" s="20"/>
      <c r="S56" s="20"/>
      <c r="T56" s="66"/>
      <c r="U56" s="20"/>
      <c r="V56" s="87"/>
      <c r="W56" s="20"/>
      <c r="X56" s="87"/>
      <c r="Y56" s="20"/>
      <c r="Z56" s="20"/>
      <c r="AA56" s="20"/>
      <c r="AB56" s="66"/>
      <c r="AC56" s="20"/>
      <c r="AD56" s="87"/>
      <c r="AE56" s="20"/>
      <c r="AF56" s="87"/>
      <c r="AG56" s="87"/>
      <c r="AH56" s="20"/>
      <c r="AI56" s="87"/>
    </row>
    <row r="57" spans="10:35" x14ac:dyDescent="0.25">
      <c r="J57" s="19"/>
      <c r="K57" s="20"/>
      <c r="L57" s="20"/>
      <c r="M57" s="20"/>
      <c r="N57" s="20"/>
      <c r="O57" s="20"/>
      <c r="P57" s="19"/>
      <c r="R57" s="20"/>
      <c r="S57" s="20"/>
      <c r="T57" s="66"/>
      <c r="U57" s="20"/>
      <c r="V57" s="87"/>
      <c r="W57" s="20"/>
      <c r="X57" s="87"/>
      <c r="Y57" s="20"/>
      <c r="Z57" s="20"/>
      <c r="AA57" s="20"/>
      <c r="AB57" s="66"/>
      <c r="AC57" s="20"/>
      <c r="AD57" s="87"/>
      <c r="AE57" s="20"/>
      <c r="AF57" s="87"/>
      <c r="AG57" s="87"/>
      <c r="AH57" s="20"/>
      <c r="AI57" s="87"/>
    </row>
    <row r="58" spans="10:35" x14ac:dyDescent="0.25">
      <c r="J58" s="19"/>
      <c r="K58" s="20"/>
      <c r="L58" s="20"/>
      <c r="M58" s="20"/>
      <c r="N58" s="20"/>
      <c r="O58" s="20"/>
      <c r="P58" s="19"/>
      <c r="R58" s="20"/>
      <c r="S58" s="20"/>
      <c r="T58" s="66"/>
      <c r="U58" s="20"/>
      <c r="V58" s="87"/>
      <c r="W58" s="20"/>
      <c r="X58" s="87"/>
      <c r="Y58" s="20"/>
      <c r="Z58" s="20"/>
      <c r="AA58" s="20"/>
      <c r="AB58" s="66"/>
      <c r="AC58" s="20"/>
      <c r="AD58" s="87"/>
      <c r="AE58" s="20"/>
      <c r="AF58" s="87"/>
      <c r="AG58" s="87"/>
      <c r="AH58" s="20"/>
      <c r="AI58" s="87"/>
    </row>
    <row r="59" spans="10:35" x14ac:dyDescent="0.25">
      <c r="J59" s="19"/>
      <c r="K59" s="20"/>
      <c r="L59" s="20"/>
      <c r="M59" s="20"/>
      <c r="N59" s="20"/>
      <c r="O59" s="20"/>
      <c r="P59" s="19"/>
      <c r="R59" s="20"/>
      <c r="S59" s="20"/>
      <c r="T59" s="66"/>
      <c r="U59" s="20"/>
      <c r="V59" s="87"/>
      <c r="W59" s="20"/>
      <c r="X59" s="87"/>
      <c r="Y59" s="20"/>
      <c r="Z59" s="20"/>
      <c r="AA59" s="20"/>
      <c r="AB59" s="66"/>
      <c r="AC59" s="20"/>
      <c r="AD59" s="87"/>
      <c r="AE59" s="20"/>
      <c r="AF59" s="87"/>
      <c r="AG59" s="87"/>
      <c r="AH59" s="20"/>
      <c r="AI59" s="87"/>
    </row>
    <row r="60" spans="10:35" x14ac:dyDescent="0.25">
      <c r="J60" s="19"/>
      <c r="K60" s="20"/>
      <c r="L60" s="20"/>
      <c r="M60" s="20"/>
      <c r="N60" s="20"/>
      <c r="O60" s="20"/>
      <c r="P60" s="19"/>
      <c r="R60" s="20"/>
      <c r="S60" s="20"/>
      <c r="T60" s="66"/>
      <c r="U60" s="20"/>
      <c r="V60" s="87"/>
      <c r="W60" s="20"/>
      <c r="X60" s="87"/>
      <c r="Y60" s="20"/>
      <c r="Z60" s="20"/>
      <c r="AA60" s="20"/>
      <c r="AB60" s="66"/>
      <c r="AC60" s="20"/>
      <c r="AD60" s="87"/>
      <c r="AE60" s="20"/>
      <c r="AF60" s="87"/>
      <c r="AG60" s="87"/>
      <c r="AH60" s="20"/>
      <c r="AI60" s="87"/>
    </row>
    <row r="61" spans="10:35" x14ac:dyDescent="0.25">
      <c r="J61" s="19"/>
      <c r="K61" s="20"/>
      <c r="L61" s="20"/>
      <c r="M61" s="20"/>
      <c r="N61" s="20"/>
      <c r="O61" s="20"/>
      <c r="P61" s="19"/>
      <c r="R61" s="20"/>
      <c r="S61" s="20"/>
      <c r="T61" s="66"/>
      <c r="U61" s="20"/>
      <c r="V61" s="87"/>
      <c r="W61" s="20"/>
      <c r="X61" s="87"/>
      <c r="Y61" s="20"/>
      <c r="Z61" s="20"/>
      <c r="AA61" s="20"/>
      <c r="AB61" s="66"/>
      <c r="AC61" s="20"/>
      <c r="AD61" s="87"/>
      <c r="AE61" s="20"/>
      <c r="AF61" s="87"/>
      <c r="AG61" s="87"/>
      <c r="AH61" s="20"/>
      <c r="AI61" s="87"/>
    </row>
    <row r="62" spans="10:35" x14ac:dyDescent="0.25">
      <c r="J62" s="19"/>
      <c r="K62" s="20"/>
      <c r="L62" s="20"/>
      <c r="M62" s="20"/>
      <c r="N62" s="20"/>
      <c r="O62" s="20"/>
      <c r="P62" s="19"/>
      <c r="R62" s="20"/>
      <c r="S62" s="20"/>
      <c r="T62" s="66"/>
      <c r="U62" s="20"/>
      <c r="V62" s="87"/>
      <c r="W62" s="20"/>
      <c r="X62" s="87"/>
      <c r="Y62" s="20"/>
      <c r="Z62" s="20"/>
      <c r="AA62" s="20"/>
      <c r="AB62" s="66"/>
      <c r="AC62" s="20"/>
      <c r="AD62" s="87"/>
      <c r="AE62" s="20"/>
      <c r="AF62" s="87"/>
      <c r="AG62" s="87"/>
      <c r="AH62" s="20"/>
      <c r="AI62" s="87"/>
    </row>
    <row r="63" spans="10:35" x14ac:dyDescent="0.25">
      <c r="J63" s="19"/>
      <c r="K63" s="20"/>
      <c r="L63" s="20"/>
      <c r="M63" s="20"/>
      <c r="N63" s="20"/>
      <c r="O63" s="20"/>
      <c r="P63" s="19"/>
      <c r="R63" s="20"/>
      <c r="S63" s="20"/>
      <c r="T63" s="66"/>
      <c r="U63" s="20"/>
      <c r="V63" s="87"/>
      <c r="W63" s="20"/>
      <c r="X63" s="87"/>
      <c r="Y63" s="20"/>
      <c r="Z63" s="20"/>
      <c r="AA63" s="20"/>
      <c r="AB63" s="66"/>
      <c r="AC63" s="20"/>
      <c r="AD63" s="87"/>
      <c r="AE63" s="20"/>
      <c r="AF63" s="87"/>
      <c r="AG63" s="87"/>
      <c r="AH63" s="20"/>
      <c r="AI63" s="87"/>
    </row>
    <row r="64" spans="10:35" x14ac:dyDescent="0.25">
      <c r="J64" s="19"/>
      <c r="K64" s="20"/>
      <c r="L64" s="20"/>
      <c r="M64" s="20"/>
      <c r="N64" s="20"/>
      <c r="O64" s="20"/>
      <c r="P64" s="19"/>
      <c r="R64" s="20"/>
      <c r="S64" s="20"/>
      <c r="T64" s="66"/>
      <c r="U64" s="20"/>
      <c r="V64" s="87"/>
      <c r="W64" s="20"/>
      <c r="X64" s="87"/>
      <c r="Y64" s="20"/>
      <c r="Z64" s="20"/>
      <c r="AA64" s="20"/>
      <c r="AB64" s="66"/>
      <c r="AC64" s="20"/>
      <c r="AD64" s="87"/>
      <c r="AE64" s="20"/>
      <c r="AF64" s="87"/>
      <c r="AG64" s="87"/>
      <c r="AH64" s="20"/>
      <c r="AI64" s="87"/>
    </row>
    <row r="65" spans="10:35" x14ac:dyDescent="0.25">
      <c r="J65" s="19"/>
      <c r="K65" s="20"/>
      <c r="L65" s="20"/>
      <c r="M65" s="20"/>
      <c r="N65" s="20"/>
      <c r="O65" s="20"/>
      <c r="P65" s="19"/>
      <c r="R65" s="20"/>
      <c r="S65" s="20"/>
      <c r="T65" s="66"/>
      <c r="U65" s="20"/>
      <c r="V65" s="87"/>
      <c r="W65" s="20"/>
      <c r="X65" s="87"/>
      <c r="Y65" s="20"/>
      <c r="Z65" s="20"/>
      <c r="AA65" s="20"/>
      <c r="AB65" s="66"/>
      <c r="AC65" s="20"/>
      <c r="AD65" s="87"/>
      <c r="AE65" s="20"/>
      <c r="AF65" s="87"/>
      <c r="AG65" s="87"/>
      <c r="AH65" s="20"/>
      <c r="AI65" s="87"/>
    </row>
    <row r="66" spans="10:35" x14ac:dyDescent="0.25">
      <c r="J66" s="19"/>
      <c r="K66" s="20"/>
      <c r="L66" s="20"/>
      <c r="M66" s="20"/>
      <c r="N66" s="20"/>
      <c r="O66" s="20"/>
      <c r="P66" s="19"/>
      <c r="R66" s="20"/>
      <c r="S66" s="20"/>
      <c r="T66" s="66"/>
      <c r="U66" s="20"/>
      <c r="V66" s="87"/>
      <c r="W66" s="20"/>
      <c r="X66" s="87"/>
      <c r="Y66" s="20"/>
      <c r="Z66" s="20"/>
      <c r="AA66" s="20"/>
      <c r="AB66" s="66"/>
      <c r="AC66" s="20"/>
      <c r="AD66" s="87"/>
      <c r="AE66" s="20"/>
      <c r="AF66" s="87"/>
      <c r="AG66" s="87"/>
      <c r="AH66" s="20"/>
      <c r="AI66" s="87"/>
    </row>
    <row r="67" spans="10:35" x14ac:dyDescent="0.25">
      <c r="J67" s="19"/>
      <c r="K67" s="20"/>
      <c r="L67" s="20"/>
      <c r="M67" s="20"/>
      <c r="N67" s="20"/>
      <c r="O67" s="20"/>
      <c r="P67" s="19"/>
      <c r="R67" s="20"/>
      <c r="S67" s="20"/>
      <c r="T67" s="66"/>
      <c r="U67" s="20"/>
      <c r="V67" s="87"/>
      <c r="W67" s="20"/>
      <c r="X67" s="87"/>
      <c r="Y67" s="20"/>
      <c r="Z67" s="20"/>
      <c r="AA67" s="20"/>
      <c r="AB67" s="66"/>
      <c r="AC67" s="20"/>
      <c r="AD67" s="87"/>
      <c r="AE67" s="20"/>
      <c r="AF67" s="87"/>
      <c r="AG67" s="87"/>
      <c r="AH67" s="20"/>
      <c r="AI67" s="87"/>
    </row>
    <row r="68" spans="10:35" x14ac:dyDescent="0.25">
      <c r="J68" s="19"/>
      <c r="K68" s="20"/>
      <c r="L68" s="20"/>
      <c r="M68" s="20"/>
      <c r="N68" s="20"/>
      <c r="O68" s="20"/>
      <c r="P68" s="19"/>
      <c r="R68" s="20"/>
      <c r="S68" s="20"/>
      <c r="T68" s="66"/>
      <c r="U68" s="20"/>
      <c r="V68" s="87"/>
      <c r="W68" s="20"/>
      <c r="X68" s="87"/>
      <c r="Y68" s="20"/>
      <c r="Z68" s="20"/>
      <c r="AA68" s="20"/>
      <c r="AB68" s="66"/>
      <c r="AC68" s="20"/>
      <c r="AD68" s="87"/>
      <c r="AE68" s="20"/>
      <c r="AF68" s="87"/>
      <c r="AG68" s="87"/>
      <c r="AH68" s="20"/>
      <c r="AI68" s="87"/>
    </row>
    <row r="69" spans="10:35" x14ac:dyDescent="0.25">
      <c r="J69" s="19"/>
      <c r="K69" s="20"/>
      <c r="L69" s="20"/>
      <c r="M69" s="20"/>
      <c r="N69" s="20"/>
      <c r="O69" s="20"/>
      <c r="P69" s="19"/>
      <c r="R69" s="20"/>
      <c r="S69" s="20"/>
      <c r="T69" s="66"/>
      <c r="U69" s="20"/>
      <c r="V69" s="87"/>
      <c r="W69" s="20"/>
      <c r="X69" s="87"/>
      <c r="Y69" s="20"/>
      <c r="Z69" s="20"/>
      <c r="AA69" s="20"/>
      <c r="AB69" s="66"/>
      <c r="AC69" s="20"/>
      <c r="AD69" s="87"/>
      <c r="AE69" s="20"/>
      <c r="AF69" s="87"/>
      <c r="AG69" s="87"/>
      <c r="AH69" s="20"/>
      <c r="AI69" s="87"/>
    </row>
    <row r="70" spans="10:35" x14ac:dyDescent="0.25">
      <c r="J70" s="19"/>
      <c r="K70" s="20"/>
      <c r="L70" s="20"/>
      <c r="M70" s="20"/>
      <c r="N70" s="20"/>
      <c r="O70" s="20"/>
      <c r="P70" s="19"/>
      <c r="R70" s="20"/>
      <c r="S70" s="20"/>
      <c r="T70" s="66"/>
      <c r="U70" s="20"/>
      <c r="V70" s="87"/>
      <c r="W70" s="20"/>
      <c r="X70" s="87"/>
      <c r="Y70" s="20"/>
      <c r="Z70" s="20"/>
      <c r="AA70" s="20"/>
      <c r="AB70" s="66"/>
      <c r="AC70" s="20"/>
      <c r="AD70" s="87"/>
      <c r="AE70" s="20"/>
      <c r="AF70" s="87"/>
      <c r="AG70" s="87"/>
      <c r="AH70" s="20"/>
      <c r="AI70" s="87"/>
    </row>
    <row r="71" spans="10:35" x14ac:dyDescent="0.25">
      <c r="J71" s="19"/>
      <c r="K71" s="20"/>
      <c r="L71" s="20"/>
      <c r="M71" s="20"/>
      <c r="N71" s="20"/>
      <c r="O71" s="20"/>
      <c r="P71" s="19"/>
      <c r="R71" s="20"/>
      <c r="S71" s="20"/>
      <c r="T71" s="66"/>
      <c r="U71" s="20"/>
      <c r="V71" s="87"/>
      <c r="W71" s="20"/>
      <c r="X71" s="87"/>
      <c r="Y71" s="20"/>
      <c r="Z71" s="20"/>
      <c r="AA71" s="20"/>
      <c r="AB71" s="66"/>
      <c r="AC71" s="20"/>
      <c r="AD71" s="87"/>
      <c r="AE71" s="20"/>
      <c r="AF71" s="87"/>
      <c r="AG71" s="87"/>
      <c r="AH71" s="20"/>
      <c r="AI71" s="87"/>
    </row>
    <row r="72" spans="10:35" x14ac:dyDescent="0.25">
      <c r="J72" s="19"/>
      <c r="K72" s="20"/>
      <c r="L72" s="20"/>
      <c r="M72" s="20"/>
      <c r="N72" s="20"/>
      <c r="O72" s="20"/>
      <c r="P72" s="19"/>
      <c r="R72" s="20"/>
      <c r="S72" s="20"/>
      <c r="T72" s="66"/>
      <c r="U72" s="20"/>
      <c r="V72" s="87"/>
      <c r="W72" s="20"/>
      <c r="X72" s="87"/>
      <c r="Y72" s="20"/>
      <c r="Z72" s="20"/>
      <c r="AA72" s="20"/>
      <c r="AB72" s="66"/>
      <c r="AC72" s="20"/>
      <c r="AD72" s="87"/>
      <c r="AE72" s="20"/>
      <c r="AF72" s="87"/>
      <c r="AG72" s="87"/>
      <c r="AH72" s="20"/>
      <c r="AI72" s="87"/>
    </row>
    <row r="73" spans="10:35" x14ac:dyDescent="0.25">
      <c r="J73" s="19"/>
      <c r="K73" s="20"/>
      <c r="L73" s="20"/>
      <c r="M73" s="20"/>
      <c r="N73" s="20"/>
      <c r="O73" s="20"/>
      <c r="P73" s="19"/>
      <c r="R73" s="20"/>
      <c r="S73" s="20"/>
      <c r="T73" s="66"/>
      <c r="U73" s="20"/>
      <c r="V73" s="87"/>
      <c r="W73" s="20"/>
      <c r="X73" s="87"/>
      <c r="Y73" s="20"/>
      <c r="Z73" s="20"/>
      <c r="AA73" s="20"/>
      <c r="AB73" s="66"/>
      <c r="AC73" s="20"/>
      <c r="AD73" s="87"/>
      <c r="AE73" s="20"/>
      <c r="AF73" s="87"/>
      <c r="AG73" s="87"/>
      <c r="AH73" s="20"/>
      <c r="AI73" s="87"/>
    </row>
    <row r="74" spans="10:35" x14ac:dyDescent="0.25">
      <c r="J74" s="19"/>
      <c r="K74" s="20"/>
      <c r="L74" s="20"/>
      <c r="M74" s="20"/>
      <c r="N74" s="20"/>
      <c r="O74" s="20"/>
      <c r="P74" s="19"/>
      <c r="R74" s="20"/>
      <c r="S74" s="20"/>
      <c r="T74" s="66"/>
      <c r="U74" s="20"/>
      <c r="V74" s="87"/>
      <c r="W74" s="20"/>
      <c r="X74" s="87"/>
      <c r="Y74" s="20"/>
      <c r="Z74" s="20"/>
      <c r="AA74" s="20"/>
      <c r="AB74" s="66"/>
      <c r="AC74" s="20"/>
      <c r="AD74" s="87"/>
      <c r="AE74" s="20"/>
      <c r="AF74" s="87"/>
      <c r="AG74" s="87"/>
      <c r="AH74" s="20"/>
      <c r="AI74" s="87"/>
    </row>
    <row r="75" spans="10:35" x14ac:dyDescent="0.25">
      <c r="J75" s="19"/>
      <c r="K75" s="20"/>
      <c r="L75" s="20"/>
      <c r="M75" s="20"/>
      <c r="N75" s="20"/>
      <c r="O75" s="20"/>
      <c r="P75" s="19"/>
      <c r="R75" s="20"/>
      <c r="S75" s="20"/>
      <c r="T75" s="66"/>
      <c r="U75" s="20"/>
      <c r="V75" s="87"/>
      <c r="W75" s="20"/>
      <c r="X75" s="87"/>
      <c r="Y75" s="20"/>
      <c r="Z75" s="20"/>
      <c r="AA75" s="20"/>
      <c r="AB75" s="66"/>
      <c r="AC75" s="20"/>
      <c r="AD75" s="87"/>
      <c r="AE75" s="20"/>
      <c r="AF75" s="87"/>
      <c r="AG75" s="87"/>
      <c r="AH75" s="20"/>
      <c r="AI75" s="87"/>
    </row>
    <row r="76" spans="10:35" x14ac:dyDescent="0.25">
      <c r="J76" s="19"/>
      <c r="K76" s="20"/>
      <c r="L76" s="20"/>
      <c r="M76" s="20"/>
      <c r="N76" s="20"/>
      <c r="O76" s="20"/>
      <c r="P76" s="19"/>
      <c r="R76" s="20"/>
      <c r="S76" s="20"/>
      <c r="T76" s="66"/>
      <c r="U76" s="20"/>
      <c r="V76" s="87"/>
      <c r="W76" s="20"/>
      <c r="X76" s="87"/>
      <c r="Y76" s="20"/>
      <c r="Z76" s="20"/>
      <c r="AA76" s="20"/>
      <c r="AB76" s="66"/>
      <c r="AC76" s="20"/>
      <c r="AD76" s="87"/>
      <c r="AE76" s="20"/>
      <c r="AF76" s="87"/>
      <c r="AG76" s="87"/>
      <c r="AH76" s="20"/>
      <c r="AI76" s="87"/>
    </row>
    <row r="77" spans="10:35" x14ac:dyDescent="0.25">
      <c r="J77" s="19"/>
      <c r="K77" s="20"/>
      <c r="L77" s="20"/>
      <c r="M77" s="20"/>
      <c r="N77" s="20"/>
      <c r="O77" s="20"/>
      <c r="P77" s="19"/>
      <c r="R77" s="20"/>
      <c r="S77" s="20"/>
      <c r="T77" s="66"/>
      <c r="U77" s="20"/>
      <c r="V77" s="87"/>
      <c r="W77" s="20"/>
      <c r="X77" s="87"/>
      <c r="Y77" s="20"/>
      <c r="Z77" s="20"/>
      <c r="AA77" s="20"/>
      <c r="AB77" s="66"/>
      <c r="AC77" s="20"/>
      <c r="AD77" s="87"/>
      <c r="AE77" s="20"/>
      <c r="AF77" s="87"/>
      <c r="AG77" s="87"/>
      <c r="AH77" s="20"/>
      <c r="AI77" s="87"/>
    </row>
    <row r="78" spans="10:35" x14ac:dyDescent="0.25">
      <c r="J78" s="19"/>
      <c r="K78" s="20"/>
      <c r="L78" s="20"/>
      <c r="M78" s="20"/>
      <c r="N78" s="20"/>
      <c r="O78" s="20"/>
      <c r="P78" s="19"/>
      <c r="R78" s="20"/>
      <c r="S78" s="20"/>
      <c r="T78" s="66"/>
      <c r="U78" s="20"/>
      <c r="V78" s="87"/>
      <c r="W78" s="20"/>
      <c r="X78" s="87"/>
      <c r="Y78" s="20"/>
      <c r="Z78" s="20"/>
      <c r="AA78" s="20"/>
      <c r="AB78" s="66"/>
      <c r="AC78" s="20"/>
      <c r="AD78" s="87"/>
      <c r="AE78" s="20"/>
      <c r="AF78" s="87"/>
      <c r="AG78" s="87"/>
      <c r="AH78" s="20"/>
      <c r="AI78" s="87"/>
    </row>
    <row r="79" spans="10:35" x14ac:dyDescent="0.25">
      <c r="J79" s="19"/>
      <c r="K79" s="20"/>
      <c r="L79" s="20"/>
      <c r="M79" s="20"/>
      <c r="N79" s="20"/>
      <c r="O79" s="20"/>
      <c r="P79" s="19"/>
      <c r="R79" s="20"/>
      <c r="S79" s="20"/>
      <c r="T79" s="66"/>
      <c r="U79" s="20"/>
      <c r="V79" s="87"/>
      <c r="W79" s="20"/>
      <c r="X79" s="87"/>
      <c r="Y79" s="20"/>
      <c r="Z79" s="20"/>
      <c r="AA79" s="20"/>
      <c r="AB79" s="66"/>
      <c r="AC79" s="20"/>
      <c r="AD79" s="87"/>
      <c r="AE79" s="20"/>
      <c r="AF79" s="87"/>
      <c r="AG79" s="87"/>
      <c r="AH79" s="20"/>
      <c r="AI79" s="87"/>
    </row>
    <row r="80" spans="10:35" x14ac:dyDescent="0.25">
      <c r="J80" s="19"/>
      <c r="K80" s="20"/>
      <c r="L80" s="20"/>
      <c r="M80" s="20"/>
      <c r="N80" s="20"/>
      <c r="O80" s="20"/>
      <c r="P80" s="19"/>
      <c r="R80" s="20"/>
      <c r="S80" s="20"/>
      <c r="T80" s="66"/>
      <c r="U80" s="20"/>
      <c r="V80" s="87"/>
      <c r="W80" s="20"/>
      <c r="X80" s="87"/>
      <c r="Y80" s="20"/>
      <c r="Z80" s="20"/>
      <c r="AA80" s="20"/>
      <c r="AB80" s="66"/>
      <c r="AC80" s="20"/>
      <c r="AD80" s="87"/>
      <c r="AE80" s="20"/>
      <c r="AF80" s="87"/>
      <c r="AG80" s="87"/>
      <c r="AH80" s="20"/>
      <c r="AI80" s="87"/>
    </row>
    <row r="81" spans="10:35" x14ac:dyDescent="0.25">
      <c r="J81" s="19"/>
      <c r="K81" s="20"/>
      <c r="L81" s="20"/>
      <c r="M81" s="20"/>
      <c r="N81" s="20"/>
      <c r="O81" s="20"/>
      <c r="P81" s="19"/>
      <c r="R81" s="20"/>
      <c r="S81" s="20"/>
      <c r="T81" s="66"/>
      <c r="U81" s="20"/>
      <c r="V81" s="87"/>
      <c r="W81" s="20"/>
      <c r="X81" s="87"/>
      <c r="Y81" s="20"/>
      <c r="Z81" s="20"/>
      <c r="AA81" s="20"/>
      <c r="AB81" s="66"/>
      <c r="AC81" s="20"/>
      <c r="AD81" s="87"/>
      <c r="AE81" s="20"/>
      <c r="AF81" s="87"/>
      <c r="AG81" s="87"/>
      <c r="AH81" s="20"/>
      <c r="AI81" s="87"/>
    </row>
    <row r="82" spans="10:35" x14ac:dyDescent="0.25">
      <c r="J82" s="19"/>
      <c r="K82" s="20"/>
      <c r="L82" s="20"/>
      <c r="M82" s="20"/>
      <c r="N82" s="20"/>
      <c r="O82" s="20"/>
      <c r="P82" s="19"/>
      <c r="R82" s="20"/>
      <c r="S82" s="20"/>
      <c r="T82" s="66"/>
      <c r="U82" s="20"/>
      <c r="V82" s="87"/>
      <c r="W82" s="20"/>
      <c r="X82" s="87"/>
      <c r="Y82" s="20"/>
      <c r="Z82" s="20"/>
      <c r="AA82" s="20"/>
      <c r="AB82" s="66"/>
      <c r="AC82" s="20"/>
      <c r="AD82" s="87"/>
      <c r="AE82" s="20"/>
      <c r="AF82" s="87"/>
      <c r="AG82" s="87"/>
      <c r="AH82" s="20"/>
      <c r="AI82" s="87"/>
    </row>
    <row r="83" spans="10:35" x14ac:dyDescent="0.25">
      <c r="J83" s="19"/>
      <c r="K83" s="20"/>
      <c r="L83" s="20"/>
      <c r="M83" s="20"/>
      <c r="N83" s="20"/>
      <c r="O83" s="20"/>
      <c r="P83" s="19"/>
      <c r="R83" s="20"/>
      <c r="S83" s="20"/>
      <c r="T83" s="66"/>
      <c r="U83" s="20"/>
      <c r="V83" s="87"/>
      <c r="W83" s="20"/>
      <c r="X83" s="87"/>
      <c r="Y83" s="20"/>
      <c r="Z83" s="20"/>
      <c r="AA83" s="20"/>
      <c r="AB83" s="66"/>
      <c r="AC83" s="20"/>
      <c r="AD83" s="87"/>
      <c r="AE83" s="20"/>
      <c r="AF83" s="87"/>
      <c r="AG83" s="87"/>
      <c r="AH83" s="20"/>
      <c r="AI83" s="87"/>
    </row>
    <row r="84" spans="10:35" x14ac:dyDescent="0.25">
      <c r="J84" s="19"/>
      <c r="K84" s="20"/>
      <c r="L84" s="20"/>
      <c r="M84" s="20"/>
      <c r="N84" s="20"/>
      <c r="O84" s="20"/>
      <c r="P84" s="19"/>
      <c r="R84" s="20"/>
      <c r="S84" s="20"/>
      <c r="T84" s="66"/>
      <c r="U84" s="20"/>
      <c r="V84" s="87"/>
      <c r="W84" s="20"/>
      <c r="X84" s="87"/>
      <c r="Y84" s="20"/>
      <c r="Z84" s="20"/>
      <c r="AA84" s="20"/>
      <c r="AB84" s="66"/>
      <c r="AC84" s="20"/>
      <c r="AD84" s="87"/>
      <c r="AE84" s="20"/>
      <c r="AF84" s="87"/>
      <c r="AG84" s="87"/>
      <c r="AH84" s="20"/>
      <c r="AI84" s="87"/>
    </row>
    <row r="85" spans="10:35" x14ac:dyDescent="0.25">
      <c r="J85" s="19"/>
      <c r="K85" s="20"/>
      <c r="L85" s="20"/>
      <c r="M85" s="20"/>
      <c r="N85" s="20"/>
      <c r="O85" s="20"/>
      <c r="P85" s="19"/>
      <c r="R85" s="20"/>
      <c r="S85" s="20"/>
      <c r="T85" s="66"/>
      <c r="U85" s="20"/>
      <c r="V85" s="87"/>
      <c r="W85" s="20"/>
      <c r="X85" s="87"/>
      <c r="Y85" s="20"/>
      <c r="Z85" s="20"/>
      <c r="AA85" s="20"/>
      <c r="AB85" s="66"/>
      <c r="AC85" s="20"/>
      <c r="AD85" s="87"/>
      <c r="AE85" s="20"/>
      <c r="AF85" s="87"/>
      <c r="AG85" s="87"/>
      <c r="AH85" s="20"/>
      <c r="AI85" s="87"/>
    </row>
    <row r="86" spans="10:35" x14ac:dyDescent="0.25">
      <c r="J86" s="19"/>
      <c r="K86" s="20"/>
      <c r="L86" s="20"/>
      <c r="M86" s="20"/>
      <c r="N86" s="20"/>
      <c r="O86" s="20"/>
      <c r="P86" s="19"/>
      <c r="R86" s="20"/>
      <c r="S86" s="20"/>
      <c r="T86" s="66"/>
      <c r="U86" s="20"/>
      <c r="V86" s="87"/>
      <c r="W86" s="20"/>
      <c r="X86" s="87"/>
      <c r="Y86" s="20"/>
      <c r="Z86" s="20"/>
      <c r="AA86" s="20"/>
      <c r="AB86" s="66"/>
      <c r="AC86" s="20"/>
      <c r="AD86" s="87"/>
      <c r="AE86" s="20"/>
      <c r="AF86" s="87"/>
      <c r="AG86" s="87"/>
      <c r="AH86" s="20"/>
      <c r="AI86" s="87"/>
    </row>
    <row r="87" spans="10:35" x14ac:dyDescent="0.25">
      <c r="J87" s="19"/>
      <c r="K87" s="20"/>
      <c r="L87" s="20"/>
      <c r="M87" s="20"/>
      <c r="N87" s="20"/>
      <c r="O87" s="20"/>
      <c r="P87" s="19"/>
      <c r="R87" s="20"/>
      <c r="S87" s="20"/>
      <c r="T87" s="66"/>
      <c r="U87" s="20"/>
      <c r="V87" s="87"/>
      <c r="W87" s="20"/>
      <c r="X87" s="87"/>
      <c r="Y87" s="20"/>
      <c r="Z87" s="20"/>
      <c r="AA87" s="20"/>
      <c r="AB87" s="66"/>
      <c r="AC87" s="20"/>
      <c r="AD87" s="87"/>
      <c r="AE87" s="20"/>
      <c r="AF87" s="87"/>
      <c r="AG87" s="87"/>
      <c r="AH87" s="20"/>
      <c r="AI87" s="87"/>
    </row>
    <row r="88" spans="10:35" x14ac:dyDescent="0.25">
      <c r="J88" s="19"/>
      <c r="K88" s="20"/>
      <c r="L88" s="20"/>
      <c r="M88" s="20"/>
      <c r="N88" s="20"/>
      <c r="O88" s="20"/>
      <c r="P88" s="19"/>
      <c r="R88" s="20"/>
      <c r="S88" s="20"/>
      <c r="T88" s="66"/>
      <c r="U88" s="20"/>
      <c r="V88" s="87"/>
      <c r="W88" s="20"/>
      <c r="X88" s="87"/>
      <c r="Y88" s="20"/>
      <c r="Z88" s="20"/>
      <c r="AA88" s="20"/>
      <c r="AB88" s="66"/>
      <c r="AC88" s="20"/>
      <c r="AD88" s="87"/>
      <c r="AE88" s="20"/>
      <c r="AF88" s="87"/>
      <c r="AG88" s="87"/>
      <c r="AH88" s="20"/>
      <c r="AI88" s="87"/>
    </row>
    <row r="89" spans="10:35" x14ac:dyDescent="0.25">
      <c r="J89" s="19"/>
      <c r="K89" s="20"/>
      <c r="L89" s="20"/>
      <c r="M89" s="20"/>
      <c r="N89" s="20"/>
      <c r="O89" s="20"/>
      <c r="P89" s="19"/>
      <c r="R89" s="20"/>
      <c r="S89" s="20"/>
      <c r="T89" s="66"/>
      <c r="U89" s="20"/>
      <c r="V89" s="87"/>
      <c r="W89" s="20"/>
      <c r="X89" s="87"/>
      <c r="Y89" s="20"/>
      <c r="Z89" s="20"/>
      <c r="AA89" s="20"/>
      <c r="AB89" s="66"/>
      <c r="AC89" s="20"/>
      <c r="AD89" s="87"/>
      <c r="AE89" s="20"/>
      <c r="AF89" s="87"/>
      <c r="AG89" s="87"/>
      <c r="AH89" s="20"/>
      <c r="AI89" s="87"/>
    </row>
    <row r="90" spans="10:35" x14ac:dyDescent="0.25">
      <c r="J90" s="19"/>
      <c r="K90" s="20"/>
      <c r="L90" s="20"/>
      <c r="M90" s="20"/>
      <c r="N90" s="20"/>
      <c r="O90" s="20"/>
      <c r="P90" s="19"/>
      <c r="R90" s="20"/>
      <c r="S90" s="20"/>
      <c r="T90" s="66"/>
      <c r="U90" s="20"/>
      <c r="V90" s="87"/>
      <c r="W90" s="20"/>
      <c r="X90" s="87"/>
      <c r="Y90" s="20"/>
      <c r="Z90" s="20"/>
      <c r="AA90" s="20"/>
      <c r="AB90" s="66"/>
      <c r="AC90" s="20"/>
      <c r="AD90" s="87"/>
      <c r="AE90" s="20"/>
      <c r="AF90" s="87"/>
      <c r="AG90" s="87"/>
      <c r="AH90" s="20"/>
      <c r="AI90" s="87"/>
    </row>
    <row r="91" spans="10:35" x14ac:dyDescent="0.25">
      <c r="J91" s="19"/>
      <c r="K91" s="20"/>
      <c r="L91" s="20"/>
      <c r="M91" s="20"/>
      <c r="N91" s="20"/>
      <c r="O91" s="20"/>
      <c r="P91" s="19"/>
      <c r="R91" s="20"/>
      <c r="S91" s="20"/>
      <c r="T91" s="66"/>
      <c r="U91" s="20"/>
      <c r="V91" s="87"/>
      <c r="W91" s="20"/>
      <c r="X91" s="87"/>
      <c r="Y91" s="20"/>
      <c r="Z91" s="20"/>
      <c r="AA91" s="20"/>
      <c r="AB91" s="66"/>
      <c r="AC91" s="20"/>
      <c r="AD91" s="87"/>
      <c r="AE91" s="20"/>
      <c r="AF91" s="87"/>
      <c r="AG91" s="87"/>
      <c r="AH91" s="20"/>
      <c r="AI91" s="87"/>
    </row>
    <row r="92" spans="10:35" x14ac:dyDescent="0.25">
      <c r="J92" s="19"/>
      <c r="K92" s="20"/>
      <c r="L92" s="20"/>
      <c r="M92" s="20"/>
      <c r="N92" s="20"/>
      <c r="O92" s="20"/>
      <c r="P92" s="19"/>
      <c r="R92" s="20"/>
      <c r="S92" s="20"/>
      <c r="T92" s="66"/>
      <c r="U92" s="20"/>
      <c r="V92" s="87"/>
      <c r="W92" s="20"/>
      <c r="X92" s="87"/>
      <c r="Y92" s="20"/>
      <c r="Z92" s="20"/>
      <c r="AA92" s="20"/>
      <c r="AB92" s="66"/>
      <c r="AC92" s="20"/>
      <c r="AD92" s="87"/>
      <c r="AE92" s="20"/>
      <c r="AF92" s="87"/>
      <c r="AG92" s="87"/>
      <c r="AH92" s="20"/>
      <c r="AI92" s="87"/>
    </row>
    <row r="93" spans="10:35" x14ac:dyDescent="0.25">
      <c r="J93" s="19"/>
      <c r="K93" s="20"/>
      <c r="L93" s="20"/>
      <c r="M93" s="20"/>
      <c r="N93" s="20"/>
      <c r="O93" s="20"/>
      <c r="P93" s="19"/>
      <c r="R93" s="20"/>
      <c r="S93" s="20"/>
      <c r="T93" s="66"/>
      <c r="U93" s="20"/>
      <c r="V93" s="87"/>
      <c r="W93" s="20"/>
      <c r="X93" s="87"/>
      <c r="Y93" s="20"/>
      <c r="Z93" s="20"/>
      <c r="AA93" s="20"/>
      <c r="AB93" s="66"/>
      <c r="AC93" s="20"/>
      <c r="AD93" s="87"/>
      <c r="AE93" s="20"/>
      <c r="AF93" s="87"/>
      <c r="AG93" s="87"/>
      <c r="AH93" s="20"/>
      <c r="AI93" s="87"/>
    </row>
    <row r="94" spans="10:35" x14ac:dyDescent="0.25">
      <c r="J94" s="19"/>
      <c r="K94" s="20"/>
      <c r="L94" s="20"/>
      <c r="M94" s="20"/>
      <c r="N94" s="20"/>
      <c r="O94" s="20"/>
      <c r="P94" s="19"/>
      <c r="R94" s="20"/>
      <c r="S94" s="20"/>
      <c r="T94" s="66"/>
      <c r="U94" s="20"/>
      <c r="V94" s="87"/>
      <c r="W94" s="20"/>
      <c r="X94" s="87"/>
      <c r="Y94" s="20"/>
      <c r="Z94" s="20"/>
      <c r="AA94" s="20"/>
      <c r="AB94" s="66"/>
      <c r="AC94" s="20"/>
      <c r="AD94" s="87"/>
      <c r="AE94" s="20"/>
      <c r="AF94" s="87"/>
      <c r="AG94" s="87"/>
      <c r="AH94" s="20"/>
      <c r="AI94" s="87"/>
    </row>
    <row r="95" spans="10:35" x14ac:dyDescent="0.25">
      <c r="J95" s="19"/>
      <c r="K95" s="20"/>
      <c r="L95" s="20"/>
      <c r="M95" s="20"/>
      <c r="N95" s="20"/>
      <c r="O95" s="20"/>
      <c r="P95" s="19"/>
      <c r="R95" s="20"/>
      <c r="S95" s="20"/>
      <c r="T95" s="66"/>
      <c r="U95" s="20"/>
      <c r="V95" s="87"/>
      <c r="W95" s="20"/>
      <c r="X95" s="87"/>
      <c r="Y95" s="20"/>
      <c r="Z95" s="20"/>
      <c r="AA95" s="20"/>
      <c r="AB95" s="66"/>
      <c r="AC95" s="20"/>
      <c r="AD95" s="87"/>
      <c r="AE95" s="20"/>
      <c r="AF95" s="87"/>
      <c r="AG95" s="87"/>
      <c r="AH95" s="20"/>
      <c r="AI95" s="87"/>
    </row>
    <row r="96" spans="10:35" x14ac:dyDescent="0.25">
      <c r="J96" s="19"/>
      <c r="K96" s="20"/>
      <c r="L96" s="20"/>
      <c r="M96" s="20"/>
      <c r="N96" s="20"/>
      <c r="O96" s="20"/>
      <c r="P96" s="19"/>
      <c r="R96" s="20"/>
      <c r="S96" s="20"/>
      <c r="T96" s="66"/>
      <c r="U96" s="20"/>
      <c r="V96" s="87"/>
      <c r="W96" s="20"/>
      <c r="X96" s="87"/>
      <c r="Y96" s="20"/>
      <c r="Z96" s="20"/>
      <c r="AA96" s="20"/>
      <c r="AB96" s="66"/>
      <c r="AC96" s="20"/>
      <c r="AD96" s="87"/>
      <c r="AE96" s="20"/>
      <c r="AF96" s="87"/>
      <c r="AG96" s="87"/>
      <c r="AH96" s="20"/>
      <c r="AI96" s="87"/>
    </row>
    <row r="97" spans="10:35" x14ac:dyDescent="0.25">
      <c r="J97" s="19"/>
      <c r="K97" s="20"/>
      <c r="L97" s="20"/>
      <c r="M97" s="20"/>
      <c r="N97" s="20"/>
      <c r="O97" s="20"/>
      <c r="P97" s="19"/>
      <c r="R97" s="20"/>
      <c r="S97" s="20"/>
      <c r="T97" s="66"/>
      <c r="U97" s="20"/>
      <c r="V97" s="87"/>
      <c r="W97" s="20"/>
      <c r="X97" s="87"/>
      <c r="Y97" s="20"/>
      <c r="Z97" s="20"/>
      <c r="AA97" s="20"/>
      <c r="AB97" s="66"/>
      <c r="AC97" s="20"/>
      <c r="AD97" s="87"/>
      <c r="AE97" s="20"/>
      <c r="AF97" s="87"/>
      <c r="AG97" s="87"/>
      <c r="AH97" s="20"/>
      <c r="AI97" s="87"/>
    </row>
    <row r="98" spans="10:35" x14ac:dyDescent="0.25">
      <c r="J98" s="19"/>
      <c r="K98" s="20"/>
      <c r="L98" s="20"/>
      <c r="M98" s="20"/>
      <c r="N98" s="20"/>
      <c r="O98" s="20"/>
      <c r="P98" s="19"/>
      <c r="R98" s="20"/>
      <c r="S98" s="20"/>
      <c r="T98" s="66"/>
      <c r="U98" s="20"/>
      <c r="V98" s="87"/>
      <c r="W98" s="20"/>
      <c r="X98" s="87"/>
      <c r="Y98" s="20"/>
      <c r="Z98" s="20"/>
      <c r="AA98" s="20"/>
      <c r="AB98" s="66"/>
      <c r="AC98" s="20"/>
      <c r="AD98" s="87"/>
      <c r="AE98" s="20"/>
      <c r="AF98" s="87"/>
      <c r="AG98" s="87"/>
      <c r="AH98" s="20"/>
      <c r="AI98" s="87"/>
    </row>
    <row r="99" spans="10:35" x14ac:dyDescent="0.25">
      <c r="J99" s="19"/>
      <c r="K99" s="20"/>
      <c r="L99" s="20"/>
      <c r="M99" s="20"/>
      <c r="N99" s="20"/>
      <c r="O99" s="20"/>
      <c r="P99" s="19"/>
      <c r="R99" s="20"/>
      <c r="S99" s="20"/>
      <c r="T99" s="66"/>
      <c r="U99" s="20"/>
      <c r="V99" s="87"/>
      <c r="W99" s="20"/>
      <c r="X99" s="87"/>
      <c r="Y99" s="20"/>
      <c r="Z99" s="20"/>
      <c r="AA99" s="20"/>
      <c r="AB99" s="66"/>
      <c r="AC99" s="20"/>
      <c r="AD99" s="87"/>
      <c r="AE99" s="20"/>
      <c r="AF99" s="87"/>
      <c r="AG99" s="87"/>
      <c r="AH99" s="20"/>
      <c r="AI99" s="87"/>
    </row>
    <row r="100" spans="10:35" x14ac:dyDescent="0.25">
      <c r="J100" s="19"/>
      <c r="K100" s="20"/>
      <c r="L100" s="20"/>
      <c r="M100" s="20"/>
      <c r="N100" s="20"/>
      <c r="O100" s="20"/>
      <c r="P100" s="19"/>
      <c r="R100" s="20"/>
      <c r="S100" s="20"/>
      <c r="T100" s="66"/>
      <c r="U100" s="20"/>
      <c r="V100" s="87"/>
      <c r="W100" s="20"/>
      <c r="X100" s="87"/>
      <c r="Y100" s="20"/>
      <c r="Z100" s="20"/>
      <c r="AA100" s="20"/>
      <c r="AB100" s="66"/>
      <c r="AC100" s="20"/>
      <c r="AD100" s="87"/>
      <c r="AE100" s="20"/>
      <c r="AF100" s="87"/>
      <c r="AG100" s="87"/>
      <c r="AH100" s="20"/>
      <c r="AI100" s="87"/>
    </row>
    <row r="101" spans="10:35" x14ac:dyDescent="0.25">
      <c r="J101" s="19"/>
      <c r="K101" s="20"/>
      <c r="L101" s="20"/>
      <c r="M101" s="20"/>
      <c r="N101" s="20"/>
      <c r="O101" s="20"/>
      <c r="P101" s="19"/>
      <c r="R101" s="20"/>
      <c r="S101" s="20"/>
      <c r="T101" s="66"/>
      <c r="U101" s="20"/>
      <c r="V101" s="87"/>
      <c r="W101" s="20"/>
      <c r="X101" s="87"/>
      <c r="Y101" s="20"/>
      <c r="Z101" s="20"/>
      <c r="AA101" s="20"/>
      <c r="AB101" s="66"/>
      <c r="AC101" s="20"/>
      <c r="AD101" s="87"/>
      <c r="AE101" s="20"/>
      <c r="AF101" s="87"/>
      <c r="AG101" s="87"/>
      <c r="AH101" s="20"/>
      <c r="AI101" s="87"/>
    </row>
    <row r="102" spans="10:35" x14ac:dyDescent="0.25">
      <c r="J102" s="19"/>
      <c r="K102" s="20"/>
      <c r="L102" s="20"/>
      <c r="M102" s="20"/>
      <c r="N102" s="20"/>
      <c r="O102" s="20"/>
      <c r="P102" s="19"/>
      <c r="R102" s="20"/>
      <c r="S102" s="20"/>
      <c r="T102" s="66"/>
      <c r="U102" s="20"/>
      <c r="V102" s="87"/>
      <c r="W102" s="20"/>
      <c r="X102" s="87"/>
      <c r="Y102" s="20"/>
      <c r="Z102" s="20"/>
      <c r="AA102" s="20"/>
      <c r="AB102" s="66"/>
      <c r="AC102" s="20"/>
      <c r="AD102" s="87"/>
      <c r="AE102" s="20"/>
      <c r="AF102" s="87"/>
      <c r="AG102" s="87"/>
      <c r="AH102" s="20"/>
      <c r="AI102" s="87"/>
    </row>
    <row r="103" spans="10:35" x14ac:dyDescent="0.25">
      <c r="J103" s="19"/>
      <c r="K103" s="20"/>
      <c r="L103" s="20"/>
      <c r="M103" s="20"/>
      <c r="N103" s="20"/>
      <c r="O103" s="20"/>
      <c r="P103" s="19"/>
      <c r="R103" s="20"/>
      <c r="S103" s="20"/>
      <c r="T103" s="66"/>
      <c r="U103" s="20"/>
      <c r="V103" s="87"/>
      <c r="W103" s="20"/>
      <c r="X103" s="87"/>
      <c r="Y103" s="20"/>
      <c r="Z103" s="20"/>
      <c r="AA103" s="20"/>
      <c r="AB103" s="66"/>
      <c r="AC103" s="20"/>
      <c r="AD103" s="87"/>
      <c r="AE103" s="20"/>
      <c r="AF103" s="87"/>
      <c r="AG103" s="87"/>
      <c r="AH103" s="20"/>
      <c r="AI103" s="87"/>
    </row>
    <row r="104" spans="10:35" x14ac:dyDescent="0.25">
      <c r="J104" s="19"/>
      <c r="K104" s="20"/>
      <c r="L104" s="20"/>
      <c r="M104" s="20"/>
      <c r="N104" s="20"/>
      <c r="O104" s="20"/>
      <c r="P104" s="19"/>
      <c r="R104" s="20"/>
      <c r="S104" s="20"/>
      <c r="T104" s="66"/>
      <c r="U104" s="20"/>
      <c r="V104" s="87"/>
      <c r="W104" s="20"/>
      <c r="X104" s="87"/>
      <c r="Y104" s="20"/>
      <c r="Z104" s="20"/>
      <c r="AA104" s="20"/>
      <c r="AB104" s="66"/>
      <c r="AC104" s="20"/>
      <c r="AD104" s="87"/>
      <c r="AE104" s="20"/>
      <c r="AF104" s="87"/>
      <c r="AG104" s="87"/>
      <c r="AH104" s="20"/>
      <c r="AI104" s="87"/>
    </row>
    <row r="105" spans="10:35" x14ac:dyDescent="0.25">
      <c r="J105" s="19"/>
      <c r="K105" s="20"/>
      <c r="L105" s="20"/>
      <c r="M105" s="20"/>
      <c r="N105" s="20"/>
      <c r="O105" s="20"/>
      <c r="P105" s="19"/>
      <c r="R105" s="20"/>
      <c r="S105" s="20"/>
      <c r="T105" s="66"/>
      <c r="U105" s="20"/>
      <c r="V105" s="87"/>
      <c r="W105" s="20"/>
      <c r="X105" s="87"/>
      <c r="Y105" s="20"/>
      <c r="Z105" s="20"/>
      <c r="AA105" s="20"/>
      <c r="AB105" s="66"/>
      <c r="AC105" s="20"/>
      <c r="AD105" s="87"/>
      <c r="AE105" s="20"/>
      <c r="AF105" s="87"/>
      <c r="AG105" s="87"/>
      <c r="AH105" s="20"/>
      <c r="AI105" s="87"/>
    </row>
    <row r="106" spans="10:35" x14ac:dyDescent="0.25">
      <c r="J106" s="19"/>
      <c r="K106" s="20"/>
      <c r="L106" s="20"/>
      <c r="M106" s="20"/>
      <c r="N106" s="20"/>
      <c r="O106" s="20"/>
      <c r="P106" s="19"/>
      <c r="R106" s="20"/>
      <c r="S106" s="20"/>
      <c r="T106" s="66"/>
      <c r="U106" s="20"/>
      <c r="V106" s="87"/>
      <c r="W106" s="20"/>
      <c r="X106" s="87"/>
      <c r="Y106" s="20"/>
      <c r="Z106" s="20"/>
      <c r="AA106" s="20"/>
      <c r="AB106" s="66"/>
      <c r="AC106" s="20"/>
      <c r="AD106" s="87"/>
      <c r="AE106" s="20"/>
      <c r="AF106" s="87"/>
      <c r="AG106" s="87"/>
      <c r="AH106" s="20"/>
      <c r="AI106" s="87"/>
    </row>
    <row r="107" spans="10:35" x14ac:dyDescent="0.25">
      <c r="J107" s="19"/>
      <c r="K107" s="20"/>
      <c r="L107" s="20"/>
      <c r="M107" s="20"/>
      <c r="N107" s="20"/>
      <c r="O107" s="20"/>
      <c r="P107" s="19"/>
      <c r="R107" s="20"/>
      <c r="S107" s="20"/>
      <c r="T107" s="66"/>
      <c r="U107" s="20"/>
      <c r="V107" s="87"/>
      <c r="W107" s="20"/>
      <c r="X107" s="87"/>
      <c r="Y107" s="20"/>
      <c r="Z107" s="20"/>
      <c r="AA107" s="20"/>
      <c r="AB107" s="66"/>
      <c r="AC107" s="20"/>
      <c r="AD107" s="87"/>
      <c r="AE107" s="20"/>
      <c r="AF107" s="87"/>
      <c r="AG107" s="87"/>
      <c r="AH107" s="20"/>
      <c r="AI107" s="87"/>
    </row>
    <row r="108" spans="10:35" x14ac:dyDescent="0.25">
      <c r="J108" s="19"/>
      <c r="K108" s="20"/>
      <c r="L108" s="20"/>
      <c r="M108" s="20"/>
      <c r="N108" s="20"/>
      <c r="O108" s="20"/>
      <c r="P108" s="19"/>
      <c r="R108" s="20"/>
      <c r="S108" s="20"/>
      <c r="T108" s="66"/>
      <c r="U108" s="20"/>
      <c r="V108" s="87"/>
      <c r="W108" s="20"/>
      <c r="X108" s="87"/>
      <c r="Y108" s="20"/>
      <c r="Z108" s="20"/>
      <c r="AA108" s="20"/>
      <c r="AB108" s="66"/>
      <c r="AC108" s="20"/>
      <c r="AD108" s="87"/>
      <c r="AE108" s="20"/>
      <c r="AF108" s="87"/>
      <c r="AG108" s="87"/>
      <c r="AH108" s="20"/>
      <c r="AI108" s="87"/>
    </row>
    <row r="109" spans="10:35" x14ac:dyDescent="0.25">
      <c r="J109" s="19"/>
      <c r="K109" s="20"/>
      <c r="L109" s="20"/>
      <c r="M109" s="20"/>
      <c r="N109" s="20"/>
      <c r="O109" s="20"/>
      <c r="P109" s="19"/>
      <c r="R109" s="20"/>
      <c r="S109" s="20"/>
      <c r="T109" s="66"/>
      <c r="U109" s="20"/>
      <c r="V109" s="87"/>
      <c r="W109" s="20"/>
      <c r="X109" s="87"/>
      <c r="Y109" s="20"/>
      <c r="Z109" s="20"/>
      <c r="AA109" s="20"/>
      <c r="AB109" s="66"/>
      <c r="AC109" s="20"/>
      <c r="AD109" s="87"/>
      <c r="AE109" s="20"/>
      <c r="AF109" s="87"/>
      <c r="AG109" s="87"/>
      <c r="AH109" s="20"/>
      <c r="AI109" s="87"/>
    </row>
    <row r="110" spans="10:35" x14ac:dyDescent="0.25">
      <c r="J110" s="19"/>
      <c r="K110" s="20"/>
      <c r="L110" s="20"/>
      <c r="M110" s="20"/>
      <c r="N110" s="20"/>
      <c r="O110" s="20"/>
      <c r="P110" s="19"/>
      <c r="R110" s="20"/>
      <c r="S110" s="20"/>
      <c r="T110" s="66"/>
      <c r="U110" s="20"/>
      <c r="V110" s="87"/>
      <c r="W110" s="20"/>
      <c r="X110" s="87"/>
      <c r="Y110" s="20"/>
      <c r="Z110" s="20"/>
      <c r="AA110" s="20"/>
      <c r="AB110" s="66"/>
      <c r="AC110" s="20"/>
      <c r="AD110" s="87"/>
      <c r="AE110" s="20"/>
      <c r="AF110" s="87"/>
      <c r="AG110" s="87"/>
      <c r="AH110" s="20"/>
      <c r="AI110" s="87"/>
    </row>
    <row r="111" spans="10:35" x14ac:dyDescent="0.25">
      <c r="J111" s="19"/>
      <c r="K111" s="20"/>
      <c r="L111" s="20"/>
      <c r="M111" s="20"/>
      <c r="N111" s="20"/>
      <c r="O111" s="20"/>
      <c r="P111" s="19"/>
      <c r="R111" s="20"/>
      <c r="S111" s="20"/>
      <c r="T111" s="66"/>
      <c r="U111" s="20"/>
      <c r="V111" s="87"/>
      <c r="W111" s="20"/>
      <c r="X111" s="87"/>
      <c r="Y111" s="20"/>
      <c r="Z111" s="20"/>
      <c r="AA111" s="20"/>
      <c r="AB111" s="66"/>
      <c r="AC111" s="20"/>
      <c r="AD111" s="87"/>
      <c r="AE111" s="20"/>
      <c r="AF111" s="87"/>
      <c r="AG111" s="87"/>
      <c r="AH111" s="20"/>
      <c r="AI111" s="87"/>
    </row>
    <row r="112" spans="10:35" x14ac:dyDescent="0.25">
      <c r="J112" s="19"/>
      <c r="K112" s="20"/>
      <c r="L112" s="20"/>
      <c r="M112" s="20"/>
      <c r="N112" s="20"/>
      <c r="O112" s="20"/>
      <c r="P112" s="19"/>
      <c r="R112" s="20"/>
      <c r="S112" s="20"/>
      <c r="T112" s="66"/>
      <c r="U112" s="20"/>
      <c r="V112" s="87"/>
      <c r="W112" s="20"/>
      <c r="X112" s="87"/>
      <c r="Y112" s="20"/>
      <c r="Z112" s="20"/>
      <c r="AA112" s="20"/>
      <c r="AB112" s="66"/>
      <c r="AC112" s="20"/>
      <c r="AD112" s="87"/>
      <c r="AE112" s="20"/>
      <c r="AF112" s="87"/>
      <c r="AG112" s="87"/>
      <c r="AH112" s="20"/>
      <c r="AI112" s="87"/>
    </row>
    <row r="113" spans="10:35" x14ac:dyDescent="0.25">
      <c r="J113" s="19"/>
      <c r="K113" s="20"/>
      <c r="L113" s="20"/>
      <c r="M113" s="20"/>
      <c r="N113" s="20"/>
      <c r="O113" s="20"/>
      <c r="P113" s="19"/>
      <c r="R113" s="20"/>
      <c r="S113" s="20"/>
      <c r="T113" s="66"/>
      <c r="U113" s="20"/>
      <c r="V113" s="87"/>
      <c r="W113" s="20"/>
      <c r="X113" s="87"/>
      <c r="Y113" s="20"/>
      <c r="Z113" s="20"/>
      <c r="AA113" s="20"/>
      <c r="AB113" s="66"/>
      <c r="AC113" s="20"/>
      <c r="AD113" s="87"/>
      <c r="AE113" s="20"/>
      <c r="AF113" s="87"/>
      <c r="AG113" s="87"/>
      <c r="AH113" s="20"/>
      <c r="AI113" s="87"/>
    </row>
    <row r="114" spans="10:35" x14ac:dyDescent="0.25">
      <c r="J114" s="19"/>
      <c r="K114" s="20"/>
      <c r="L114" s="20"/>
      <c r="M114" s="20"/>
      <c r="N114" s="20"/>
      <c r="O114" s="20"/>
      <c r="P114" s="19"/>
      <c r="R114" s="20"/>
      <c r="S114" s="20"/>
      <c r="T114" s="66"/>
      <c r="U114" s="20"/>
      <c r="V114" s="87"/>
      <c r="W114" s="20"/>
      <c r="X114" s="87"/>
      <c r="Y114" s="20"/>
      <c r="Z114" s="20"/>
      <c r="AA114" s="20"/>
      <c r="AB114" s="66"/>
      <c r="AC114" s="20"/>
      <c r="AD114" s="87"/>
      <c r="AE114" s="20"/>
      <c r="AF114" s="87"/>
      <c r="AG114" s="87"/>
      <c r="AH114" s="20"/>
      <c r="AI114" s="87"/>
    </row>
    <row r="115" spans="10:35" x14ac:dyDescent="0.25">
      <c r="J115" s="19"/>
      <c r="K115" s="20"/>
      <c r="L115" s="20"/>
      <c r="M115" s="20"/>
      <c r="N115" s="20"/>
      <c r="O115" s="20"/>
      <c r="P115" s="19"/>
      <c r="R115" s="20"/>
      <c r="S115" s="20"/>
      <c r="T115" s="66"/>
      <c r="U115" s="20"/>
      <c r="V115" s="87"/>
      <c r="W115" s="20"/>
      <c r="X115" s="87"/>
      <c r="Y115" s="20"/>
      <c r="Z115" s="20"/>
      <c r="AA115" s="20"/>
      <c r="AB115" s="66"/>
      <c r="AC115" s="20"/>
      <c r="AD115" s="87"/>
      <c r="AE115" s="20"/>
      <c r="AF115" s="87"/>
      <c r="AG115" s="87"/>
      <c r="AH115" s="20"/>
      <c r="AI115" s="87"/>
    </row>
    <row r="116" spans="10:35" x14ac:dyDescent="0.25">
      <c r="J116" s="19"/>
      <c r="K116" s="20"/>
      <c r="L116" s="20"/>
      <c r="M116" s="20"/>
      <c r="N116" s="20"/>
      <c r="O116" s="20"/>
      <c r="P116" s="19"/>
      <c r="R116" s="20"/>
      <c r="S116" s="20"/>
      <c r="T116" s="66"/>
      <c r="U116" s="20"/>
      <c r="V116" s="87"/>
      <c r="W116" s="20"/>
      <c r="X116" s="87"/>
      <c r="Y116" s="20"/>
      <c r="Z116" s="20"/>
      <c r="AA116" s="20"/>
      <c r="AB116" s="66"/>
      <c r="AC116" s="20"/>
      <c r="AD116" s="87"/>
      <c r="AE116" s="20"/>
      <c r="AF116" s="87"/>
      <c r="AG116" s="87"/>
      <c r="AH116" s="20"/>
      <c r="AI116" s="87"/>
    </row>
    <row r="117" spans="10:35" x14ac:dyDescent="0.25">
      <c r="J117" s="19"/>
      <c r="K117" s="20"/>
      <c r="L117" s="20"/>
      <c r="M117" s="20"/>
      <c r="N117" s="20"/>
      <c r="O117" s="20"/>
      <c r="P117" s="19"/>
      <c r="R117" s="20"/>
      <c r="S117" s="20"/>
      <c r="T117" s="66"/>
      <c r="U117" s="20"/>
      <c r="V117" s="87"/>
      <c r="W117" s="20"/>
      <c r="X117" s="87"/>
      <c r="Y117" s="20"/>
      <c r="Z117" s="20"/>
      <c r="AA117" s="20"/>
      <c r="AB117" s="66"/>
      <c r="AC117" s="20"/>
      <c r="AD117" s="87"/>
      <c r="AE117" s="20"/>
      <c r="AF117" s="87"/>
      <c r="AG117" s="87"/>
      <c r="AH117" s="20"/>
      <c r="AI117" s="87"/>
    </row>
    <row r="118" spans="10:35" x14ac:dyDescent="0.25">
      <c r="J118" s="19"/>
      <c r="K118" s="20"/>
      <c r="L118" s="20"/>
      <c r="M118" s="20"/>
      <c r="N118" s="20"/>
      <c r="O118" s="20"/>
      <c r="P118" s="19"/>
      <c r="R118" s="20"/>
      <c r="S118" s="20"/>
      <c r="T118" s="66"/>
      <c r="U118" s="20"/>
      <c r="V118" s="87"/>
      <c r="W118" s="20"/>
      <c r="X118" s="87"/>
      <c r="Y118" s="20"/>
      <c r="Z118" s="20"/>
      <c r="AA118" s="20"/>
      <c r="AB118" s="66"/>
      <c r="AC118" s="20"/>
      <c r="AD118" s="87"/>
      <c r="AE118" s="20"/>
      <c r="AF118" s="87"/>
      <c r="AG118" s="87"/>
      <c r="AH118" s="20"/>
      <c r="AI118" s="87"/>
    </row>
    <row r="119" spans="10:35" x14ac:dyDescent="0.25">
      <c r="J119" s="19"/>
      <c r="K119" s="20"/>
      <c r="L119" s="20"/>
      <c r="M119" s="20"/>
      <c r="N119" s="20"/>
      <c r="O119" s="20"/>
      <c r="P119" s="19"/>
      <c r="R119" s="20"/>
      <c r="S119" s="20"/>
      <c r="T119" s="66"/>
      <c r="U119" s="20"/>
      <c r="V119" s="87"/>
      <c r="W119" s="20"/>
      <c r="X119" s="87"/>
      <c r="Y119" s="20"/>
      <c r="Z119" s="20"/>
      <c r="AA119" s="20"/>
      <c r="AB119" s="66"/>
      <c r="AC119" s="20"/>
      <c r="AD119" s="87"/>
      <c r="AE119" s="20"/>
      <c r="AF119" s="87"/>
      <c r="AG119" s="87"/>
      <c r="AH119" s="20"/>
      <c r="AI119" s="87"/>
    </row>
    <row r="120" spans="10:35" x14ac:dyDescent="0.25">
      <c r="J120" s="19"/>
      <c r="K120" s="20"/>
      <c r="L120" s="20"/>
      <c r="M120" s="20"/>
      <c r="N120" s="20"/>
      <c r="O120" s="20"/>
      <c r="P120" s="19"/>
      <c r="R120" s="20"/>
      <c r="S120" s="20"/>
      <c r="T120" s="66"/>
      <c r="U120" s="20"/>
      <c r="V120" s="87"/>
      <c r="W120" s="20"/>
      <c r="X120" s="87"/>
      <c r="Y120" s="20"/>
      <c r="Z120" s="20"/>
      <c r="AA120" s="20"/>
      <c r="AB120" s="66"/>
      <c r="AC120" s="20"/>
      <c r="AD120" s="87"/>
      <c r="AE120" s="20"/>
      <c r="AF120" s="87"/>
      <c r="AG120" s="87"/>
      <c r="AH120" s="20"/>
      <c r="AI120" s="87"/>
    </row>
    <row r="121" spans="10:35" x14ac:dyDescent="0.25">
      <c r="J121" s="19"/>
      <c r="K121" s="20"/>
      <c r="L121" s="20"/>
      <c r="M121" s="20"/>
      <c r="N121" s="20"/>
      <c r="O121" s="20"/>
      <c r="P121" s="19"/>
      <c r="R121" s="20"/>
      <c r="S121" s="20"/>
      <c r="T121" s="66"/>
      <c r="U121" s="20"/>
      <c r="V121" s="87"/>
      <c r="W121" s="20"/>
      <c r="X121" s="87"/>
      <c r="Y121" s="20"/>
      <c r="Z121" s="20"/>
      <c r="AA121" s="20"/>
      <c r="AB121" s="66"/>
      <c r="AC121" s="20"/>
      <c r="AD121" s="87"/>
      <c r="AE121" s="20"/>
      <c r="AF121" s="87"/>
      <c r="AG121" s="87"/>
      <c r="AH121" s="20"/>
      <c r="AI121" s="87"/>
    </row>
    <row r="122" spans="10:35" x14ac:dyDescent="0.25">
      <c r="J122" s="19"/>
      <c r="K122" s="20"/>
      <c r="L122" s="20"/>
      <c r="M122" s="20"/>
      <c r="N122" s="20"/>
      <c r="O122" s="20"/>
      <c r="P122" s="19"/>
      <c r="R122" s="20"/>
      <c r="S122" s="20"/>
      <c r="T122" s="66"/>
      <c r="U122" s="20"/>
      <c r="V122" s="87"/>
      <c r="W122" s="20"/>
      <c r="X122" s="87"/>
      <c r="Y122" s="20"/>
      <c r="Z122" s="20"/>
      <c r="AA122" s="20"/>
      <c r="AB122" s="66"/>
      <c r="AC122" s="20"/>
      <c r="AD122" s="87"/>
      <c r="AE122" s="20"/>
      <c r="AF122" s="87"/>
      <c r="AG122" s="87"/>
      <c r="AH122" s="20"/>
      <c r="AI122" s="87"/>
    </row>
    <row r="123" spans="10:35" x14ac:dyDescent="0.25">
      <c r="J123" s="19"/>
      <c r="K123" s="20"/>
      <c r="L123" s="20"/>
      <c r="M123" s="20"/>
      <c r="N123" s="20"/>
      <c r="O123" s="20"/>
      <c r="P123" s="19"/>
      <c r="R123" s="20"/>
      <c r="S123" s="20"/>
      <c r="T123" s="66"/>
      <c r="U123" s="20"/>
      <c r="V123" s="87"/>
      <c r="W123" s="20"/>
      <c r="X123" s="87"/>
      <c r="Y123" s="20"/>
      <c r="Z123" s="20"/>
      <c r="AA123" s="20"/>
      <c r="AB123" s="66"/>
      <c r="AC123" s="20"/>
      <c r="AD123" s="87"/>
      <c r="AE123" s="20"/>
      <c r="AF123" s="87"/>
      <c r="AG123" s="87"/>
      <c r="AH123" s="20"/>
      <c r="AI123" s="87"/>
    </row>
    <row r="124" spans="10:35" x14ac:dyDescent="0.25">
      <c r="J124" s="19"/>
      <c r="K124" s="20"/>
      <c r="L124" s="20"/>
      <c r="M124" s="20"/>
      <c r="N124" s="20"/>
      <c r="O124" s="20"/>
      <c r="P124" s="19"/>
      <c r="R124" s="20"/>
      <c r="S124" s="20"/>
      <c r="T124" s="66"/>
      <c r="U124" s="20"/>
      <c r="V124" s="87"/>
      <c r="W124" s="20"/>
      <c r="X124" s="87"/>
      <c r="Y124" s="20"/>
      <c r="Z124" s="20"/>
      <c r="AA124" s="20"/>
      <c r="AB124" s="66"/>
      <c r="AC124" s="20"/>
      <c r="AD124" s="87"/>
      <c r="AE124" s="20"/>
      <c r="AF124" s="87"/>
      <c r="AG124" s="87"/>
      <c r="AH124" s="20"/>
      <c r="AI124" s="87"/>
    </row>
    <row r="125" spans="10:35" x14ac:dyDescent="0.25">
      <c r="J125" s="19"/>
      <c r="K125" s="20"/>
      <c r="L125" s="20"/>
      <c r="M125" s="20"/>
      <c r="N125" s="20"/>
      <c r="O125" s="20"/>
      <c r="P125" s="19"/>
      <c r="R125" s="20"/>
      <c r="S125" s="20"/>
      <c r="T125" s="66"/>
      <c r="U125" s="20"/>
      <c r="V125" s="87"/>
      <c r="W125" s="20"/>
      <c r="X125" s="87"/>
      <c r="Y125" s="20"/>
      <c r="Z125" s="20"/>
      <c r="AA125" s="20"/>
      <c r="AB125" s="66"/>
      <c r="AC125" s="20"/>
      <c r="AD125" s="87"/>
      <c r="AE125" s="20"/>
      <c r="AF125" s="87"/>
      <c r="AG125" s="87"/>
      <c r="AH125" s="20"/>
      <c r="AI125" s="87"/>
    </row>
    <row r="126" spans="10:35" x14ac:dyDescent="0.25">
      <c r="J126" s="19"/>
      <c r="K126" s="20"/>
      <c r="L126" s="20"/>
      <c r="M126" s="20"/>
      <c r="N126" s="20"/>
      <c r="O126" s="20"/>
      <c r="P126" s="19"/>
      <c r="R126" s="20"/>
      <c r="S126" s="20"/>
      <c r="T126" s="66"/>
      <c r="U126" s="20"/>
      <c r="V126" s="87"/>
      <c r="W126" s="20"/>
      <c r="X126" s="87"/>
      <c r="Y126" s="20"/>
      <c r="Z126" s="20"/>
      <c r="AA126" s="20"/>
      <c r="AB126" s="66"/>
      <c r="AC126" s="20"/>
      <c r="AD126" s="87"/>
      <c r="AE126" s="20"/>
      <c r="AF126" s="87"/>
      <c r="AG126" s="87"/>
      <c r="AH126" s="20"/>
      <c r="AI126" s="87"/>
    </row>
    <row r="127" spans="10:35" x14ac:dyDescent="0.25">
      <c r="J127" s="19"/>
      <c r="K127" s="20"/>
      <c r="L127" s="20"/>
      <c r="M127" s="20"/>
      <c r="N127" s="20"/>
      <c r="O127" s="20"/>
      <c r="P127" s="19"/>
      <c r="R127" s="20"/>
      <c r="S127" s="20"/>
      <c r="T127" s="66"/>
      <c r="U127" s="20"/>
      <c r="V127" s="87"/>
      <c r="W127" s="20"/>
      <c r="X127" s="87"/>
      <c r="Y127" s="20"/>
      <c r="Z127" s="20"/>
      <c r="AA127" s="20"/>
      <c r="AB127" s="66"/>
      <c r="AC127" s="20"/>
      <c r="AD127" s="87"/>
      <c r="AE127" s="20"/>
      <c r="AF127" s="87"/>
      <c r="AG127" s="87"/>
      <c r="AH127" s="20"/>
      <c r="AI127" s="87"/>
    </row>
    <row r="128" spans="10:35" x14ac:dyDescent="0.25">
      <c r="J128" s="19"/>
      <c r="K128" s="20"/>
      <c r="L128" s="20"/>
      <c r="M128" s="20"/>
      <c r="N128" s="20"/>
      <c r="O128" s="20"/>
      <c r="P128" s="19"/>
      <c r="R128" s="20"/>
      <c r="S128" s="20"/>
      <c r="T128" s="66"/>
      <c r="U128" s="20"/>
      <c r="V128" s="87"/>
      <c r="W128" s="20"/>
      <c r="X128" s="87"/>
      <c r="Y128" s="20"/>
      <c r="Z128" s="20"/>
      <c r="AA128" s="20"/>
      <c r="AB128" s="66"/>
      <c r="AC128" s="20"/>
      <c r="AD128" s="87"/>
      <c r="AE128" s="20"/>
      <c r="AF128" s="87"/>
      <c r="AG128" s="87"/>
      <c r="AH128" s="20"/>
      <c r="AI128" s="87"/>
    </row>
    <row r="129" spans="10:35" x14ac:dyDescent="0.25">
      <c r="J129" s="19"/>
      <c r="K129" s="20"/>
      <c r="L129" s="20"/>
      <c r="M129" s="20"/>
      <c r="N129" s="20"/>
      <c r="O129" s="20"/>
      <c r="P129" s="19"/>
      <c r="R129" s="20"/>
      <c r="S129" s="20"/>
      <c r="T129" s="66"/>
      <c r="U129" s="20"/>
      <c r="V129" s="87"/>
      <c r="W129" s="20"/>
      <c r="X129" s="87"/>
      <c r="Y129" s="20"/>
      <c r="Z129" s="20"/>
      <c r="AA129" s="20"/>
      <c r="AB129" s="66"/>
      <c r="AC129" s="20"/>
      <c r="AD129" s="87"/>
      <c r="AE129" s="20"/>
      <c r="AF129" s="87"/>
      <c r="AG129" s="87"/>
      <c r="AH129" s="20"/>
      <c r="AI129" s="87"/>
    </row>
    <row r="130" spans="10:35" x14ac:dyDescent="0.25">
      <c r="J130" s="19"/>
      <c r="K130" s="20"/>
      <c r="L130" s="20"/>
      <c r="M130" s="20"/>
      <c r="N130" s="20"/>
      <c r="O130" s="20"/>
      <c r="P130" s="19"/>
      <c r="R130" s="20"/>
      <c r="S130" s="20"/>
      <c r="T130" s="66"/>
      <c r="U130" s="20"/>
      <c r="V130" s="87"/>
      <c r="W130" s="20"/>
      <c r="X130" s="87"/>
      <c r="Y130" s="20"/>
      <c r="Z130" s="20"/>
      <c r="AA130" s="20"/>
      <c r="AB130" s="66"/>
      <c r="AC130" s="20"/>
      <c r="AD130" s="87"/>
      <c r="AE130" s="20"/>
      <c r="AF130" s="87"/>
      <c r="AG130" s="87"/>
      <c r="AH130" s="20"/>
      <c r="AI130" s="87"/>
    </row>
    <row r="131" spans="10:35" x14ac:dyDescent="0.25">
      <c r="J131" s="19"/>
      <c r="K131" s="20"/>
      <c r="L131" s="20"/>
      <c r="M131" s="20"/>
      <c r="N131" s="20"/>
      <c r="O131" s="20"/>
      <c r="P131" s="19"/>
      <c r="R131" s="20"/>
      <c r="S131" s="20"/>
      <c r="T131" s="66"/>
      <c r="U131" s="20"/>
      <c r="V131" s="87"/>
      <c r="W131" s="20"/>
      <c r="X131" s="87"/>
      <c r="Y131" s="20"/>
      <c r="Z131" s="20"/>
      <c r="AA131" s="20"/>
      <c r="AB131" s="66"/>
      <c r="AC131" s="20"/>
      <c r="AD131" s="87"/>
      <c r="AE131" s="20"/>
      <c r="AF131" s="87"/>
      <c r="AG131" s="87"/>
      <c r="AH131" s="20"/>
      <c r="AI131" s="87"/>
    </row>
    <row r="132" spans="10:35" x14ac:dyDescent="0.25">
      <c r="J132" s="19"/>
      <c r="K132" s="20"/>
      <c r="L132" s="20"/>
      <c r="M132" s="20"/>
      <c r="N132" s="20"/>
      <c r="O132" s="20"/>
      <c r="P132" s="19"/>
      <c r="R132" s="20"/>
      <c r="S132" s="20"/>
      <c r="T132" s="66"/>
      <c r="U132" s="20"/>
      <c r="V132" s="87"/>
      <c r="W132" s="20"/>
      <c r="X132" s="87"/>
      <c r="Y132" s="20"/>
      <c r="Z132" s="20"/>
      <c r="AA132" s="20"/>
      <c r="AB132" s="66"/>
      <c r="AC132" s="20"/>
      <c r="AD132" s="87"/>
      <c r="AE132" s="20"/>
      <c r="AF132" s="87"/>
      <c r="AG132" s="87"/>
      <c r="AH132" s="20"/>
      <c r="AI132" s="87"/>
    </row>
    <row r="133" spans="10:35" x14ac:dyDescent="0.25">
      <c r="J133" s="19"/>
      <c r="K133" s="20"/>
      <c r="L133" s="20"/>
      <c r="M133" s="20"/>
      <c r="N133" s="20"/>
      <c r="O133" s="20"/>
      <c r="P133" s="19"/>
      <c r="R133" s="20"/>
      <c r="S133" s="20"/>
      <c r="T133" s="66"/>
      <c r="U133" s="20"/>
      <c r="V133" s="87"/>
      <c r="W133" s="20"/>
      <c r="X133" s="87"/>
      <c r="Y133" s="20"/>
      <c r="Z133" s="20"/>
      <c r="AA133" s="20"/>
      <c r="AB133" s="66"/>
      <c r="AC133" s="20"/>
      <c r="AD133" s="87"/>
      <c r="AE133" s="20"/>
      <c r="AF133" s="87"/>
      <c r="AG133" s="87"/>
      <c r="AH133" s="20"/>
      <c r="AI133" s="87"/>
    </row>
    <row r="134" spans="10:35" x14ac:dyDescent="0.25">
      <c r="J134" s="19"/>
      <c r="K134" s="20"/>
      <c r="L134" s="20"/>
      <c r="M134" s="20"/>
      <c r="N134" s="20"/>
      <c r="O134" s="20"/>
      <c r="P134" s="19"/>
      <c r="R134" s="20"/>
      <c r="S134" s="20"/>
      <c r="T134" s="66"/>
      <c r="U134" s="20"/>
      <c r="V134" s="87"/>
      <c r="W134" s="20"/>
      <c r="X134" s="87"/>
      <c r="Y134" s="20"/>
      <c r="Z134" s="20"/>
      <c r="AA134" s="20"/>
      <c r="AB134" s="66"/>
      <c r="AC134" s="20"/>
      <c r="AD134" s="87"/>
      <c r="AE134" s="20"/>
      <c r="AF134" s="87"/>
      <c r="AG134" s="87"/>
      <c r="AH134" s="20"/>
      <c r="AI134" s="87"/>
    </row>
    <row r="135" spans="10:35" x14ac:dyDescent="0.25">
      <c r="J135" s="19"/>
      <c r="K135" s="20"/>
      <c r="L135" s="20"/>
      <c r="M135" s="20"/>
      <c r="N135" s="20"/>
      <c r="O135" s="20"/>
      <c r="P135" s="19"/>
      <c r="R135" s="20"/>
      <c r="S135" s="20"/>
      <c r="T135" s="66"/>
      <c r="U135" s="20"/>
      <c r="V135" s="87"/>
      <c r="W135" s="20"/>
      <c r="X135" s="87"/>
      <c r="Y135" s="20"/>
      <c r="Z135" s="20"/>
      <c r="AA135" s="20"/>
      <c r="AB135" s="66"/>
      <c r="AC135" s="20"/>
      <c r="AD135" s="87"/>
      <c r="AE135" s="20"/>
      <c r="AF135" s="87"/>
      <c r="AG135" s="87"/>
      <c r="AH135" s="20"/>
      <c r="AI135" s="87"/>
    </row>
    <row r="136" spans="10:35" x14ac:dyDescent="0.25">
      <c r="J136" s="19"/>
      <c r="K136" s="20"/>
      <c r="L136" s="20"/>
      <c r="M136" s="20"/>
      <c r="N136" s="20"/>
      <c r="O136" s="20"/>
      <c r="P136" s="19"/>
      <c r="R136" s="20"/>
      <c r="S136" s="20"/>
      <c r="T136" s="66"/>
      <c r="U136" s="20"/>
      <c r="V136" s="87"/>
      <c r="W136" s="20"/>
      <c r="X136" s="87"/>
      <c r="Y136" s="20"/>
      <c r="Z136" s="20"/>
      <c r="AA136" s="20"/>
      <c r="AB136" s="66"/>
      <c r="AC136" s="20"/>
      <c r="AD136" s="87"/>
      <c r="AE136" s="20"/>
      <c r="AF136" s="87"/>
      <c r="AG136" s="87"/>
      <c r="AH136" s="20"/>
      <c r="AI136" s="87"/>
    </row>
    <row r="137" spans="10:35" x14ac:dyDescent="0.25">
      <c r="J137" s="19"/>
      <c r="K137" s="20"/>
      <c r="L137" s="20"/>
      <c r="M137" s="20"/>
      <c r="N137" s="20"/>
      <c r="O137" s="20"/>
      <c r="P137" s="19"/>
      <c r="R137" s="20"/>
      <c r="S137" s="20"/>
      <c r="T137" s="66"/>
      <c r="U137" s="20"/>
      <c r="V137" s="87"/>
      <c r="W137" s="20"/>
      <c r="X137" s="87"/>
      <c r="Y137" s="20"/>
      <c r="Z137" s="20"/>
      <c r="AA137" s="20"/>
      <c r="AB137" s="66"/>
      <c r="AC137" s="20"/>
      <c r="AD137" s="87"/>
      <c r="AE137" s="20"/>
      <c r="AF137" s="87"/>
      <c r="AG137" s="87"/>
      <c r="AH137" s="20"/>
      <c r="AI137" s="87"/>
    </row>
    <row r="138" spans="10:35" x14ac:dyDescent="0.25">
      <c r="J138" s="19"/>
      <c r="K138" s="20"/>
      <c r="L138" s="20"/>
      <c r="M138" s="20"/>
      <c r="N138" s="20"/>
      <c r="O138" s="20"/>
      <c r="P138" s="19"/>
      <c r="R138" s="20"/>
      <c r="S138" s="20"/>
      <c r="T138" s="66"/>
      <c r="U138" s="20"/>
      <c r="V138" s="87"/>
      <c r="W138" s="20"/>
      <c r="X138" s="87"/>
      <c r="Y138" s="20"/>
      <c r="Z138" s="20"/>
      <c r="AA138" s="20"/>
      <c r="AB138" s="66"/>
      <c r="AC138" s="20"/>
      <c r="AD138" s="87"/>
      <c r="AE138" s="20"/>
      <c r="AF138" s="87"/>
      <c r="AG138" s="87"/>
      <c r="AH138" s="20"/>
      <c r="AI138" s="87"/>
    </row>
    <row r="139" spans="10:35" x14ac:dyDescent="0.25">
      <c r="J139" s="19"/>
      <c r="K139" s="20"/>
      <c r="L139" s="20"/>
      <c r="M139" s="20"/>
      <c r="N139" s="20"/>
      <c r="O139" s="20"/>
      <c r="P139" s="19"/>
      <c r="R139" s="20"/>
      <c r="S139" s="20"/>
      <c r="T139" s="66"/>
      <c r="U139" s="20"/>
      <c r="V139" s="87"/>
      <c r="W139" s="20"/>
      <c r="X139" s="87"/>
      <c r="Y139" s="20"/>
      <c r="Z139" s="20"/>
      <c r="AA139" s="20"/>
      <c r="AB139" s="66"/>
      <c r="AC139" s="20"/>
      <c r="AD139" s="87"/>
      <c r="AE139" s="20"/>
      <c r="AF139" s="87"/>
      <c r="AG139" s="87"/>
      <c r="AH139" s="20"/>
      <c r="AI139" s="87"/>
    </row>
    <row r="140" spans="10:35" x14ac:dyDescent="0.25">
      <c r="J140" s="19"/>
      <c r="K140" s="20"/>
      <c r="L140" s="20"/>
      <c r="M140" s="20"/>
      <c r="N140" s="20"/>
      <c r="O140" s="20"/>
      <c r="P140" s="19"/>
      <c r="R140" s="20"/>
      <c r="S140" s="20"/>
      <c r="T140" s="66"/>
      <c r="U140" s="20"/>
      <c r="V140" s="87"/>
      <c r="W140" s="20"/>
      <c r="X140" s="87"/>
      <c r="Y140" s="20"/>
      <c r="Z140" s="20"/>
      <c r="AA140" s="20"/>
      <c r="AB140" s="66"/>
      <c r="AC140" s="20"/>
      <c r="AD140" s="87"/>
      <c r="AE140" s="20"/>
      <c r="AF140" s="87"/>
      <c r="AG140" s="87"/>
      <c r="AH140" s="20"/>
      <c r="AI140" s="87"/>
    </row>
    <row r="141" spans="10:35" x14ac:dyDescent="0.25">
      <c r="J141" s="19"/>
      <c r="K141" s="20"/>
      <c r="L141" s="20"/>
      <c r="M141" s="20"/>
      <c r="N141" s="20"/>
      <c r="O141" s="20"/>
      <c r="P141" s="19"/>
      <c r="R141" s="20"/>
      <c r="S141" s="20"/>
      <c r="T141" s="66"/>
      <c r="U141" s="20"/>
      <c r="V141" s="87"/>
      <c r="W141" s="20"/>
      <c r="X141" s="87"/>
      <c r="Y141" s="20"/>
      <c r="Z141" s="20"/>
      <c r="AA141" s="20"/>
      <c r="AB141" s="66"/>
      <c r="AC141" s="20"/>
      <c r="AD141" s="87"/>
      <c r="AE141" s="20"/>
      <c r="AF141" s="87"/>
      <c r="AG141" s="87"/>
      <c r="AH141" s="20"/>
      <c r="AI141" s="87"/>
    </row>
    <row r="142" spans="10:35" x14ac:dyDescent="0.25">
      <c r="J142" s="19"/>
      <c r="K142" s="20"/>
      <c r="L142" s="20"/>
      <c r="M142" s="20"/>
      <c r="N142" s="20"/>
      <c r="O142" s="20"/>
      <c r="P142" s="19"/>
      <c r="R142" s="20"/>
      <c r="S142" s="20"/>
      <c r="T142" s="66"/>
      <c r="U142" s="20"/>
      <c r="V142" s="87"/>
      <c r="W142" s="20"/>
      <c r="X142" s="87"/>
      <c r="Y142" s="20"/>
      <c r="Z142" s="20"/>
      <c r="AA142" s="20"/>
      <c r="AB142" s="66"/>
      <c r="AC142" s="20"/>
      <c r="AD142" s="87"/>
      <c r="AE142" s="20"/>
      <c r="AF142" s="87"/>
      <c r="AG142" s="87"/>
      <c r="AH142" s="20"/>
      <c r="AI142" s="87"/>
    </row>
    <row r="143" spans="10:35" x14ac:dyDescent="0.25">
      <c r="J143" s="19"/>
      <c r="K143" s="20"/>
      <c r="L143" s="20"/>
      <c r="M143" s="20"/>
      <c r="N143" s="20"/>
      <c r="O143" s="20"/>
      <c r="P143" s="19"/>
      <c r="R143" s="20"/>
      <c r="S143" s="20"/>
      <c r="T143" s="66"/>
      <c r="U143" s="20"/>
      <c r="V143" s="87"/>
      <c r="W143" s="20"/>
      <c r="X143" s="87"/>
      <c r="Y143" s="20"/>
      <c r="Z143" s="20"/>
      <c r="AA143" s="20"/>
      <c r="AB143" s="66"/>
      <c r="AC143" s="20"/>
      <c r="AD143" s="87"/>
      <c r="AE143" s="20"/>
      <c r="AF143" s="87"/>
      <c r="AG143" s="87"/>
      <c r="AH143" s="20"/>
      <c r="AI143" s="87"/>
    </row>
    <row r="144" spans="10:35" x14ac:dyDescent="0.25">
      <c r="J144" s="19"/>
      <c r="K144" s="20"/>
      <c r="L144" s="20"/>
      <c r="M144" s="20"/>
      <c r="N144" s="20"/>
      <c r="O144" s="20"/>
      <c r="P144" s="19"/>
      <c r="R144" s="20"/>
      <c r="S144" s="20"/>
      <c r="T144" s="66"/>
      <c r="U144" s="20"/>
      <c r="V144" s="87"/>
      <c r="W144" s="20"/>
      <c r="X144" s="87"/>
      <c r="Y144" s="20"/>
      <c r="Z144" s="20"/>
      <c r="AA144" s="20"/>
      <c r="AB144" s="66"/>
      <c r="AC144" s="20"/>
      <c r="AD144" s="87"/>
      <c r="AE144" s="20"/>
      <c r="AF144" s="87"/>
      <c r="AG144" s="87"/>
      <c r="AH144" s="20"/>
      <c r="AI144" s="87"/>
    </row>
    <row r="145" spans="10:35" x14ac:dyDescent="0.25">
      <c r="J145" s="19"/>
      <c r="K145" s="20"/>
      <c r="L145" s="20"/>
      <c r="M145" s="20"/>
      <c r="N145" s="20"/>
      <c r="O145" s="20"/>
      <c r="P145" s="19"/>
      <c r="R145" s="20"/>
      <c r="S145" s="20"/>
      <c r="T145" s="66"/>
      <c r="U145" s="20"/>
      <c r="V145" s="87"/>
      <c r="W145" s="20"/>
      <c r="X145" s="87"/>
      <c r="Y145" s="20"/>
      <c r="Z145" s="20"/>
      <c r="AA145" s="20"/>
      <c r="AB145" s="66"/>
      <c r="AC145" s="20"/>
      <c r="AD145" s="87"/>
      <c r="AE145" s="20"/>
      <c r="AF145" s="87"/>
      <c r="AG145" s="87"/>
      <c r="AH145" s="20"/>
      <c r="AI145" s="87"/>
    </row>
    <row r="146" spans="10:35" x14ac:dyDescent="0.25">
      <c r="J146" s="19"/>
      <c r="K146" s="20"/>
      <c r="L146" s="20"/>
      <c r="M146" s="20"/>
      <c r="N146" s="20"/>
      <c r="O146" s="20"/>
      <c r="P146" s="19"/>
      <c r="R146" s="20"/>
      <c r="S146" s="20"/>
      <c r="T146" s="66"/>
      <c r="U146" s="20"/>
      <c r="V146" s="87"/>
      <c r="W146" s="20"/>
      <c r="X146" s="87"/>
      <c r="Y146" s="20"/>
      <c r="Z146" s="20"/>
      <c r="AA146" s="20"/>
      <c r="AB146" s="66"/>
      <c r="AC146" s="20"/>
      <c r="AD146" s="87"/>
      <c r="AE146" s="20"/>
      <c r="AF146" s="87"/>
      <c r="AG146" s="87"/>
      <c r="AH146" s="20"/>
      <c r="AI146" s="87"/>
    </row>
    <row r="147" spans="10:35" x14ac:dyDescent="0.25">
      <c r="J147" s="19"/>
      <c r="K147" s="20"/>
      <c r="L147" s="20"/>
      <c r="M147" s="20"/>
      <c r="N147" s="20"/>
      <c r="O147" s="20"/>
      <c r="P147" s="19"/>
      <c r="R147" s="20"/>
      <c r="S147" s="20"/>
      <c r="T147" s="66"/>
      <c r="U147" s="20"/>
      <c r="V147" s="87"/>
      <c r="W147" s="20"/>
      <c r="X147" s="87"/>
      <c r="Y147" s="20"/>
      <c r="Z147" s="20"/>
      <c r="AA147" s="20"/>
      <c r="AB147" s="66"/>
      <c r="AC147" s="20"/>
      <c r="AD147" s="87"/>
      <c r="AE147" s="20"/>
      <c r="AF147" s="87"/>
      <c r="AG147" s="87"/>
      <c r="AH147" s="20"/>
      <c r="AI147" s="87"/>
    </row>
    <row r="148" spans="10:35" x14ac:dyDescent="0.25">
      <c r="J148" s="19"/>
      <c r="K148" s="20"/>
      <c r="L148" s="20"/>
      <c r="M148" s="20"/>
      <c r="N148" s="20"/>
      <c r="O148" s="20"/>
      <c r="P148" s="19"/>
      <c r="R148" s="20"/>
      <c r="S148" s="20"/>
      <c r="T148" s="66"/>
      <c r="U148" s="20"/>
      <c r="V148" s="87"/>
      <c r="W148" s="20"/>
      <c r="X148" s="87"/>
      <c r="Y148" s="20"/>
      <c r="Z148" s="20"/>
      <c r="AA148" s="20"/>
      <c r="AB148" s="66"/>
      <c r="AC148" s="20"/>
      <c r="AD148" s="87"/>
      <c r="AE148" s="20"/>
      <c r="AF148" s="87"/>
      <c r="AG148" s="87"/>
      <c r="AH148" s="20"/>
      <c r="AI148" s="87"/>
    </row>
    <row r="149" spans="10:35" x14ac:dyDescent="0.25">
      <c r="J149" s="19"/>
      <c r="K149" s="20"/>
      <c r="L149" s="20"/>
      <c r="M149" s="20"/>
      <c r="N149" s="20"/>
      <c r="O149" s="20"/>
      <c r="P149" s="19"/>
      <c r="R149" s="20"/>
      <c r="S149" s="20"/>
      <c r="T149" s="66"/>
      <c r="U149" s="20"/>
      <c r="V149" s="87"/>
      <c r="W149" s="20"/>
      <c r="X149" s="87"/>
      <c r="Y149" s="20"/>
      <c r="Z149" s="20"/>
      <c r="AA149" s="20"/>
      <c r="AB149" s="66"/>
      <c r="AC149" s="20"/>
      <c r="AD149" s="87"/>
      <c r="AE149" s="20"/>
      <c r="AF149" s="87"/>
      <c r="AG149" s="87"/>
      <c r="AH149" s="20"/>
      <c r="AI149" s="87"/>
    </row>
    <row r="150" spans="10:35" x14ac:dyDescent="0.25">
      <c r="J150" s="19"/>
      <c r="K150" s="20"/>
      <c r="L150" s="20"/>
      <c r="M150" s="20"/>
      <c r="N150" s="20"/>
      <c r="O150" s="20"/>
      <c r="P150" s="19"/>
      <c r="R150" s="20"/>
      <c r="S150" s="20"/>
      <c r="T150" s="66"/>
      <c r="U150" s="20"/>
      <c r="V150" s="87"/>
      <c r="W150" s="20"/>
      <c r="X150" s="87"/>
      <c r="Y150" s="20"/>
      <c r="Z150" s="20"/>
      <c r="AA150" s="20"/>
      <c r="AB150" s="66"/>
      <c r="AC150" s="20"/>
      <c r="AD150" s="87"/>
      <c r="AE150" s="20"/>
      <c r="AF150" s="87"/>
      <c r="AG150" s="87"/>
      <c r="AH150" s="20"/>
      <c r="AI150" s="87"/>
    </row>
    <row r="151" spans="10:35" x14ac:dyDescent="0.25">
      <c r="J151" s="19"/>
      <c r="K151" s="20"/>
      <c r="L151" s="20"/>
      <c r="M151" s="20"/>
      <c r="N151" s="20"/>
      <c r="O151" s="20"/>
      <c r="P151" s="19"/>
      <c r="R151" s="20"/>
      <c r="S151" s="20"/>
      <c r="T151" s="66"/>
      <c r="U151" s="20"/>
      <c r="V151" s="87"/>
      <c r="W151" s="20"/>
      <c r="X151" s="87"/>
      <c r="Y151" s="20"/>
      <c r="Z151" s="20"/>
      <c r="AA151" s="20"/>
      <c r="AB151" s="66"/>
      <c r="AC151" s="20"/>
      <c r="AD151" s="87"/>
      <c r="AE151" s="20"/>
      <c r="AF151" s="87"/>
      <c r="AG151" s="87"/>
      <c r="AH151" s="20"/>
      <c r="AI151" s="87"/>
    </row>
    <row r="152" spans="10:35" x14ac:dyDescent="0.25">
      <c r="J152" s="19"/>
      <c r="K152" s="20"/>
      <c r="L152" s="20"/>
      <c r="M152" s="20"/>
      <c r="N152" s="20"/>
      <c r="O152" s="20"/>
      <c r="P152" s="19"/>
      <c r="R152" s="20"/>
      <c r="S152" s="20"/>
      <c r="T152" s="66"/>
      <c r="U152" s="20"/>
      <c r="V152" s="87"/>
      <c r="W152" s="20"/>
      <c r="X152" s="87"/>
      <c r="Y152" s="20"/>
      <c r="Z152" s="20"/>
      <c r="AA152" s="20"/>
      <c r="AB152" s="66"/>
      <c r="AC152" s="20"/>
      <c r="AD152" s="87"/>
      <c r="AE152" s="20"/>
      <c r="AF152" s="87"/>
      <c r="AG152" s="87"/>
      <c r="AH152" s="20"/>
      <c r="AI152" s="87"/>
    </row>
    <row r="153" spans="10:35" x14ac:dyDescent="0.25">
      <c r="J153" s="19"/>
      <c r="K153" s="20"/>
      <c r="L153" s="20"/>
      <c r="M153" s="20"/>
      <c r="N153" s="20"/>
      <c r="O153" s="20"/>
      <c r="P153" s="19"/>
      <c r="R153" s="20"/>
      <c r="S153" s="20"/>
      <c r="T153" s="66"/>
      <c r="U153" s="20"/>
      <c r="V153" s="87"/>
      <c r="W153" s="20"/>
      <c r="X153" s="87"/>
      <c r="Y153" s="20"/>
      <c r="Z153" s="20"/>
      <c r="AA153" s="20"/>
      <c r="AB153" s="66"/>
      <c r="AC153" s="20"/>
      <c r="AD153" s="87"/>
      <c r="AE153" s="20"/>
      <c r="AF153" s="87"/>
      <c r="AG153" s="87"/>
      <c r="AH153" s="20"/>
      <c r="AI153" s="87"/>
    </row>
    <row r="154" spans="10:35" x14ac:dyDescent="0.25">
      <c r="J154" s="19"/>
      <c r="K154" s="20"/>
      <c r="L154" s="20"/>
      <c r="M154" s="20"/>
      <c r="N154" s="20"/>
      <c r="O154" s="20"/>
      <c r="P154" s="19"/>
      <c r="R154" s="20"/>
      <c r="S154" s="20"/>
      <c r="T154" s="66"/>
      <c r="U154" s="20"/>
      <c r="V154" s="87"/>
      <c r="W154" s="20"/>
      <c r="X154" s="87"/>
      <c r="Y154" s="20"/>
      <c r="Z154" s="20"/>
      <c r="AA154" s="20"/>
      <c r="AB154" s="66"/>
      <c r="AC154" s="20"/>
      <c r="AD154" s="87"/>
      <c r="AE154" s="20"/>
      <c r="AF154" s="87"/>
      <c r="AG154" s="87"/>
      <c r="AH154" s="20"/>
      <c r="AI154" s="87"/>
    </row>
    <row r="155" spans="10:35" x14ac:dyDescent="0.25">
      <c r="J155" s="19"/>
      <c r="K155" s="20"/>
      <c r="L155" s="20"/>
      <c r="M155" s="20"/>
      <c r="N155" s="20"/>
      <c r="O155" s="20"/>
      <c r="P155" s="19"/>
      <c r="R155" s="20"/>
      <c r="S155" s="20"/>
      <c r="T155" s="66"/>
      <c r="U155" s="20"/>
      <c r="V155" s="87"/>
      <c r="W155" s="20"/>
      <c r="X155" s="87"/>
      <c r="Y155" s="20"/>
      <c r="Z155" s="20"/>
      <c r="AA155" s="20"/>
      <c r="AB155" s="66"/>
      <c r="AC155" s="20"/>
      <c r="AD155" s="87"/>
      <c r="AE155" s="20"/>
      <c r="AF155" s="87"/>
      <c r="AG155" s="87"/>
      <c r="AH155" s="20"/>
      <c r="AI155" s="87"/>
    </row>
    <row r="156" spans="10:35" x14ac:dyDescent="0.25">
      <c r="J156" s="19"/>
      <c r="K156" s="20"/>
      <c r="L156" s="20"/>
      <c r="M156" s="20"/>
      <c r="N156" s="20"/>
      <c r="O156" s="20"/>
      <c r="P156" s="19"/>
      <c r="R156" s="20"/>
      <c r="S156" s="20"/>
      <c r="T156" s="66"/>
      <c r="U156" s="20"/>
      <c r="V156" s="87"/>
      <c r="W156" s="20"/>
      <c r="X156" s="87"/>
      <c r="Y156" s="20"/>
      <c r="Z156" s="20"/>
      <c r="AA156" s="20"/>
      <c r="AB156" s="66"/>
      <c r="AC156" s="20"/>
      <c r="AD156" s="87"/>
      <c r="AE156" s="20"/>
      <c r="AF156" s="87"/>
      <c r="AG156" s="87"/>
      <c r="AH156" s="20"/>
      <c r="AI156" s="87"/>
    </row>
    <row r="157" spans="10:35" x14ac:dyDescent="0.25">
      <c r="J157" s="19"/>
      <c r="K157" s="20"/>
      <c r="L157" s="20"/>
      <c r="M157" s="20"/>
      <c r="N157" s="20"/>
      <c r="O157" s="20"/>
      <c r="P157" s="19"/>
      <c r="R157" s="20"/>
      <c r="S157" s="20"/>
      <c r="T157" s="66"/>
      <c r="U157" s="20"/>
      <c r="V157" s="87"/>
      <c r="W157" s="20"/>
      <c r="X157" s="87"/>
      <c r="Y157" s="20"/>
      <c r="Z157" s="20"/>
      <c r="AA157" s="20"/>
      <c r="AB157" s="66"/>
      <c r="AC157" s="20"/>
      <c r="AD157" s="87"/>
      <c r="AE157" s="20"/>
      <c r="AF157" s="87"/>
      <c r="AG157" s="87"/>
      <c r="AH157" s="20"/>
      <c r="AI157" s="87"/>
    </row>
    <row r="158" spans="10:35" x14ac:dyDescent="0.25">
      <c r="J158" s="19"/>
      <c r="K158" s="20"/>
      <c r="L158" s="20"/>
      <c r="M158" s="20"/>
      <c r="N158" s="20"/>
      <c r="O158" s="20"/>
      <c r="P158" s="19"/>
      <c r="R158" s="20"/>
      <c r="S158" s="20"/>
      <c r="T158" s="66"/>
      <c r="U158" s="20"/>
      <c r="V158" s="87"/>
      <c r="W158" s="20"/>
      <c r="X158" s="87"/>
      <c r="Y158" s="20"/>
      <c r="Z158" s="20"/>
      <c r="AA158" s="20"/>
      <c r="AB158" s="66"/>
      <c r="AC158" s="20"/>
      <c r="AD158" s="87"/>
      <c r="AE158" s="20"/>
      <c r="AF158" s="87"/>
      <c r="AG158" s="87"/>
      <c r="AH158" s="20"/>
      <c r="AI158" s="87"/>
    </row>
    <row r="159" spans="10:35" x14ac:dyDescent="0.25">
      <c r="J159" s="19"/>
      <c r="K159" s="20"/>
      <c r="L159" s="20"/>
      <c r="M159" s="20"/>
      <c r="N159" s="20"/>
      <c r="O159" s="20"/>
      <c r="P159" s="19"/>
      <c r="R159" s="20"/>
      <c r="S159" s="20"/>
      <c r="T159" s="66"/>
      <c r="U159" s="20"/>
      <c r="V159" s="87"/>
      <c r="W159" s="20"/>
      <c r="X159" s="87"/>
      <c r="Y159" s="20"/>
      <c r="Z159" s="20"/>
      <c r="AA159" s="20"/>
      <c r="AB159" s="66"/>
      <c r="AC159" s="20"/>
      <c r="AD159" s="87"/>
      <c r="AE159" s="20"/>
      <c r="AF159" s="87"/>
      <c r="AG159" s="87"/>
      <c r="AH159" s="20"/>
      <c r="AI159" s="87"/>
    </row>
    <row r="160" spans="10:35" x14ac:dyDescent="0.25">
      <c r="J160" s="19"/>
      <c r="K160" s="20"/>
      <c r="L160" s="20"/>
      <c r="M160" s="20"/>
      <c r="N160" s="20"/>
      <c r="O160" s="20"/>
      <c r="P160" s="19"/>
      <c r="R160" s="20"/>
      <c r="S160" s="20"/>
      <c r="T160" s="66"/>
      <c r="U160" s="20"/>
      <c r="V160" s="87"/>
      <c r="W160" s="20"/>
      <c r="X160" s="87"/>
      <c r="Y160" s="20"/>
      <c r="Z160" s="20"/>
      <c r="AA160" s="20"/>
      <c r="AB160" s="66"/>
      <c r="AC160" s="20"/>
      <c r="AD160" s="87"/>
      <c r="AE160" s="20"/>
      <c r="AF160" s="87"/>
      <c r="AG160" s="87"/>
      <c r="AH160" s="20"/>
      <c r="AI160" s="87"/>
    </row>
    <row r="161" spans="10:35" x14ac:dyDescent="0.25">
      <c r="J161" s="19"/>
      <c r="K161" s="20"/>
      <c r="L161" s="20"/>
      <c r="M161" s="20"/>
      <c r="N161" s="20"/>
      <c r="O161" s="20"/>
      <c r="P161" s="19"/>
      <c r="R161" s="20"/>
      <c r="S161" s="20"/>
      <c r="T161" s="66"/>
      <c r="U161" s="20"/>
      <c r="V161" s="87"/>
      <c r="W161" s="20"/>
      <c r="X161" s="87"/>
      <c r="Y161" s="20"/>
      <c r="Z161" s="20"/>
      <c r="AA161" s="20"/>
      <c r="AB161" s="66"/>
      <c r="AC161" s="20"/>
      <c r="AD161" s="87"/>
      <c r="AE161" s="20"/>
      <c r="AF161" s="87"/>
      <c r="AG161" s="87"/>
      <c r="AH161" s="20"/>
      <c r="AI161" s="87"/>
    </row>
    <row r="162" spans="10:35" x14ac:dyDescent="0.25">
      <c r="J162" s="19"/>
      <c r="K162" s="20"/>
      <c r="L162" s="20"/>
      <c r="M162" s="20"/>
      <c r="N162" s="20"/>
      <c r="O162" s="20"/>
      <c r="P162" s="19"/>
      <c r="R162" s="20"/>
      <c r="S162" s="20"/>
      <c r="T162" s="66"/>
      <c r="U162" s="20"/>
      <c r="V162" s="87"/>
      <c r="W162" s="20"/>
      <c r="X162" s="87"/>
      <c r="Y162" s="20"/>
      <c r="Z162" s="20"/>
      <c r="AA162" s="20"/>
      <c r="AB162" s="66"/>
      <c r="AC162" s="20"/>
      <c r="AD162" s="87"/>
      <c r="AE162" s="20"/>
      <c r="AF162" s="87"/>
      <c r="AG162" s="87"/>
      <c r="AH162" s="20"/>
      <c r="AI162" s="87"/>
    </row>
  </sheetData>
  <mergeCells count="1">
    <mergeCell ref="B5:J5"/>
  </mergeCells>
  <phoneticPr fontId="3" type="noConversion"/>
  <pageMargins left="0.3" right="0.26" top="0.91" bottom="1" header="0.42" footer="0.5"/>
  <pageSetup scale="70" orientation="landscape" r:id="rId1"/>
  <headerFooter alignWithMargins="0">
    <oddHeader>&amp;L&amp;"Arial,Bold"&amp;12Attorney General&amp;R&amp;"Arial,Bold"&amp;12 Justice System Appropriations Subcommittee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48"/>
  <sheetViews>
    <sheetView topLeftCell="B1" zoomScale="70" zoomScaleNormal="70" workbookViewId="0">
      <pane ySplit="900"/>
      <selection activeCell="AS1" sqref="AS1:AU1048576"/>
      <selection pane="bottomLeft" activeCell="H1" sqref="H1"/>
    </sheetView>
  </sheetViews>
  <sheetFormatPr defaultColWidth="9.109375" defaultRowHeight="10.199999999999999" x14ac:dyDescent="0.2"/>
  <cols>
    <col min="1" max="1" width="2.109375" style="126" hidden="1" customWidth="1"/>
    <col min="2" max="2" width="11.33203125" style="126" customWidth="1"/>
    <col min="3" max="3" width="0.6640625" style="126" customWidth="1"/>
    <col min="4" max="4" width="11.109375" style="79" hidden="1" customWidth="1"/>
    <col min="5" max="5" width="0.6640625" style="126" customWidth="1"/>
    <col min="6" max="6" width="36.5546875" style="80" customWidth="1"/>
    <col min="7" max="7" width="0.5546875" style="81" customWidth="1"/>
    <col min="8" max="8" width="19" style="80" customWidth="1"/>
    <col min="9" max="9" width="0.33203125" style="81" customWidth="1"/>
    <col min="10" max="10" width="10.33203125" style="81" customWidth="1"/>
    <col min="11" max="11" width="0.6640625" style="82" customWidth="1"/>
    <col min="12" max="12" width="11.44140625" style="81" hidden="1" customWidth="1"/>
    <col min="13" max="13" width="1" style="81" hidden="1" customWidth="1"/>
    <col min="14" max="14" width="14.109375" style="126" hidden="1" customWidth="1"/>
    <col min="15" max="15" width="0.6640625" style="126" hidden="1" customWidth="1"/>
    <col min="16" max="16" width="0" style="126" hidden="1" customWidth="1"/>
    <col min="17" max="17" width="13.88671875" style="107" hidden="1" customWidth="1"/>
    <col min="18" max="18" width="12" style="81" hidden="1" customWidth="1"/>
    <col min="19" max="19" width="0.88671875" style="126" hidden="1" customWidth="1"/>
    <col min="20" max="20" width="14" style="126" hidden="1" customWidth="1"/>
    <col min="21" max="21" width="0.88671875" style="126" hidden="1" customWidth="1"/>
    <col min="22" max="22" width="12.109375" style="131" hidden="1" customWidth="1"/>
    <col min="23" max="23" width="0.5546875" style="126" hidden="1" customWidth="1"/>
    <col min="24" max="24" width="11.109375" style="132" hidden="1" customWidth="1"/>
    <col min="25" max="25" width="0.88671875" style="126" hidden="1" customWidth="1"/>
    <col min="26" max="26" width="10.33203125" style="132" hidden="1" customWidth="1"/>
    <col min="27" max="27" width="1" style="126" hidden="1" customWidth="1"/>
    <col min="28" max="28" width="12" style="95" hidden="1" customWidth="1"/>
    <col min="29" max="29" width="0.6640625" style="126" hidden="1" customWidth="1"/>
    <col min="30" max="30" width="12.109375" style="340" customWidth="1"/>
    <col min="31" max="31" width="0.5546875" style="132" customWidth="1"/>
    <col min="32" max="32" width="11.109375" style="132" customWidth="1"/>
    <col min="33" max="33" width="0.88671875" style="132" customWidth="1"/>
    <col min="34" max="34" width="10.33203125" style="132" customWidth="1"/>
    <col min="35" max="35" width="1" style="132" customWidth="1"/>
    <col min="36" max="36" width="12" style="95" customWidth="1"/>
    <col min="37" max="37" width="1" style="95" customWidth="1"/>
    <col min="38" max="38" width="12" style="95" customWidth="1"/>
    <col min="39" max="39" width="1.33203125" style="95" customWidth="1"/>
    <col min="40" max="40" width="10.33203125" style="132" customWidth="1"/>
    <col min="41" max="41" width="1" style="132" customWidth="1"/>
    <col min="42" max="42" width="12" style="95" customWidth="1"/>
    <col min="43" max="43" width="1" style="132" customWidth="1"/>
    <col min="44" max="44" width="13.109375" style="126" customWidth="1"/>
    <col min="45" max="45" width="43.109375" style="317" hidden="1" customWidth="1"/>
    <col min="46" max="46" width="0.88671875" style="82" hidden="1" customWidth="1"/>
    <col min="47" max="47" width="53.88671875" style="317" hidden="1" customWidth="1"/>
    <col min="48" max="50" width="9.109375" style="82"/>
    <col min="51" max="54" width="9.109375" style="82" customWidth="1"/>
    <col min="55" max="55" width="16.88671875" style="82" customWidth="1"/>
    <col min="56" max="61" width="9.109375" style="82"/>
    <col min="62" max="62" width="9.5546875" style="82" customWidth="1"/>
    <col min="63" max="65" width="9.109375" style="82" hidden="1" customWidth="1"/>
    <col min="66" max="270" width="9.109375" style="82"/>
    <col min="271" max="271" width="2.109375" style="82" customWidth="1"/>
    <col min="272" max="272" width="13" style="82" customWidth="1"/>
    <col min="273" max="273" width="0.6640625" style="82" customWidth="1"/>
    <col min="274" max="274" width="14.6640625" style="82" customWidth="1"/>
    <col min="275" max="275" width="1.109375" style="82" customWidth="1"/>
    <col min="276" max="276" width="39" style="82" customWidth="1"/>
    <col min="277" max="277" width="1" style="82" customWidth="1"/>
    <col min="278" max="278" width="19" style="82" customWidth="1"/>
    <col min="279" max="279" width="1" style="82" customWidth="1"/>
    <col min="280" max="280" width="12.6640625" style="82" customWidth="1"/>
    <col min="281" max="281" width="0.6640625" style="82" customWidth="1"/>
    <col min="282" max="282" width="11.44140625" style="82" customWidth="1"/>
    <col min="283" max="283" width="1" style="82" customWidth="1"/>
    <col min="284" max="284" width="12" style="82" customWidth="1"/>
    <col min="285" max="285" width="0.88671875" style="82" customWidth="1"/>
    <col min="286" max="287" width="0" style="82" hidden="1" customWidth="1"/>
    <col min="288" max="288" width="14.33203125" style="82" customWidth="1"/>
    <col min="289" max="289" width="0.5546875" style="82" customWidth="1"/>
    <col min="290" max="290" width="11.109375" style="82" customWidth="1"/>
    <col min="291" max="291" width="1.33203125" style="82" customWidth="1"/>
    <col min="292" max="292" width="9.33203125" style="82" customWidth="1"/>
    <col min="293" max="293" width="1" style="82" customWidth="1"/>
    <col min="294" max="294" width="12.44140625" style="82" customWidth="1"/>
    <col min="295" max="295" width="1.109375" style="82" customWidth="1"/>
    <col min="296" max="296" width="11.6640625" style="82" customWidth="1"/>
    <col min="297" max="297" width="1.109375" style="82" customWidth="1"/>
    <col min="298" max="298" width="9.109375" style="82"/>
    <col min="299" max="299" width="1.44140625" style="82" customWidth="1"/>
    <col min="300" max="300" width="13.88671875" style="82" customWidth="1"/>
    <col min="301" max="301" width="55.33203125" style="82" customWidth="1"/>
    <col min="302" max="302" width="2" style="82" customWidth="1"/>
    <col min="303" max="303" width="67.44140625" style="82" customWidth="1"/>
    <col min="304" max="306" width="9.109375" style="82"/>
    <col min="307" max="310" width="9.109375" style="82" customWidth="1"/>
    <col min="311" max="311" width="16.88671875" style="82" customWidth="1"/>
    <col min="312" max="317" width="9.109375" style="82"/>
    <col min="318" max="318" width="9.5546875" style="82" customWidth="1"/>
    <col min="319" max="321" width="0" style="82" hidden="1" customWidth="1"/>
    <col min="322" max="526" width="9.109375" style="82"/>
    <col min="527" max="527" width="2.109375" style="82" customWidth="1"/>
    <col min="528" max="528" width="13" style="82" customWidth="1"/>
    <col min="529" max="529" width="0.6640625" style="82" customWidth="1"/>
    <col min="530" max="530" width="14.6640625" style="82" customWidth="1"/>
    <col min="531" max="531" width="1.109375" style="82" customWidth="1"/>
    <col min="532" max="532" width="39" style="82" customWidth="1"/>
    <col min="533" max="533" width="1" style="82" customWidth="1"/>
    <col min="534" max="534" width="19" style="82" customWidth="1"/>
    <col min="535" max="535" width="1" style="82" customWidth="1"/>
    <col min="536" max="536" width="12.6640625" style="82" customWidth="1"/>
    <col min="537" max="537" width="0.6640625" style="82" customWidth="1"/>
    <col min="538" max="538" width="11.44140625" style="82" customWidth="1"/>
    <col min="539" max="539" width="1" style="82" customWidth="1"/>
    <col min="540" max="540" width="12" style="82" customWidth="1"/>
    <col min="541" max="541" width="0.88671875" style="82" customWidth="1"/>
    <col min="542" max="543" width="0" style="82" hidden="1" customWidth="1"/>
    <col min="544" max="544" width="14.33203125" style="82" customWidth="1"/>
    <col min="545" max="545" width="0.5546875" style="82" customWidth="1"/>
    <col min="546" max="546" width="11.109375" style="82" customWidth="1"/>
    <col min="547" max="547" width="1.33203125" style="82" customWidth="1"/>
    <col min="548" max="548" width="9.33203125" style="82" customWidth="1"/>
    <col min="549" max="549" width="1" style="82" customWidth="1"/>
    <col min="550" max="550" width="12.44140625" style="82" customWidth="1"/>
    <col min="551" max="551" width="1.109375" style="82" customWidth="1"/>
    <col min="552" max="552" width="11.6640625" style="82" customWidth="1"/>
    <col min="553" max="553" width="1.109375" style="82" customWidth="1"/>
    <col min="554" max="554" width="9.109375" style="82"/>
    <col min="555" max="555" width="1.44140625" style="82" customWidth="1"/>
    <col min="556" max="556" width="13.88671875" style="82" customWidth="1"/>
    <col min="557" max="557" width="55.33203125" style="82" customWidth="1"/>
    <col min="558" max="558" width="2" style="82" customWidth="1"/>
    <col min="559" max="559" width="67.44140625" style="82" customWidth="1"/>
    <col min="560" max="562" width="9.109375" style="82"/>
    <col min="563" max="566" width="9.109375" style="82" customWidth="1"/>
    <col min="567" max="567" width="16.88671875" style="82" customWidth="1"/>
    <col min="568" max="573" width="9.109375" style="82"/>
    <col min="574" max="574" width="9.5546875" style="82" customWidth="1"/>
    <col min="575" max="577" width="0" style="82" hidden="1" customWidth="1"/>
    <col min="578" max="782" width="9.109375" style="82"/>
    <col min="783" max="783" width="2.109375" style="82" customWidth="1"/>
    <col min="784" max="784" width="13" style="82" customWidth="1"/>
    <col min="785" max="785" width="0.6640625" style="82" customWidth="1"/>
    <col min="786" max="786" width="14.6640625" style="82" customWidth="1"/>
    <col min="787" max="787" width="1.109375" style="82" customWidth="1"/>
    <col min="788" max="788" width="39" style="82" customWidth="1"/>
    <col min="789" max="789" width="1" style="82" customWidth="1"/>
    <col min="790" max="790" width="19" style="82" customWidth="1"/>
    <col min="791" max="791" width="1" style="82" customWidth="1"/>
    <col min="792" max="792" width="12.6640625" style="82" customWidth="1"/>
    <col min="793" max="793" width="0.6640625" style="82" customWidth="1"/>
    <col min="794" max="794" width="11.44140625" style="82" customWidth="1"/>
    <col min="795" max="795" width="1" style="82" customWidth="1"/>
    <col min="796" max="796" width="12" style="82" customWidth="1"/>
    <col min="797" max="797" width="0.88671875" style="82" customWidth="1"/>
    <col min="798" max="799" width="0" style="82" hidden="1" customWidth="1"/>
    <col min="800" max="800" width="14.33203125" style="82" customWidth="1"/>
    <col min="801" max="801" width="0.5546875" style="82" customWidth="1"/>
    <col min="802" max="802" width="11.109375" style="82" customWidth="1"/>
    <col min="803" max="803" width="1.33203125" style="82" customWidth="1"/>
    <col min="804" max="804" width="9.33203125" style="82" customWidth="1"/>
    <col min="805" max="805" width="1" style="82" customWidth="1"/>
    <col min="806" max="806" width="12.44140625" style="82" customWidth="1"/>
    <col min="807" max="807" width="1.109375" style="82" customWidth="1"/>
    <col min="808" max="808" width="11.6640625" style="82" customWidth="1"/>
    <col min="809" max="809" width="1.109375" style="82" customWidth="1"/>
    <col min="810" max="810" width="9.109375" style="82"/>
    <col min="811" max="811" width="1.44140625" style="82" customWidth="1"/>
    <col min="812" max="812" width="13.88671875" style="82" customWidth="1"/>
    <col min="813" max="813" width="55.33203125" style="82" customWidth="1"/>
    <col min="814" max="814" width="2" style="82" customWidth="1"/>
    <col min="815" max="815" width="67.44140625" style="82" customWidth="1"/>
    <col min="816" max="818" width="9.109375" style="82"/>
    <col min="819" max="822" width="9.109375" style="82" customWidth="1"/>
    <col min="823" max="823" width="16.88671875" style="82" customWidth="1"/>
    <col min="824" max="829" width="9.109375" style="82"/>
    <col min="830" max="830" width="9.5546875" style="82" customWidth="1"/>
    <col min="831" max="833" width="0" style="82" hidden="1" customWidth="1"/>
    <col min="834" max="1038" width="9.109375" style="82"/>
    <col min="1039" max="1039" width="2.109375" style="82" customWidth="1"/>
    <col min="1040" max="1040" width="13" style="82" customWidth="1"/>
    <col min="1041" max="1041" width="0.6640625" style="82" customWidth="1"/>
    <col min="1042" max="1042" width="14.6640625" style="82" customWidth="1"/>
    <col min="1043" max="1043" width="1.109375" style="82" customWidth="1"/>
    <col min="1044" max="1044" width="39" style="82" customWidth="1"/>
    <col min="1045" max="1045" width="1" style="82" customWidth="1"/>
    <col min="1046" max="1046" width="19" style="82" customWidth="1"/>
    <col min="1047" max="1047" width="1" style="82" customWidth="1"/>
    <col min="1048" max="1048" width="12.6640625" style="82" customWidth="1"/>
    <col min="1049" max="1049" width="0.6640625" style="82" customWidth="1"/>
    <col min="1050" max="1050" width="11.44140625" style="82" customWidth="1"/>
    <col min="1051" max="1051" width="1" style="82" customWidth="1"/>
    <col min="1052" max="1052" width="12" style="82" customWidth="1"/>
    <col min="1053" max="1053" width="0.88671875" style="82" customWidth="1"/>
    <col min="1054" max="1055" width="0" style="82" hidden="1" customWidth="1"/>
    <col min="1056" max="1056" width="14.33203125" style="82" customWidth="1"/>
    <col min="1057" max="1057" width="0.5546875" style="82" customWidth="1"/>
    <col min="1058" max="1058" width="11.109375" style="82" customWidth="1"/>
    <col min="1059" max="1059" width="1.33203125" style="82" customWidth="1"/>
    <col min="1060" max="1060" width="9.33203125" style="82" customWidth="1"/>
    <col min="1061" max="1061" width="1" style="82" customWidth="1"/>
    <col min="1062" max="1062" width="12.44140625" style="82" customWidth="1"/>
    <col min="1063" max="1063" width="1.109375" style="82" customWidth="1"/>
    <col min="1064" max="1064" width="11.6640625" style="82" customWidth="1"/>
    <col min="1065" max="1065" width="1.109375" style="82" customWidth="1"/>
    <col min="1066" max="1066" width="9.109375" style="82"/>
    <col min="1067" max="1067" width="1.44140625" style="82" customWidth="1"/>
    <col min="1068" max="1068" width="13.88671875" style="82" customWidth="1"/>
    <col min="1069" max="1069" width="55.33203125" style="82" customWidth="1"/>
    <col min="1070" max="1070" width="2" style="82" customWidth="1"/>
    <col min="1071" max="1071" width="67.44140625" style="82" customWidth="1"/>
    <col min="1072" max="1074" width="9.109375" style="82"/>
    <col min="1075" max="1078" width="9.109375" style="82" customWidth="1"/>
    <col min="1079" max="1079" width="16.88671875" style="82" customWidth="1"/>
    <col min="1080" max="1085" width="9.109375" style="82"/>
    <col min="1086" max="1086" width="9.5546875" style="82" customWidth="1"/>
    <col min="1087" max="1089" width="0" style="82" hidden="1" customWidth="1"/>
    <col min="1090" max="1294" width="9.109375" style="82"/>
    <col min="1295" max="1295" width="2.109375" style="82" customWidth="1"/>
    <col min="1296" max="1296" width="13" style="82" customWidth="1"/>
    <col min="1297" max="1297" width="0.6640625" style="82" customWidth="1"/>
    <col min="1298" max="1298" width="14.6640625" style="82" customWidth="1"/>
    <col min="1299" max="1299" width="1.109375" style="82" customWidth="1"/>
    <col min="1300" max="1300" width="39" style="82" customWidth="1"/>
    <col min="1301" max="1301" width="1" style="82" customWidth="1"/>
    <col min="1302" max="1302" width="19" style="82" customWidth="1"/>
    <col min="1303" max="1303" width="1" style="82" customWidth="1"/>
    <col min="1304" max="1304" width="12.6640625" style="82" customWidth="1"/>
    <col min="1305" max="1305" width="0.6640625" style="82" customWidth="1"/>
    <col min="1306" max="1306" width="11.44140625" style="82" customWidth="1"/>
    <col min="1307" max="1307" width="1" style="82" customWidth="1"/>
    <col min="1308" max="1308" width="12" style="82" customWidth="1"/>
    <col min="1309" max="1309" width="0.88671875" style="82" customWidth="1"/>
    <col min="1310" max="1311" width="0" style="82" hidden="1" customWidth="1"/>
    <col min="1312" max="1312" width="14.33203125" style="82" customWidth="1"/>
    <col min="1313" max="1313" width="0.5546875" style="82" customWidth="1"/>
    <col min="1314" max="1314" width="11.109375" style="82" customWidth="1"/>
    <col min="1315" max="1315" width="1.33203125" style="82" customWidth="1"/>
    <col min="1316" max="1316" width="9.33203125" style="82" customWidth="1"/>
    <col min="1317" max="1317" width="1" style="82" customWidth="1"/>
    <col min="1318" max="1318" width="12.44140625" style="82" customWidth="1"/>
    <col min="1319" max="1319" width="1.109375" style="82" customWidth="1"/>
    <col min="1320" max="1320" width="11.6640625" style="82" customWidth="1"/>
    <col min="1321" max="1321" width="1.109375" style="82" customWidth="1"/>
    <col min="1322" max="1322" width="9.109375" style="82"/>
    <col min="1323" max="1323" width="1.44140625" style="82" customWidth="1"/>
    <col min="1324" max="1324" width="13.88671875" style="82" customWidth="1"/>
    <col min="1325" max="1325" width="55.33203125" style="82" customWidth="1"/>
    <col min="1326" max="1326" width="2" style="82" customWidth="1"/>
    <col min="1327" max="1327" width="67.44140625" style="82" customWidth="1"/>
    <col min="1328" max="1330" width="9.109375" style="82"/>
    <col min="1331" max="1334" width="9.109375" style="82" customWidth="1"/>
    <col min="1335" max="1335" width="16.88671875" style="82" customWidth="1"/>
    <col min="1336" max="1341" width="9.109375" style="82"/>
    <col min="1342" max="1342" width="9.5546875" style="82" customWidth="1"/>
    <col min="1343" max="1345" width="0" style="82" hidden="1" customWidth="1"/>
    <col min="1346" max="1550" width="9.109375" style="82"/>
    <col min="1551" max="1551" width="2.109375" style="82" customWidth="1"/>
    <col min="1552" max="1552" width="13" style="82" customWidth="1"/>
    <col min="1553" max="1553" width="0.6640625" style="82" customWidth="1"/>
    <col min="1554" max="1554" width="14.6640625" style="82" customWidth="1"/>
    <col min="1555" max="1555" width="1.109375" style="82" customWidth="1"/>
    <col min="1556" max="1556" width="39" style="82" customWidth="1"/>
    <col min="1557" max="1557" width="1" style="82" customWidth="1"/>
    <col min="1558" max="1558" width="19" style="82" customWidth="1"/>
    <col min="1559" max="1559" width="1" style="82" customWidth="1"/>
    <col min="1560" max="1560" width="12.6640625" style="82" customWidth="1"/>
    <col min="1561" max="1561" width="0.6640625" style="82" customWidth="1"/>
    <col min="1562" max="1562" width="11.44140625" style="82" customWidth="1"/>
    <col min="1563" max="1563" width="1" style="82" customWidth="1"/>
    <col min="1564" max="1564" width="12" style="82" customWidth="1"/>
    <col min="1565" max="1565" width="0.88671875" style="82" customWidth="1"/>
    <col min="1566" max="1567" width="0" style="82" hidden="1" customWidth="1"/>
    <col min="1568" max="1568" width="14.33203125" style="82" customWidth="1"/>
    <col min="1569" max="1569" width="0.5546875" style="82" customWidth="1"/>
    <col min="1570" max="1570" width="11.109375" style="82" customWidth="1"/>
    <col min="1571" max="1571" width="1.33203125" style="82" customWidth="1"/>
    <col min="1572" max="1572" width="9.33203125" style="82" customWidth="1"/>
    <col min="1573" max="1573" width="1" style="82" customWidth="1"/>
    <col min="1574" max="1574" width="12.44140625" style="82" customWidth="1"/>
    <col min="1575" max="1575" width="1.109375" style="82" customWidth="1"/>
    <col min="1576" max="1576" width="11.6640625" style="82" customWidth="1"/>
    <col min="1577" max="1577" width="1.109375" style="82" customWidth="1"/>
    <col min="1578" max="1578" width="9.109375" style="82"/>
    <col min="1579" max="1579" width="1.44140625" style="82" customWidth="1"/>
    <col min="1580" max="1580" width="13.88671875" style="82" customWidth="1"/>
    <col min="1581" max="1581" width="55.33203125" style="82" customWidth="1"/>
    <col min="1582" max="1582" width="2" style="82" customWidth="1"/>
    <col min="1583" max="1583" width="67.44140625" style="82" customWidth="1"/>
    <col min="1584" max="1586" width="9.109375" style="82"/>
    <col min="1587" max="1590" width="9.109375" style="82" customWidth="1"/>
    <col min="1591" max="1591" width="16.88671875" style="82" customWidth="1"/>
    <col min="1592" max="1597" width="9.109375" style="82"/>
    <col min="1598" max="1598" width="9.5546875" style="82" customWidth="1"/>
    <col min="1599" max="1601" width="0" style="82" hidden="1" customWidth="1"/>
    <col min="1602" max="1806" width="9.109375" style="82"/>
    <col min="1807" max="1807" width="2.109375" style="82" customWidth="1"/>
    <col min="1808" max="1808" width="13" style="82" customWidth="1"/>
    <col min="1809" max="1809" width="0.6640625" style="82" customWidth="1"/>
    <col min="1810" max="1810" width="14.6640625" style="82" customWidth="1"/>
    <col min="1811" max="1811" width="1.109375" style="82" customWidth="1"/>
    <col min="1812" max="1812" width="39" style="82" customWidth="1"/>
    <col min="1813" max="1813" width="1" style="82" customWidth="1"/>
    <col min="1814" max="1814" width="19" style="82" customWidth="1"/>
    <col min="1815" max="1815" width="1" style="82" customWidth="1"/>
    <col min="1816" max="1816" width="12.6640625" style="82" customWidth="1"/>
    <col min="1817" max="1817" width="0.6640625" style="82" customWidth="1"/>
    <col min="1818" max="1818" width="11.44140625" style="82" customWidth="1"/>
    <col min="1819" max="1819" width="1" style="82" customWidth="1"/>
    <col min="1820" max="1820" width="12" style="82" customWidth="1"/>
    <col min="1821" max="1821" width="0.88671875" style="82" customWidth="1"/>
    <col min="1822" max="1823" width="0" style="82" hidden="1" customWidth="1"/>
    <col min="1824" max="1824" width="14.33203125" style="82" customWidth="1"/>
    <col min="1825" max="1825" width="0.5546875" style="82" customWidth="1"/>
    <col min="1826" max="1826" width="11.109375" style="82" customWidth="1"/>
    <col min="1827" max="1827" width="1.33203125" style="82" customWidth="1"/>
    <col min="1828" max="1828" width="9.33203125" style="82" customWidth="1"/>
    <col min="1829" max="1829" width="1" style="82" customWidth="1"/>
    <col min="1830" max="1830" width="12.44140625" style="82" customWidth="1"/>
    <col min="1831" max="1831" width="1.109375" style="82" customWidth="1"/>
    <col min="1832" max="1832" width="11.6640625" style="82" customWidth="1"/>
    <col min="1833" max="1833" width="1.109375" style="82" customWidth="1"/>
    <col min="1834" max="1834" width="9.109375" style="82"/>
    <col min="1835" max="1835" width="1.44140625" style="82" customWidth="1"/>
    <col min="1836" max="1836" width="13.88671875" style="82" customWidth="1"/>
    <col min="1837" max="1837" width="55.33203125" style="82" customWidth="1"/>
    <col min="1838" max="1838" width="2" style="82" customWidth="1"/>
    <col min="1839" max="1839" width="67.44140625" style="82" customWidth="1"/>
    <col min="1840" max="1842" width="9.109375" style="82"/>
    <col min="1843" max="1846" width="9.109375" style="82" customWidth="1"/>
    <col min="1847" max="1847" width="16.88671875" style="82" customWidth="1"/>
    <col min="1848" max="1853" width="9.109375" style="82"/>
    <col min="1854" max="1854" width="9.5546875" style="82" customWidth="1"/>
    <col min="1855" max="1857" width="0" style="82" hidden="1" customWidth="1"/>
    <col min="1858" max="2062" width="9.109375" style="82"/>
    <col min="2063" max="2063" width="2.109375" style="82" customWidth="1"/>
    <col min="2064" max="2064" width="13" style="82" customWidth="1"/>
    <col min="2065" max="2065" width="0.6640625" style="82" customWidth="1"/>
    <col min="2066" max="2066" width="14.6640625" style="82" customWidth="1"/>
    <col min="2067" max="2067" width="1.109375" style="82" customWidth="1"/>
    <col min="2068" max="2068" width="39" style="82" customWidth="1"/>
    <col min="2069" max="2069" width="1" style="82" customWidth="1"/>
    <col min="2070" max="2070" width="19" style="82" customWidth="1"/>
    <col min="2071" max="2071" width="1" style="82" customWidth="1"/>
    <col min="2072" max="2072" width="12.6640625" style="82" customWidth="1"/>
    <col min="2073" max="2073" width="0.6640625" style="82" customWidth="1"/>
    <col min="2074" max="2074" width="11.44140625" style="82" customWidth="1"/>
    <col min="2075" max="2075" width="1" style="82" customWidth="1"/>
    <col min="2076" max="2076" width="12" style="82" customWidth="1"/>
    <col min="2077" max="2077" width="0.88671875" style="82" customWidth="1"/>
    <col min="2078" max="2079" width="0" style="82" hidden="1" customWidth="1"/>
    <col min="2080" max="2080" width="14.33203125" style="82" customWidth="1"/>
    <col min="2081" max="2081" width="0.5546875" style="82" customWidth="1"/>
    <col min="2082" max="2082" width="11.109375" style="82" customWidth="1"/>
    <col min="2083" max="2083" width="1.33203125" style="82" customWidth="1"/>
    <col min="2084" max="2084" width="9.33203125" style="82" customWidth="1"/>
    <col min="2085" max="2085" width="1" style="82" customWidth="1"/>
    <col min="2086" max="2086" width="12.44140625" style="82" customWidth="1"/>
    <col min="2087" max="2087" width="1.109375" style="82" customWidth="1"/>
    <col min="2088" max="2088" width="11.6640625" style="82" customWidth="1"/>
    <col min="2089" max="2089" width="1.109375" style="82" customWidth="1"/>
    <col min="2090" max="2090" width="9.109375" style="82"/>
    <col min="2091" max="2091" width="1.44140625" style="82" customWidth="1"/>
    <col min="2092" max="2092" width="13.88671875" style="82" customWidth="1"/>
    <col min="2093" max="2093" width="55.33203125" style="82" customWidth="1"/>
    <col min="2094" max="2094" width="2" style="82" customWidth="1"/>
    <col min="2095" max="2095" width="67.44140625" style="82" customWidth="1"/>
    <col min="2096" max="2098" width="9.109375" style="82"/>
    <col min="2099" max="2102" width="9.109375" style="82" customWidth="1"/>
    <col min="2103" max="2103" width="16.88671875" style="82" customWidth="1"/>
    <col min="2104" max="2109" width="9.109375" style="82"/>
    <col min="2110" max="2110" width="9.5546875" style="82" customWidth="1"/>
    <col min="2111" max="2113" width="0" style="82" hidden="1" customWidth="1"/>
    <col min="2114" max="2318" width="9.109375" style="82"/>
    <col min="2319" max="2319" width="2.109375" style="82" customWidth="1"/>
    <col min="2320" max="2320" width="13" style="82" customWidth="1"/>
    <col min="2321" max="2321" width="0.6640625" style="82" customWidth="1"/>
    <col min="2322" max="2322" width="14.6640625" style="82" customWidth="1"/>
    <col min="2323" max="2323" width="1.109375" style="82" customWidth="1"/>
    <col min="2324" max="2324" width="39" style="82" customWidth="1"/>
    <col min="2325" max="2325" width="1" style="82" customWidth="1"/>
    <col min="2326" max="2326" width="19" style="82" customWidth="1"/>
    <col min="2327" max="2327" width="1" style="82" customWidth="1"/>
    <col min="2328" max="2328" width="12.6640625" style="82" customWidth="1"/>
    <col min="2329" max="2329" width="0.6640625" style="82" customWidth="1"/>
    <col min="2330" max="2330" width="11.44140625" style="82" customWidth="1"/>
    <col min="2331" max="2331" width="1" style="82" customWidth="1"/>
    <col min="2332" max="2332" width="12" style="82" customWidth="1"/>
    <col min="2333" max="2333" width="0.88671875" style="82" customWidth="1"/>
    <col min="2334" max="2335" width="0" style="82" hidden="1" customWidth="1"/>
    <col min="2336" max="2336" width="14.33203125" style="82" customWidth="1"/>
    <col min="2337" max="2337" width="0.5546875" style="82" customWidth="1"/>
    <col min="2338" max="2338" width="11.109375" style="82" customWidth="1"/>
    <col min="2339" max="2339" width="1.33203125" style="82" customWidth="1"/>
    <col min="2340" max="2340" width="9.33203125" style="82" customWidth="1"/>
    <col min="2341" max="2341" width="1" style="82" customWidth="1"/>
    <col min="2342" max="2342" width="12.44140625" style="82" customWidth="1"/>
    <col min="2343" max="2343" width="1.109375" style="82" customWidth="1"/>
    <col min="2344" max="2344" width="11.6640625" style="82" customWidth="1"/>
    <col min="2345" max="2345" width="1.109375" style="82" customWidth="1"/>
    <col min="2346" max="2346" width="9.109375" style="82"/>
    <col min="2347" max="2347" width="1.44140625" style="82" customWidth="1"/>
    <col min="2348" max="2348" width="13.88671875" style="82" customWidth="1"/>
    <col min="2349" max="2349" width="55.33203125" style="82" customWidth="1"/>
    <col min="2350" max="2350" width="2" style="82" customWidth="1"/>
    <col min="2351" max="2351" width="67.44140625" style="82" customWidth="1"/>
    <col min="2352" max="2354" width="9.109375" style="82"/>
    <col min="2355" max="2358" width="9.109375" style="82" customWidth="1"/>
    <col min="2359" max="2359" width="16.88671875" style="82" customWidth="1"/>
    <col min="2360" max="2365" width="9.109375" style="82"/>
    <col min="2366" max="2366" width="9.5546875" style="82" customWidth="1"/>
    <col min="2367" max="2369" width="0" style="82" hidden="1" customWidth="1"/>
    <col min="2370" max="2574" width="9.109375" style="82"/>
    <col min="2575" max="2575" width="2.109375" style="82" customWidth="1"/>
    <col min="2576" max="2576" width="13" style="82" customWidth="1"/>
    <col min="2577" max="2577" width="0.6640625" style="82" customWidth="1"/>
    <col min="2578" max="2578" width="14.6640625" style="82" customWidth="1"/>
    <col min="2579" max="2579" width="1.109375" style="82" customWidth="1"/>
    <col min="2580" max="2580" width="39" style="82" customWidth="1"/>
    <col min="2581" max="2581" width="1" style="82" customWidth="1"/>
    <col min="2582" max="2582" width="19" style="82" customWidth="1"/>
    <col min="2583" max="2583" width="1" style="82" customWidth="1"/>
    <col min="2584" max="2584" width="12.6640625" style="82" customWidth="1"/>
    <col min="2585" max="2585" width="0.6640625" style="82" customWidth="1"/>
    <col min="2586" max="2586" width="11.44140625" style="82" customWidth="1"/>
    <col min="2587" max="2587" width="1" style="82" customWidth="1"/>
    <col min="2588" max="2588" width="12" style="82" customWidth="1"/>
    <col min="2589" max="2589" width="0.88671875" style="82" customWidth="1"/>
    <col min="2590" max="2591" width="0" style="82" hidden="1" customWidth="1"/>
    <col min="2592" max="2592" width="14.33203125" style="82" customWidth="1"/>
    <col min="2593" max="2593" width="0.5546875" style="82" customWidth="1"/>
    <col min="2594" max="2594" width="11.109375" style="82" customWidth="1"/>
    <col min="2595" max="2595" width="1.33203125" style="82" customWidth="1"/>
    <col min="2596" max="2596" width="9.33203125" style="82" customWidth="1"/>
    <col min="2597" max="2597" width="1" style="82" customWidth="1"/>
    <col min="2598" max="2598" width="12.44140625" style="82" customWidth="1"/>
    <col min="2599" max="2599" width="1.109375" style="82" customWidth="1"/>
    <col min="2600" max="2600" width="11.6640625" style="82" customWidth="1"/>
    <col min="2601" max="2601" width="1.109375" style="82" customWidth="1"/>
    <col min="2602" max="2602" width="9.109375" style="82"/>
    <col min="2603" max="2603" width="1.44140625" style="82" customWidth="1"/>
    <col min="2604" max="2604" width="13.88671875" style="82" customWidth="1"/>
    <col min="2605" max="2605" width="55.33203125" style="82" customWidth="1"/>
    <col min="2606" max="2606" width="2" style="82" customWidth="1"/>
    <col min="2607" max="2607" width="67.44140625" style="82" customWidth="1"/>
    <col min="2608" max="2610" width="9.109375" style="82"/>
    <col min="2611" max="2614" width="9.109375" style="82" customWidth="1"/>
    <col min="2615" max="2615" width="16.88671875" style="82" customWidth="1"/>
    <col min="2616" max="2621" width="9.109375" style="82"/>
    <col min="2622" max="2622" width="9.5546875" style="82" customWidth="1"/>
    <col min="2623" max="2625" width="0" style="82" hidden="1" customWidth="1"/>
    <col min="2626" max="2830" width="9.109375" style="82"/>
    <col min="2831" max="2831" width="2.109375" style="82" customWidth="1"/>
    <col min="2832" max="2832" width="13" style="82" customWidth="1"/>
    <col min="2833" max="2833" width="0.6640625" style="82" customWidth="1"/>
    <col min="2834" max="2834" width="14.6640625" style="82" customWidth="1"/>
    <col min="2835" max="2835" width="1.109375" style="82" customWidth="1"/>
    <col min="2836" max="2836" width="39" style="82" customWidth="1"/>
    <col min="2837" max="2837" width="1" style="82" customWidth="1"/>
    <col min="2838" max="2838" width="19" style="82" customWidth="1"/>
    <col min="2839" max="2839" width="1" style="82" customWidth="1"/>
    <col min="2840" max="2840" width="12.6640625" style="82" customWidth="1"/>
    <col min="2841" max="2841" width="0.6640625" style="82" customWidth="1"/>
    <col min="2842" max="2842" width="11.44140625" style="82" customWidth="1"/>
    <col min="2843" max="2843" width="1" style="82" customWidth="1"/>
    <col min="2844" max="2844" width="12" style="82" customWidth="1"/>
    <col min="2845" max="2845" width="0.88671875" style="82" customWidth="1"/>
    <col min="2846" max="2847" width="0" style="82" hidden="1" customWidth="1"/>
    <col min="2848" max="2848" width="14.33203125" style="82" customWidth="1"/>
    <col min="2849" max="2849" width="0.5546875" style="82" customWidth="1"/>
    <col min="2850" max="2850" width="11.109375" style="82" customWidth="1"/>
    <col min="2851" max="2851" width="1.33203125" style="82" customWidth="1"/>
    <col min="2852" max="2852" width="9.33203125" style="82" customWidth="1"/>
    <col min="2853" max="2853" width="1" style="82" customWidth="1"/>
    <col min="2854" max="2854" width="12.44140625" style="82" customWidth="1"/>
    <col min="2855" max="2855" width="1.109375" style="82" customWidth="1"/>
    <col min="2856" max="2856" width="11.6640625" style="82" customWidth="1"/>
    <col min="2857" max="2857" width="1.109375" style="82" customWidth="1"/>
    <col min="2858" max="2858" width="9.109375" style="82"/>
    <col min="2859" max="2859" width="1.44140625" style="82" customWidth="1"/>
    <col min="2860" max="2860" width="13.88671875" style="82" customWidth="1"/>
    <col min="2861" max="2861" width="55.33203125" style="82" customWidth="1"/>
    <col min="2862" max="2862" width="2" style="82" customWidth="1"/>
    <col min="2863" max="2863" width="67.44140625" style="82" customWidth="1"/>
    <col min="2864" max="2866" width="9.109375" style="82"/>
    <col min="2867" max="2870" width="9.109375" style="82" customWidth="1"/>
    <col min="2871" max="2871" width="16.88671875" style="82" customWidth="1"/>
    <col min="2872" max="2877" width="9.109375" style="82"/>
    <col min="2878" max="2878" width="9.5546875" style="82" customWidth="1"/>
    <col min="2879" max="2881" width="0" style="82" hidden="1" customWidth="1"/>
    <col min="2882" max="3086" width="9.109375" style="82"/>
    <col min="3087" max="3087" width="2.109375" style="82" customWidth="1"/>
    <col min="3088" max="3088" width="13" style="82" customWidth="1"/>
    <col min="3089" max="3089" width="0.6640625" style="82" customWidth="1"/>
    <col min="3090" max="3090" width="14.6640625" style="82" customWidth="1"/>
    <col min="3091" max="3091" width="1.109375" style="82" customWidth="1"/>
    <col min="3092" max="3092" width="39" style="82" customWidth="1"/>
    <col min="3093" max="3093" width="1" style="82" customWidth="1"/>
    <col min="3094" max="3094" width="19" style="82" customWidth="1"/>
    <col min="3095" max="3095" width="1" style="82" customWidth="1"/>
    <col min="3096" max="3096" width="12.6640625" style="82" customWidth="1"/>
    <col min="3097" max="3097" width="0.6640625" style="82" customWidth="1"/>
    <col min="3098" max="3098" width="11.44140625" style="82" customWidth="1"/>
    <col min="3099" max="3099" width="1" style="82" customWidth="1"/>
    <col min="3100" max="3100" width="12" style="82" customWidth="1"/>
    <col min="3101" max="3101" width="0.88671875" style="82" customWidth="1"/>
    <col min="3102" max="3103" width="0" style="82" hidden="1" customWidth="1"/>
    <col min="3104" max="3104" width="14.33203125" style="82" customWidth="1"/>
    <col min="3105" max="3105" width="0.5546875" style="82" customWidth="1"/>
    <col min="3106" max="3106" width="11.109375" style="82" customWidth="1"/>
    <col min="3107" max="3107" width="1.33203125" style="82" customWidth="1"/>
    <col min="3108" max="3108" width="9.33203125" style="82" customWidth="1"/>
    <col min="3109" max="3109" width="1" style="82" customWidth="1"/>
    <col min="3110" max="3110" width="12.44140625" style="82" customWidth="1"/>
    <col min="3111" max="3111" width="1.109375" style="82" customWidth="1"/>
    <col min="3112" max="3112" width="11.6640625" style="82" customWidth="1"/>
    <col min="3113" max="3113" width="1.109375" style="82" customWidth="1"/>
    <col min="3114" max="3114" width="9.109375" style="82"/>
    <col min="3115" max="3115" width="1.44140625" style="82" customWidth="1"/>
    <col min="3116" max="3116" width="13.88671875" style="82" customWidth="1"/>
    <col min="3117" max="3117" width="55.33203125" style="82" customWidth="1"/>
    <col min="3118" max="3118" width="2" style="82" customWidth="1"/>
    <col min="3119" max="3119" width="67.44140625" style="82" customWidth="1"/>
    <col min="3120" max="3122" width="9.109375" style="82"/>
    <col min="3123" max="3126" width="9.109375" style="82" customWidth="1"/>
    <col min="3127" max="3127" width="16.88671875" style="82" customWidth="1"/>
    <col min="3128" max="3133" width="9.109375" style="82"/>
    <col min="3134" max="3134" width="9.5546875" style="82" customWidth="1"/>
    <col min="3135" max="3137" width="0" style="82" hidden="1" customWidth="1"/>
    <col min="3138" max="3342" width="9.109375" style="82"/>
    <col min="3343" max="3343" width="2.109375" style="82" customWidth="1"/>
    <col min="3344" max="3344" width="13" style="82" customWidth="1"/>
    <col min="3345" max="3345" width="0.6640625" style="82" customWidth="1"/>
    <col min="3346" max="3346" width="14.6640625" style="82" customWidth="1"/>
    <col min="3347" max="3347" width="1.109375" style="82" customWidth="1"/>
    <col min="3348" max="3348" width="39" style="82" customWidth="1"/>
    <col min="3349" max="3349" width="1" style="82" customWidth="1"/>
    <col min="3350" max="3350" width="19" style="82" customWidth="1"/>
    <col min="3351" max="3351" width="1" style="82" customWidth="1"/>
    <col min="3352" max="3352" width="12.6640625" style="82" customWidth="1"/>
    <col min="3353" max="3353" width="0.6640625" style="82" customWidth="1"/>
    <col min="3354" max="3354" width="11.44140625" style="82" customWidth="1"/>
    <col min="3355" max="3355" width="1" style="82" customWidth="1"/>
    <col min="3356" max="3356" width="12" style="82" customWidth="1"/>
    <col min="3357" max="3357" width="0.88671875" style="82" customWidth="1"/>
    <col min="3358" max="3359" width="0" style="82" hidden="1" customWidth="1"/>
    <col min="3360" max="3360" width="14.33203125" style="82" customWidth="1"/>
    <col min="3361" max="3361" width="0.5546875" style="82" customWidth="1"/>
    <col min="3362" max="3362" width="11.109375" style="82" customWidth="1"/>
    <col min="3363" max="3363" width="1.33203125" style="82" customWidth="1"/>
    <col min="3364" max="3364" width="9.33203125" style="82" customWidth="1"/>
    <col min="3365" max="3365" width="1" style="82" customWidth="1"/>
    <col min="3366" max="3366" width="12.44140625" style="82" customWidth="1"/>
    <col min="3367" max="3367" width="1.109375" style="82" customWidth="1"/>
    <col min="3368" max="3368" width="11.6640625" style="82" customWidth="1"/>
    <col min="3369" max="3369" width="1.109375" style="82" customWidth="1"/>
    <col min="3370" max="3370" width="9.109375" style="82"/>
    <col min="3371" max="3371" width="1.44140625" style="82" customWidth="1"/>
    <col min="3372" max="3372" width="13.88671875" style="82" customWidth="1"/>
    <col min="3373" max="3373" width="55.33203125" style="82" customWidth="1"/>
    <col min="3374" max="3374" width="2" style="82" customWidth="1"/>
    <col min="3375" max="3375" width="67.44140625" style="82" customWidth="1"/>
    <col min="3376" max="3378" width="9.109375" style="82"/>
    <col min="3379" max="3382" width="9.109375" style="82" customWidth="1"/>
    <col min="3383" max="3383" width="16.88671875" style="82" customWidth="1"/>
    <col min="3384" max="3389" width="9.109375" style="82"/>
    <col min="3390" max="3390" width="9.5546875" style="82" customWidth="1"/>
    <col min="3391" max="3393" width="0" style="82" hidden="1" customWidth="1"/>
    <col min="3394" max="3598" width="9.109375" style="82"/>
    <col min="3599" max="3599" width="2.109375" style="82" customWidth="1"/>
    <col min="3600" max="3600" width="13" style="82" customWidth="1"/>
    <col min="3601" max="3601" width="0.6640625" style="82" customWidth="1"/>
    <col min="3602" max="3602" width="14.6640625" style="82" customWidth="1"/>
    <col min="3603" max="3603" width="1.109375" style="82" customWidth="1"/>
    <col min="3604" max="3604" width="39" style="82" customWidth="1"/>
    <col min="3605" max="3605" width="1" style="82" customWidth="1"/>
    <col min="3606" max="3606" width="19" style="82" customWidth="1"/>
    <col min="3607" max="3607" width="1" style="82" customWidth="1"/>
    <col min="3608" max="3608" width="12.6640625" style="82" customWidth="1"/>
    <col min="3609" max="3609" width="0.6640625" style="82" customWidth="1"/>
    <col min="3610" max="3610" width="11.44140625" style="82" customWidth="1"/>
    <col min="3611" max="3611" width="1" style="82" customWidth="1"/>
    <col min="3612" max="3612" width="12" style="82" customWidth="1"/>
    <col min="3613" max="3613" width="0.88671875" style="82" customWidth="1"/>
    <col min="3614" max="3615" width="0" style="82" hidden="1" customWidth="1"/>
    <col min="3616" max="3616" width="14.33203125" style="82" customWidth="1"/>
    <col min="3617" max="3617" width="0.5546875" style="82" customWidth="1"/>
    <col min="3618" max="3618" width="11.109375" style="82" customWidth="1"/>
    <col min="3619" max="3619" width="1.33203125" style="82" customWidth="1"/>
    <col min="3620" max="3620" width="9.33203125" style="82" customWidth="1"/>
    <col min="3621" max="3621" width="1" style="82" customWidth="1"/>
    <col min="3622" max="3622" width="12.44140625" style="82" customWidth="1"/>
    <col min="3623" max="3623" width="1.109375" style="82" customWidth="1"/>
    <col min="3624" max="3624" width="11.6640625" style="82" customWidth="1"/>
    <col min="3625" max="3625" width="1.109375" style="82" customWidth="1"/>
    <col min="3626" max="3626" width="9.109375" style="82"/>
    <col min="3627" max="3627" width="1.44140625" style="82" customWidth="1"/>
    <col min="3628" max="3628" width="13.88671875" style="82" customWidth="1"/>
    <col min="3629" max="3629" width="55.33203125" style="82" customWidth="1"/>
    <col min="3630" max="3630" width="2" style="82" customWidth="1"/>
    <col min="3631" max="3631" width="67.44140625" style="82" customWidth="1"/>
    <col min="3632" max="3634" width="9.109375" style="82"/>
    <col min="3635" max="3638" width="9.109375" style="82" customWidth="1"/>
    <col min="3639" max="3639" width="16.88671875" style="82" customWidth="1"/>
    <col min="3640" max="3645" width="9.109375" style="82"/>
    <col min="3646" max="3646" width="9.5546875" style="82" customWidth="1"/>
    <col min="3647" max="3649" width="0" style="82" hidden="1" customWidth="1"/>
    <col min="3650" max="3854" width="9.109375" style="82"/>
    <col min="3855" max="3855" width="2.109375" style="82" customWidth="1"/>
    <col min="3856" max="3856" width="13" style="82" customWidth="1"/>
    <col min="3857" max="3857" width="0.6640625" style="82" customWidth="1"/>
    <col min="3858" max="3858" width="14.6640625" style="82" customWidth="1"/>
    <col min="3859" max="3859" width="1.109375" style="82" customWidth="1"/>
    <col min="3860" max="3860" width="39" style="82" customWidth="1"/>
    <col min="3861" max="3861" width="1" style="82" customWidth="1"/>
    <col min="3862" max="3862" width="19" style="82" customWidth="1"/>
    <col min="3863" max="3863" width="1" style="82" customWidth="1"/>
    <col min="3864" max="3864" width="12.6640625" style="82" customWidth="1"/>
    <col min="3865" max="3865" width="0.6640625" style="82" customWidth="1"/>
    <col min="3866" max="3866" width="11.44140625" style="82" customWidth="1"/>
    <col min="3867" max="3867" width="1" style="82" customWidth="1"/>
    <col min="3868" max="3868" width="12" style="82" customWidth="1"/>
    <col min="3869" max="3869" width="0.88671875" style="82" customWidth="1"/>
    <col min="3870" max="3871" width="0" style="82" hidden="1" customWidth="1"/>
    <col min="3872" max="3872" width="14.33203125" style="82" customWidth="1"/>
    <col min="3873" max="3873" width="0.5546875" style="82" customWidth="1"/>
    <col min="3874" max="3874" width="11.109375" style="82" customWidth="1"/>
    <col min="3875" max="3875" width="1.33203125" style="82" customWidth="1"/>
    <col min="3876" max="3876" width="9.33203125" style="82" customWidth="1"/>
    <col min="3877" max="3877" width="1" style="82" customWidth="1"/>
    <col min="3878" max="3878" width="12.44140625" style="82" customWidth="1"/>
    <col min="3879" max="3879" width="1.109375" style="82" customWidth="1"/>
    <col min="3880" max="3880" width="11.6640625" style="82" customWidth="1"/>
    <col min="3881" max="3881" width="1.109375" style="82" customWidth="1"/>
    <col min="3882" max="3882" width="9.109375" style="82"/>
    <col min="3883" max="3883" width="1.44140625" style="82" customWidth="1"/>
    <col min="3884" max="3884" width="13.88671875" style="82" customWidth="1"/>
    <col min="3885" max="3885" width="55.33203125" style="82" customWidth="1"/>
    <col min="3886" max="3886" width="2" style="82" customWidth="1"/>
    <col min="3887" max="3887" width="67.44140625" style="82" customWidth="1"/>
    <col min="3888" max="3890" width="9.109375" style="82"/>
    <col min="3891" max="3894" width="9.109375" style="82" customWidth="1"/>
    <col min="3895" max="3895" width="16.88671875" style="82" customWidth="1"/>
    <col min="3896" max="3901" width="9.109375" style="82"/>
    <col min="3902" max="3902" width="9.5546875" style="82" customWidth="1"/>
    <col min="3903" max="3905" width="0" style="82" hidden="1" customWidth="1"/>
    <col min="3906" max="4110" width="9.109375" style="82"/>
    <col min="4111" max="4111" width="2.109375" style="82" customWidth="1"/>
    <col min="4112" max="4112" width="13" style="82" customWidth="1"/>
    <col min="4113" max="4113" width="0.6640625" style="82" customWidth="1"/>
    <col min="4114" max="4114" width="14.6640625" style="82" customWidth="1"/>
    <col min="4115" max="4115" width="1.109375" style="82" customWidth="1"/>
    <col min="4116" max="4116" width="39" style="82" customWidth="1"/>
    <col min="4117" max="4117" width="1" style="82" customWidth="1"/>
    <col min="4118" max="4118" width="19" style="82" customWidth="1"/>
    <col min="4119" max="4119" width="1" style="82" customWidth="1"/>
    <col min="4120" max="4120" width="12.6640625" style="82" customWidth="1"/>
    <col min="4121" max="4121" width="0.6640625" style="82" customWidth="1"/>
    <col min="4122" max="4122" width="11.44140625" style="82" customWidth="1"/>
    <col min="4123" max="4123" width="1" style="82" customWidth="1"/>
    <col min="4124" max="4124" width="12" style="82" customWidth="1"/>
    <col min="4125" max="4125" width="0.88671875" style="82" customWidth="1"/>
    <col min="4126" max="4127" width="0" style="82" hidden="1" customWidth="1"/>
    <col min="4128" max="4128" width="14.33203125" style="82" customWidth="1"/>
    <col min="4129" max="4129" width="0.5546875" style="82" customWidth="1"/>
    <col min="4130" max="4130" width="11.109375" style="82" customWidth="1"/>
    <col min="4131" max="4131" width="1.33203125" style="82" customWidth="1"/>
    <col min="4132" max="4132" width="9.33203125" style="82" customWidth="1"/>
    <col min="4133" max="4133" width="1" style="82" customWidth="1"/>
    <col min="4134" max="4134" width="12.44140625" style="82" customWidth="1"/>
    <col min="4135" max="4135" width="1.109375" style="82" customWidth="1"/>
    <col min="4136" max="4136" width="11.6640625" style="82" customWidth="1"/>
    <col min="4137" max="4137" width="1.109375" style="82" customWidth="1"/>
    <col min="4138" max="4138" width="9.109375" style="82"/>
    <col min="4139" max="4139" width="1.44140625" style="82" customWidth="1"/>
    <col min="4140" max="4140" width="13.88671875" style="82" customWidth="1"/>
    <col min="4141" max="4141" width="55.33203125" style="82" customWidth="1"/>
    <col min="4142" max="4142" width="2" style="82" customWidth="1"/>
    <col min="4143" max="4143" width="67.44140625" style="82" customWidth="1"/>
    <col min="4144" max="4146" width="9.109375" style="82"/>
    <col min="4147" max="4150" width="9.109375" style="82" customWidth="1"/>
    <col min="4151" max="4151" width="16.88671875" style="82" customWidth="1"/>
    <col min="4152" max="4157" width="9.109375" style="82"/>
    <col min="4158" max="4158" width="9.5546875" style="82" customWidth="1"/>
    <col min="4159" max="4161" width="0" style="82" hidden="1" customWidth="1"/>
    <col min="4162" max="4366" width="9.109375" style="82"/>
    <col min="4367" max="4367" width="2.109375" style="82" customWidth="1"/>
    <col min="4368" max="4368" width="13" style="82" customWidth="1"/>
    <col min="4369" max="4369" width="0.6640625" style="82" customWidth="1"/>
    <col min="4370" max="4370" width="14.6640625" style="82" customWidth="1"/>
    <col min="4371" max="4371" width="1.109375" style="82" customWidth="1"/>
    <col min="4372" max="4372" width="39" style="82" customWidth="1"/>
    <col min="4373" max="4373" width="1" style="82" customWidth="1"/>
    <col min="4374" max="4374" width="19" style="82" customWidth="1"/>
    <col min="4375" max="4375" width="1" style="82" customWidth="1"/>
    <col min="4376" max="4376" width="12.6640625" style="82" customWidth="1"/>
    <col min="4377" max="4377" width="0.6640625" style="82" customWidth="1"/>
    <col min="4378" max="4378" width="11.44140625" style="82" customWidth="1"/>
    <col min="4379" max="4379" width="1" style="82" customWidth="1"/>
    <col min="4380" max="4380" width="12" style="82" customWidth="1"/>
    <col min="4381" max="4381" width="0.88671875" style="82" customWidth="1"/>
    <col min="4382" max="4383" width="0" style="82" hidden="1" customWidth="1"/>
    <col min="4384" max="4384" width="14.33203125" style="82" customWidth="1"/>
    <col min="4385" max="4385" width="0.5546875" style="82" customWidth="1"/>
    <col min="4386" max="4386" width="11.109375" style="82" customWidth="1"/>
    <col min="4387" max="4387" width="1.33203125" style="82" customWidth="1"/>
    <col min="4388" max="4388" width="9.33203125" style="82" customWidth="1"/>
    <col min="4389" max="4389" width="1" style="82" customWidth="1"/>
    <col min="4390" max="4390" width="12.44140625" style="82" customWidth="1"/>
    <col min="4391" max="4391" width="1.109375" style="82" customWidth="1"/>
    <col min="4392" max="4392" width="11.6640625" style="82" customWidth="1"/>
    <col min="4393" max="4393" width="1.109375" style="82" customWidth="1"/>
    <col min="4394" max="4394" width="9.109375" style="82"/>
    <col min="4395" max="4395" width="1.44140625" style="82" customWidth="1"/>
    <col min="4396" max="4396" width="13.88671875" style="82" customWidth="1"/>
    <col min="4397" max="4397" width="55.33203125" style="82" customWidth="1"/>
    <col min="4398" max="4398" width="2" style="82" customWidth="1"/>
    <col min="4399" max="4399" width="67.44140625" style="82" customWidth="1"/>
    <col min="4400" max="4402" width="9.109375" style="82"/>
    <col min="4403" max="4406" width="9.109375" style="82" customWidth="1"/>
    <col min="4407" max="4407" width="16.88671875" style="82" customWidth="1"/>
    <col min="4408" max="4413" width="9.109375" style="82"/>
    <col min="4414" max="4414" width="9.5546875" style="82" customWidth="1"/>
    <col min="4415" max="4417" width="0" style="82" hidden="1" customWidth="1"/>
    <col min="4418" max="4622" width="9.109375" style="82"/>
    <col min="4623" max="4623" width="2.109375" style="82" customWidth="1"/>
    <col min="4624" max="4624" width="13" style="82" customWidth="1"/>
    <col min="4625" max="4625" width="0.6640625" style="82" customWidth="1"/>
    <col min="4626" max="4626" width="14.6640625" style="82" customWidth="1"/>
    <col min="4627" max="4627" width="1.109375" style="82" customWidth="1"/>
    <col min="4628" max="4628" width="39" style="82" customWidth="1"/>
    <col min="4629" max="4629" width="1" style="82" customWidth="1"/>
    <col min="4630" max="4630" width="19" style="82" customWidth="1"/>
    <col min="4631" max="4631" width="1" style="82" customWidth="1"/>
    <col min="4632" max="4632" width="12.6640625" style="82" customWidth="1"/>
    <col min="4633" max="4633" width="0.6640625" style="82" customWidth="1"/>
    <col min="4634" max="4634" width="11.44140625" style="82" customWidth="1"/>
    <col min="4635" max="4635" width="1" style="82" customWidth="1"/>
    <col min="4636" max="4636" width="12" style="82" customWidth="1"/>
    <col min="4637" max="4637" width="0.88671875" style="82" customWidth="1"/>
    <col min="4638" max="4639" width="0" style="82" hidden="1" customWidth="1"/>
    <col min="4640" max="4640" width="14.33203125" style="82" customWidth="1"/>
    <col min="4641" max="4641" width="0.5546875" style="82" customWidth="1"/>
    <col min="4642" max="4642" width="11.109375" style="82" customWidth="1"/>
    <col min="4643" max="4643" width="1.33203125" style="82" customWidth="1"/>
    <col min="4644" max="4644" width="9.33203125" style="82" customWidth="1"/>
    <col min="4645" max="4645" width="1" style="82" customWidth="1"/>
    <col min="4646" max="4646" width="12.44140625" style="82" customWidth="1"/>
    <col min="4647" max="4647" width="1.109375" style="82" customWidth="1"/>
    <col min="4648" max="4648" width="11.6640625" style="82" customWidth="1"/>
    <col min="4649" max="4649" width="1.109375" style="82" customWidth="1"/>
    <col min="4650" max="4650" width="9.109375" style="82"/>
    <col min="4651" max="4651" width="1.44140625" style="82" customWidth="1"/>
    <col min="4652" max="4652" width="13.88671875" style="82" customWidth="1"/>
    <col min="4653" max="4653" width="55.33203125" style="82" customWidth="1"/>
    <col min="4654" max="4654" width="2" style="82" customWidth="1"/>
    <col min="4655" max="4655" width="67.44140625" style="82" customWidth="1"/>
    <col min="4656" max="4658" width="9.109375" style="82"/>
    <col min="4659" max="4662" width="9.109375" style="82" customWidth="1"/>
    <col min="4663" max="4663" width="16.88671875" style="82" customWidth="1"/>
    <col min="4664" max="4669" width="9.109375" style="82"/>
    <col min="4670" max="4670" width="9.5546875" style="82" customWidth="1"/>
    <col min="4671" max="4673" width="0" style="82" hidden="1" customWidth="1"/>
    <col min="4674" max="4878" width="9.109375" style="82"/>
    <col min="4879" max="4879" width="2.109375" style="82" customWidth="1"/>
    <col min="4880" max="4880" width="13" style="82" customWidth="1"/>
    <col min="4881" max="4881" width="0.6640625" style="82" customWidth="1"/>
    <col min="4882" max="4882" width="14.6640625" style="82" customWidth="1"/>
    <col min="4883" max="4883" width="1.109375" style="82" customWidth="1"/>
    <col min="4884" max="4884" width="39" style="82" customWidth="1"/>
    <col min="4885" max="4885" width="1" style="82" customWidth="1"/>
    <col min="4886" max="4886" width="19" style="82" customWidth="1"/>
    <col min="4887" max="4887" width="1" style="82" customWidth="1"/>
    <col min="4888" max="4888" width="12.6640625" style="82" customWidth="1"/>
    <col min="4889" max="4889" width="0.6640625" style="82" customWidth="1"/>
    <col min="4890" max="4890" width="11.44140625" style="82" customWidth="1"/>
    <col min="4891" max="4891" width="1" style="82" customWidth="1"/>
    <col min="4892" max="4892" width="12" style="82" customWidth="1"/>
    <col min="4893" max="4893" width="0.88671875" style="82" customWidth="1"/>
    <col min="4894" max="4895" width="0" style="82" hidden="1" customWidth="1"/>
    <col min="4896" max="4896" width="14.33203125" style="82" customWidth="1"/>
    <col min="4897" max="4897" width="0.5546875" style="82" customWidth="1"/>
    <col min="4898" max="4898" width="11.109375" style="82" customWidth="1"/>
    <col min="4899" max="4899" width="1.33203125" style="82" customWidth="1"/>
    <col min="4900" max="4900" width="9.33203125" style="82" customWidth="1"/>
    <col min="4901" max="4901" width="1" style="82" customWidth="1"/>
    <col min="4902" max="4902" width="12.44140625" style="82" customWidth="1"/>
    <col min="4903" max="4903" width="1.109375" style="82" customWidth="1"/>
    <col min="4904" max="4904" width="11.6640625" style="82" customWidth="1"/>
    <col min="4905" max="4905" width="1.109375" style="82" customWidth="1"/>
    <col min="4906" max="4906" width="9.109375" style="82"/>
    <col min="4907" max="4907" width="1.44140625" style="82" customWidth="1"/>
    <col min="4908" max="4908" width="13.88671875" style="82" customWidth="1"/>
    <col min="4909" max="4909" width="55.33203125" style="82" customWidth="1"/>
    <col min="4910" max="4910" width="2" style="82" customWidth="1"/>
    <col min="4911" max="4911" width="67.44140625" style="82" customWidth="1"/>
    <col min="4912" max="4914" width="9.109375" style="82"/>
    <col min="4915" max="4918" width="9.109375" style="82" customWidth="1"/>
    <col min="4919" max="4919" width="16.88671875" style="82" customWidth="1"/>
    <col min="4920" max="4925" width="9.109375" style="82"/>
    <col min="4926" max="4926" width="9.5546875" style="82" customWidth="1"/>
    <col min="4927" max="4929" width="0" style="82" hidden="1" customWidth="1"/>
    <col min="4930" max="5134" width="9.109375" style="82"/>
    <col min="5135" max="5135" width="2.109375" style="82" customWidth="1"/>
    <col min="5136" max="5136" width="13" style="82" customWidth="1"/>
    <col min="5137" max="5137" width="0.6640625" style="82" customWidth="1"/>
    <col min="5138" max="5138" width="14.6640625" style="82" customWidth="1"/>
    <col min="5139" max="5139" width="1.109375" style="82" customWidth="1"/>
    <col min="5140" max="5140" width="39" style="82" customWidth="1"/>
    <col min="5141" max="5141" width="1" style="82" customWidth="1"/>
    <col min="5142" max="5142" width="19" style="82" customWidth="1"/>
    <col min="5143" max="5143" width="1" style="82" customWidth="1"/>
    <col min="5144" max="5144" width="12.6640625" style="82" customWidth="1"/>
    <col min="5145" max="5145" width="0.6640625" style="82" customWidth="1"/>
    <col min="5146" max="5146" width="11.44140625" style="82" customWidth="1"/>
    <col min="5147" max="5147" width="1" style="82" customWidth="1"/>
    <col min="5148" max="5148" width="12" style="82" customWidth="1"/>
    <col min="5149" max="5149" width="0.88671875" style="82" customWidth="1"/>
    <col min="5150" max="5151" width="0" style="82" hidden="1" customWidth="1"/>
    <col min="5152" max="5152" width="14.33203125" style="82" customWidth="1"/>
    <col min="5153" max="5153" width="0.5546875" style="82" customWidth="1"/>
    <col min="5154" max="5154" width="11.109375" style="82" customWidth="1"/>
    <col min="5155" max="5155" width="1.33203125" style="82" customWidth="1"/>
    <col min="5156" max="5156" width="9.33203125" style="82" customWidth="1"/>
    <col min="5157" max="5157" width="1" style="82" customWidth="1"/>
    <col min="5158" max="5158" width="12.44140625" style="82" customWidth="1"/>
    <col min="5159" max="5159" width="1.109375" style="82" customWidth="1"/>
    <col min="5160" max="5160" width="11.6640625" style="82" customWidth="1"/>
    <col min="5161" max="5161" width="1.109375" style="82" customWidth="1"/>
    <col min="5162" max="5162" width="9.109375" style="82"/>
    <col min="5163" max="5163" width="1.44140625" style="82" customWidth="1"/>
    <col min="5164" max="5164" width="13.88671875" style="82" customWidth="1"/>
    <col min="5165" max="5165" width="55.33203125" style="82" customWidth="1"/>
    <col min="5166" max="5166" width="2" style="82" customWidth="1"/>
    <col min="5167" max="5167" width="67.44140625" style="82" customWidth="1"/>
    <col min="5168" max="5170" width="9.109375" style="82"/>
    <col min="5171" max="5174" width="9.109375" style="82" customWidth="1"/>
    <col min="5175" max="5175" width="16.88671875" style="82" customWidth="1"/>
    <col min="5176" max="5181" width="9.109375" style="82"/>
    <col min="5182" max="5182" width="9.5546875" style="82" customWidth="1"/>
    <col min="5183" max="5185" width="0" style="82" hidden="1" customWidth="1"/>
    <col min="5186" max="5390" width="9.109375" style="82"/>
    <col min="5391" max="5391" width="2.109375" style="82" customWidth="1"/>
    <col min="5392" max="5392" width="13" style="82" customWidth="1"/>
    <col min="5393" max="5393" width="0.6640625" style="82" customWidth="1"/>
    <col min="5394" max="5394" width="14.6640625" style="82" customWidth="1"/>
    <col min="5395" max="5395" width="1.109375" style="82" customWidth="1"/>
    <col min="5396" max="5396" width="39" style="82" customWidth="1"/>
    <col min="5397" max="5397" width="1" style="82" customWidth="1"/>
    <col min="5398" max="5398" width="19" style="82" customWidth="1"/>
    <col min="5399" max="5399" width="1" style="82" customWidth="1"/>
    <col min="5400" max="5400" width="12.6640625" style="82" customWidth="1"/>
    <col min="5401" max="5401" width="0.6640625" style="82" customWidth="1"/>
    <col min="5402" max="5402" width="11.44140625" style="82" customWidth="1"/>
    <col min="5403" max="5403" width="1" style="82" customWidth="1"/>
    <col min="5404" max="5404" width="12" style="82" customWidth="1"/>
    <col min="5405" max="5405" width="0.88671875" style="82" customWidth="1"/>
    <col min="5406" max="5407" width="0" style="82" hidden="1" customWidth="1"/>
    <col min="5408" max="5408" width="14.33203125" style="82" customWidth="1"/>
    <col min="5409" max="5409" width="0.5546875" style="82" customWidth="1"/>
    <col min="5410" max="5410" width="11.109375" style="82" customWidth="1"/>
    <col min="5411" max="5411" width="1.33203125" style="82" customWidth="1"/>
    <col min="5412" max="5412" width="9.33203125" style="82" customWidth="1"/>
    <col min="5413" max="5413" width="1" style="82" customWidth="1"/>
    <col min="5414" max="5414" width="12.44140625" style="82" customWidth="1"/>
    <col min="5415" max="5415" width="1.109375" style="82" customWidth="1"/>
    <col min="5416" max="5416" width="11.6640625" style="82" customWidth="1"/>
    <col min="5417" max="5417" width="1.109375" style="82" customWidth="1"/>
    <col min="5418" max="5418" width="9.109375" style="82"/>
    <col min="5419" max="5419" width="1.44140625" style="82" customWidth="1"/>
    <col min="5420" max="5420" width="13.88671875" style="82" customWidth="1"/>
    <col min="5421" max="5421" width="55.33203125" style="82" customWidth="1"/>
    <col min="5422" max="5422" width="2" style="82" customWidth="1"/>
    <col min="5423" max="5423" width="67.44140625" style="82" customWidth="1"/>
    <col min="5424" max="5426" width="9.109375" style="82"/>
    <col min="5427" max="5430" width="9.109375" style="82" customWidth="1"/>
    <col min="5431" max="5431" width="16.88671875" style="82" customWidth="1"/>
    <col min="5432" max="5437" width="9.109375" style="82"/>
    <col min="5438" max="5438" width="9.5546875" style="82" customWidth="1"/>
    <col min="5439" max="5441" width="0" style="82" hidden="1" customWidth="1"/>
    <col min="5442" max="5646" width="9.109375" style="82"/>
    <col min="5647" max="5647" width="2.109375" style="82" customWidth="1"/>
    <col min="5648" max="5648" width="13" style="82" customWidth="1"/>
    <col min="5649" max="5649" width="0.6640625" style="82" customWidth="1"/>
    <col min="5650" max="5650" width="14.6640625" style="82" customWidth="1"/>
    <col min="5651" max="5651" width="1.109375" style="82" customWidth="1"/>
    <col min="5652" max="5652" width="39" style="82" customWidth="1"/>
    <col min="5653" max="5653" width="1" style="82" customWidth="1"/>
    <col min="5654" max="5654" width="19" style="82" customWidth="1"/>
    <col min="5655" max="5655" width="1" style="82" customWidth="1"/>
    <col min="5656" max="5656" width="12.6640625" style="82" customWidth="1"/>
    <col min="5657" max="5657" width="0.6640625" style="82" customWidth="1"/>
    <col min="5658" max="5658" width="11.44140625" style="82" customWidth="1"/>
    <col min="5659" max="5659" width="1" style="82" customWidth="1"/>
    <col min="5660" max="5660" width="12" style="82" customWidth="1"/>
    <col min="5661" max="5661" width="0.88671875" style="82" customWidth="1"/>
    <col min="5662" max="5663" width="0" style="82" hidden="1" customWidth="1"/>
    <col min="5664" max="5664" width="14.33203125" style="82" customWidth="1"/>
    <col min="5665" max="5665" width="0.5546875" style="82" customWidth="1"/>
    <col min="5666" max="5666" width="11.109375" style="82" customWidth="1"/>
    <col min="5667" max="5667" width="1.33203125" style="82" customWidth="1"/>
    <col min="5668" max="5668" width="9.33203125" style="82" customWidth="1"/>
    <col min="5669" max="5669" width="1" style="82" customWidth="1"/>
    <col min="5670" max="5670" width="12.44140625" style="82" customWidth="1"/>
    <col min="5671" max="5671" width="1.109375" style="82" customWidth="1"/>
    <col min="5672" max="5672" width="11.6640625" style="82" customWidth="1"/>
    <col min="5673" max="5673" width="1.109375" style="82" customWidth="1"/>
    <col min="5674" max="5674" width="9.109375" style="82"/>
    <col min="5675" max="5675" width="1.44140625" style="82" customWidth="1"/>
    <col min="5676" max="5676" width="13.88671875" style="82" customWidth="1"/>
    <col min="5677" max="5677" width="55.33203125" style="82" customWidth="1"/>
    <col min="5678" max="5678" width="2" style="82" customWidth="1"/>
    <col min="5679" max="5679" width="67.44140625" style="82" customWidth="1"/>
    <col min="5680" max="5682" width="9.109375" style="82"/>
    <col min="5683" max="5686" width="9.109375" style="82" customWidth="1"/>
    <col min="5687" max="5687" width="16.88671875" style="82" customWidth="1"/>
    <col min="5688" max="5693" width="9.109375" style="82"/>
    <col min="5694" max="5694" width="9.5546875" style="82" customWidth="1"/>
    <col min="5695" max="5697" width="0" style="82" hidden="1" customWidth="1"/>
    <col min="5698" max="5902" width="9.109375" style="82"/>
    <col min="5903" max="5903" width="2.109375" style="82" customWidth="1"/>
    <col min="5904" max="5904" width="13" style="82" customWidth="1"/>
    <col min="5905" max="5905" width="0.6640625" style="82" customWidth="1"/>
    <col min="5906" max="5906" width="14.6640625" style="82" customWidth="1"/>
    <col min="5907" max="5907" width="1.109375" style="82" customWidth="1"/>
    <col min="5908" max="5908" width="39" style="82" customWidth="1"/>
    <col min="5909" max="5909" width="1" style="82" customWidth="1"/>
    <col min="5910" max="5910" width="19" style="82" customWidth="1"/>
    <col min="5911" max="5911" width="1" style="82" customWidth="1"/>
    <col min="5912" max="5912" width="12.6640625" style="82" customWidth="1"/>
    <col min="5913" max="5913" width="0.6640625" style="82" customWidth="1"/>
    <col min="5914" max="5914" width="11.44140625" style="82" customWidth="1"/>
    <col min="5915" max="5915" width="1" style="82" customWidth="1"/>
    <col min="5916" max="5916" width="12" style="82" customWidth="1"/>
    <col min="5917" max="5917" width="0.88671875" style="82" customWidth="1"/>
    <col min="5918" max="5919" width="0" style="82" hidden="1" customWidth="1"/>
    <col min="5920" max="5920" width="14.33203125" style="82" customWidth="1"/>
    <col min="5921" max="5921" width="0.5546875" style="82" customWidth="1"/>
    <col min="5922" max="5922" width="11.109375" style="82" customWidth="1"/>
    <col min="5923" max="5923" width="1.33203125" style="82" customWidth="1"/>
    <col min="5924" max="5924" width="9.33203125" style="82" customWidth="1"/>
    <col min="5925" max="5925" width="1" style="82" customWidth="1"/>
    <col min="5926" max="5926" width="12.44140625" style="82" customWidth="1"/>
    <col min="5927" max="5927" width="1.109375" style="82" customWidth="1"/>
    <col min="5928" max="5928" width="11.6640625" style="82" customWidth="1"/>
    <col min="5929" max="5929" width="1.109375" style="82" customWidth="1"/>
    <col min="5930" max="5930" width="9.109375" style="82"/>
    <col min="5931" max="5931" width="1.44140625" style="82" customWidth="1"/>
    <col min="5932" max="5932" width="13.88671875" style="82" customWidth="1"/>
    <col min="5933" max="5933" width="55.33203125" style="82" customWidth="1"/>
    <col min="5934" max="5934" width="2" style="82" customWidth="1"/>
    <col min="5935" max="5935" width="67.44140625" style="82" customWidth="1"/>
    <col min="5936" max="5938" width="9.109375" style="82"/>
    <col min="5939" max="5942" width="9.109375" style="82" customWidth="1"/>
    <col min="5943" max="5943" width="16.88671875" style="82" customWidth="1"/>
    <col min="5944" max="5949" width="9.109375" style="82"/>
    <col min="5950" max="5950" width="9.5546875" style="82" customWidth="1"/>
    <col min="5951" max="5953" width="0" style="82" hidden="1" customWidth="1"/>
    <col min="5954" max="6158" width="9.109375" style="82"/>
    <col min="6159" max="6159" width="2.109375" style="82" customWidth="1"/>
    <col min="6160" max="6160" width="13" style="82" customWidth="1"/>
    <col min="6161" max="6161" width="0.6640625" style="82" customWidth="1"/>
    <col min="6162" max="6162" width="14.6640625" style="82" customWidth="1"/>
    <col min="6163" max="6163" width="1.109375" style="82" customWidth="1"/>
    <col min="6164" max="6164" width="39" style="82" customWidth="1"/>
    <col min="6165" max="6165" width="1" style="82" customWidth="1"/>
    <col min="6166" max="6166" width="19" style="82" customWidth="1"/>
    <col min="6167" max="6167" width="1" style="82" customWidth="1"/>
    <col min="6168" max="6168" width="12.6640625" style="82" customWidth="1"/>
    <col min="6169" max="6169" width="0.6640625" style="82" customWidth="1"/>
    <col min="6170" max="6170" width="11.44140625" style="82" customWidth="1"/>
    <col min="6171" max="6171" width="1" style="82" customWidth="1"/>
    <col min="6172" max="6172" width="12" style="82" customWidth="1"/>
    <col min="6173" max="6173" width="0.88671875" style="82" customWidth="1"/>
    <col min="6174" max="6175" width="0" style="82" hidden="1" customWidth="1"/>
    <col min="6176" max="6176" width="14.33203125" style="82" customWidth="1"/>
    <col min="6177" max="6177" width="0.5546875" style="82" customWidth="1"/>
    <col min="6178" max="6178" width="11.109375" style="82" customWidth="1"/>
    <col min="6179" max="6179" width="1.33203125" style="82" customWidth="1"/>
    <col min="6180" max="6180" width="9.33203125" style="82" customWidth="1"/>
    <col min="6181" max="6181" width="1" style="82" customWidth="1"/>
    <col min="6182" max="6182" width="12.44140625" style="82" customWidth="1"/>
    <col min="6183" max="6183" width="1.109375" style="82" customWidth="1"/>
    <col min="6184" max="6184" width="11.6640625" style="82" customWidth="1"/>
    <col min="6185" max="6185" width="1.109375" style="82" customWidth="1"/>
    <col min="6186" max="6186" width="9.109375" style="82"/>
    <col min="6187" max="6187" width="1.44140625" style="82" customWidth="1"/>
    <col min="6188" max="6188" width="13.88671875" style="82" customWidth="1"/>
    <col min="6189" max="6189" width="55.33203125" style="82" customWidth="1"/>
    <col min="6190" max="6190" width="2" style="82" customWidth="1"/>
    <col min="6191" max="6191" width="67.44140625" style="82" customWidth="1"/>
    <col min="6192" max="6194" width="9.109375" style="82"/>
    <col min="6195" max="6198" width="9.109375" style="82" customWidth="1"/>
    <col min="6199" max="6199" width="16.88671875" style="82" customWidth="1"/>
    <col min="6200" max="6205" width="9.109375" style="82"/>
    <col min="6206" max="6206" width="9.5546875" style="82" customWidth="1"/>
    <col min="6207" max="6209" width="0" style="82" hidden="1" customWidth="1"/>
    <col min="6210" max="6414" width="9.109375" style="82"/>
    <col min="6415" max="6415" width="2.109375" style="82" customWidth="1"/>
    <col min="6416" max="6416" width="13" style="82" customWidth="1"/>
    <col min="6417" max="6417" width="0.6640625" style="82" customWidth="1"/>
    <col min="6418" max="6418" width="14.6640625" style="82" customWidth="1"/>
    <col min="6419" max="6419" width="1.109375" style="82" customWidth="1"/>
    <col min="6420" max="6420" width="39" style="82" customWidth="1"/>
    <col min="6421" max="6421" width="1" style="82" customWidth="1"/>
    <col min="6422" max="6422" width="19" style="82" customWidth="1"/>
    <col min="6423" max="6423" width="1" style="82" customWidth="1"/>
    <col min="6424" max="6424" width="12.6640625" style="82" customWidth="1"/>
    <col min="6425" max="6425" width="0.6640625" style="82" customWidth="1"/>
    <col min="6426" max="6426" width="11.44140625" style="82" customWidth="1"/>
    <col min="6427" max="6427" width="1" style="82" customWidth="1"/>
    <col min="6428" max="6428" width="12" style="82" customWidth="1"/>
    <col min="6429" max="6429" width="0.88671875" style="82" customWidth="1"/>
    <col min="6430" max="6431" width="0" style="82" hidden="1" customWidth="1"/>
    <col min="6432" max="6432" width="14.33203125" style="82" customWidth="1"/>
    <col min="6433" max="6433" width="0.5546875" style="82" customWidth="1"/>
    <col min="6434" max="6434" width="11.109375" style="82" customWidth="1"/>
    <col min="6435" max="6435" width="1.33203125" style="82" customWidth="1"/>
    <col min="6436" max="6436" width="9.33203125" style="82" customWidth="1"/>
    <col min="6437" max="6437" width="1" style="82" customWidth="1"/>
    <col min="6438" max="6438" width="12.44140625" style="82" customWidth="1"/>
    <col min="6439" max="6439" width="1.109375" style="82" customWidth="1"/>
    <col min="6440" max="6440" width="11.6640625" style="82" customWidth="1"/>
    <col min="6441" max="6441" width="1.109375" style="82" customWidth="1"/>
    <col min="6442" max="6442" width="9.109375" style="82"/>
    <col min="6443" max="6443" width="1.44140625" style="82" customWidth="1"/>
    <col min="6444" max="6444" width="13.88671875" style="82" customWidth="1"/>
    <col min="6445" max="6445" width="55.33203125" style="82" customWidth="1"/>
    <col min="6446" max="6446" width="2" style="82" customWidth="1"/>
    <col min="6447" max="6447" width="67.44140625" style="82" customWidth="1"/>
    <col min="6448" max="6450" width="9.109375" style="82"/>
    <col min="6451" max="6454" width="9.109375" style="82" customWidth="1"/>
    <col min="6455" max="6455" width="16.88671875" style="82" customWidth="1"/>
    <col min="6456" max="6461" width="9.109375" style="82"/>
    <col min="6462" max="6462" width="9.5546875" style="82" customWidth="1"/>
    <col min="6463" max="6465" width="0" style="82" hidden="1" customWidth="1"/>
    <col min="6466" max="6670" width="9.109375" style="82"/>
    <col min="6671" max="6671" width="2.109375" style="82" customWidth="1"/>
    <col min="6672" max="6672" width="13" style="82" customWidth="1"/>
    <col min="6673" max="6673" width="0.6640625" style="82" customWidth="1"/>
    <col min="6674" max="6674" width="14.6640625" style="82" customWidth="1"/>
    <col min="6675" max="6675" width="1.109375" style="82" customWidth="1"/>
    <col min="6676" max="6676" width="39" style="82" customWidth="1"/>
    <col min="6677" max="6677" width="1" style="82" customWidth="1"/>
    <col min="6678" max="6678" width="19" style="82" customWidth="1"/>
    <col min="6679" max="6679" width="1" style="82" customWidth="1"/>
    <col min="6680" max="6680" width="12.6640625" style="82" customWidth="1"/>
    <col min="6681" max="6681" width="0.6640625" style="82" customWidth="1"/>
    <col min="6682" max="6682" width="11.44140625" style="82" customWidth="1"/>
    <col min="6683" max="6683" width="1" style="82" customWidth="1"/>
    <col min="6684" max="6684" width="12" style="82" customWidth="1"/>
    <col min="6685" max="6685" width="0.88671875" style="82" customWidth="1"/>
    <col min="6686" max="6687" width="0" style="82" hidden="1" customWidth="1"/>
    <col min="6688" max="6688" width="14.33203125" style="82" customWidth="1"/>
    <col min="6689" max="6689" width="0.5546875" style="82" customWidth="1"/>
    <col min="6690" max="6690" width="11.109375" style="82" customWidth="1"/>
    <col min="6691" max="6691" width="1.33203125" style="82" customWidth="1"/>
    <col min="6692" max="6692" width="9.33203125" style="82" customWidth="1"/>
    <col min="6693" max="6693" width="1" style="82" customWidth="1"/>
    <col min="6694" max="6694" width="12.44140625" style="82" customWidth="1"/>
    <col min="6695" max="6695" width="1.109375" style="82" customWidth="1"/>
    <col min="6696" max="6696" width="11.6640625" style="82" customWidth="1"/>
    <col min="6697" max="6697" width="1.109375" style="82" customWidth="1"/>
    <col min="6698" max="6698" width="9.109375" style="82"/>
    <col min="6699" max="6699" width="1.44140625" style="82" customWidth="1"/>
    <col min="6700" max="6700" width="13.88671875" style="82" customWidth="1"/>
    <col min="6701" max="6701" width="55.33203125" style="82" customWidth="1"/>
    <col min="6702" max="6702" width="2" style="82" customWidth="1"/>
    <col min="6703" max="6703" width="67.44140625" style="82" customWidth="1"/>
    <col min="6704" max="6706" width="9.109375" style="82"/>
    <col min="6707" max="6710" width="9.109375" style="82" customWidth="1"/>
    <col min="6711" max="6711" width="16.88671875" style="82" customWidth="1"/>
    <col min="6712" max="6717" width="9.109375" style="82"/>
    <col min="6718" max="6718" width="9.5546875" style="82" customWidth="1"/>
    <col min="6719" max="6721" width="0" style="82" hidden="1" customWidth="1"/>
    <col min="6722" max="6926" width="9.109375" style="82"/>
    <col min="6927" max="6927" width="2.109375" style="82" customWidth="1"/>
    <col min="6928" max="6928" width="13" style="82" customWidth="1"/>
    <col min="6929" max="6929" width="0.6640625" style="82" customWidth="1"/>
    <col min="6930" max="6930" width="14.6640625" style="82" customWidth="1"/>
    <col min="6931" max="6931" width="1.109375" style="82" customWidth="1"/>
    <col min="6932" max="6932" width="39" style="82" customWidth="1"/>
    <col min="6933" max="6933" width="1" style="82" customWidth="1"/>
    <col min="6934" max="6934" width="19" style="82" customWidth="1"/>
    <col min="6935" max="6935" width="1" style="82" customWidth="1"/>
    <col min="6936" max="6936" width="12.6640625" style="82" customWidth="1"/>
    <col min="6937" max="6937" width="0.6640625" style="82" customWidth="1"/>
    <col min="6938" max="6938" width="11.44140625" style="82" customWidth="1"/>
    <col min="6939" max="6939" width="1" style="82" customWidth="1"/>
    <col min="6940" max="6940" width="12" style="82" customWidth="1"/>
    <col min="6941" max="6941" width="0.88671875" style="82" customWidth="1"/>
    <col min="6942" max="6943" width="0" style="82" hidden="1" customWidth="1"/>
    <col min="6944" max="6944" width="14.33203125" style="82" customWidth="1"/>
    <col min="6945" max="6945" width="0.5546875" style="82" customWidth="1"/>
    <col min="6946" max="6946" width="11.109375" style="82" customWidth="1"/>
    <col min="6947" max="6947" width="1.33203125" style="82" customWidth="1"/>
    <col min="6948" max="6948" width="9.33203125" style="82" customWidth="1"/>
    <col min="6949" max="6949" width="1" style="82" customWidth="1"/>
    <col min="6950" max="6950" width="12.44140625" style="82" customWidth="1"/>
    <col min="6951" max="6951" width="1.109375" style="82" customWidth="1"/>
    <col min="6952" max="6952" width="11.6640625" style="82" customWidth="1"/>
    <col min="6953" max="6953" width="1.109375" style="82" customWidth="1"/>
    <col min="6954" max="6954" width="9.109375" style="82"/>
    <col min="6955" max="6955" width="1.44140625" style="82" customWidth="1"/>
    <col min="6956" max="6956" width="13.88671875" style="82" customWidth="1"/>
    <col min="6957" max="6957" width="55.33203125" style="82" customWidth="1"/>
    <col min="6958" max="6958" width="2" style="82" customWidth="1"/>
    <col min="6959" max="6959" width="67.44140625" style="82" customWidth="1"/>
    <col min="6960" max="6962" width="9.109375" style="82"/>
    <col min="6963" max="6966" width="9.109375" style="82" customWidth="1"/>
    <col min="6967" max="6967" width="16.88671875" style="82" customWidth="1"/>
    <col min="6968" max="6973" width="9.109375" style="82"/>
    <col min="6974" max="6974" width="9.5546875" style="82" customWidth="1"/>
    <col min="6975" max="6977" width="0" style="82" hidden="1" customWidth="1"/>
    <col min="6978" max="7182" width="9.109375" style="82"/>
    <col min="7183" max="7183" width="2.109375" style="82" customWidth="1"/>
    <col min="7184" max="7184" width="13" style="82" customWidth="1"/>
    <col min="7185" max="7185" width="0.6640625" style="82" customWidth="1"/>
    <col min="7186" max="7186" width="14.6640625" style="82" customWidth="1"/>
    <col min="7187" max="7187" width="1.109375" style="82" customWidth="1"/>
    <col min="7188" max="7188" width="39" style="82" customWidth="1"/>
    <col min="7189" max="7189" width="1" style="82" customWidth="1"/>
    <col min="7190" max="7190" width="19" style="82" customWidth="1"/>
    <col min="7191" max="7191" width="1" style="82" customWidth="1"/>
    <col min="7192" max="7192" width="12.6640625" style="82" customWidth="1"/>
    <col min="7193" max="7193" width="0.6640625" style="82" customWidth="1"/>
    <col min="7194" max="7194" width="11.44140625" style="82" customWidth="1"/>
    <col min="7195" max="7195" width="1" style="82" customWidth="1"/>
    <col min="7196" max="7196" width="12" style="82" customWidth="1"/>
    <col min="7197" max="7197" width="0.88671875" style="82" customWidth="1"/>
    <col min="7198" max="7199" width="0" style="82" hidden="1" customWidth="1"/>
    <col min="7200" max="7200" width="14.33203125" style="82" customWidth="1"/>
    <col min="7201" max="7201" width="0.5546875" style="82" customWidth="1"/>
    <col min="7202" max="7202" width="11.109375" style="82" customWidth="1"/>
    <col min="7203" max="7203" width="1.33203125" style="82" customWidth="1"/>
    <col min="7204" max="7204" width="9.33203125" style="82" customWidth="1"/>
    <col min="7205" max="7205" width="1" style="82" customWidth="1"/>
    <col min="7206" max="7206" width="12.44140625" style="82" customWidth="1"/>
    <col min="7207" max="7207" width="1.109375" style="82" customWidth="1"/>
    <col min="7208" max="7208" width="11.6640625" style="82" customWidth="1"/>
    <col min="7209" max="7209" width="1.109375" style="82" customWidth="1"/>
    <col min="7210" max="7210" width="9.109375" style="82"/>
    <col min="7211" max="7211" width="1.44140625" style="82" customWidth="1"/>
    <col min="7212" max="7212" width="13.88671875" style="82" customWidth="1"/>
    <col min="7213" max="7213" width="55.33203125" style="82" customWidth="1"/>
    <col min="7214" max="7214" width="2" style="82" customWidth="1"/>
    <col min="7215" max="7215" width="67.44140625" style="82" customWidth="1"/>
    <col min="7216" max="7218" width="9.109375" style="82"/>
    <col min="7219" max="7222" width="9.109375" style="82" customWidth="1"/>
    <col min="7223" max="7223" width="16.88671875" style="82" customWidth="1"/>
    <col min="7224" max="7229" width="9.109375" style="82"/>
    <col min="7230" max="7230" width="9.5546875" style="82" customWidth="1"/>
    <col min="7231" max="7233" width="0" style="82" hidden="1" customWidth="1"/>
    <col min="7234" max="7438" width="9.109375" style="82"/>
    <col min="7439" max="7439" width="2.109375" style="82" customWidth="1"/>
    <col min="7440" max="7440" width="13" style="82" customWidth="1"/>
    <col min="7441" max="7441" width="0.6640625" style="82" customWidth="1"/>
    <col min="7442" max="7442" width="14.6640625" style="82" customWidth="1"/>
    <col min="7443" max="7443" width="1.109375" style="82" customWidth="1"/>
    <col min="7444" max="7444" width="39" style="82" customWidth="1"/>
    <col min="7445" max="7445" width="1" style="82" customWidth="1"/>
    <col min="7446" max="7446" width="19" style="82" customWidth="1"/>
    <col min="7447" max="7447" width="1" style="82" customWidth="1"/>
    <col min="7448" max="7448" width="12.6640625" style="82" customWidth="1"/>
    <col min="7449" max="7449" width="0.6640625" style="82" customWidth="1"/>
    <col min="7450" max="7450" width="11.44140625" style="82" customWidth="1"/>
    <col min="7451" max="7451" width="1" style="82" customWidth="1"/>
    <col min="7452" max="7452" width="12" style="82" customWidth="1"/>
    <col min="7453" max="7453" width="0.88671875" style="82" customWidth="1"/>
    <col min="7454" max="7455" width="0" style="82" hidden="1" customWidth="1"/>
    <col min="7456" max="7456" width="14.33203125" style="82" customWidth="1"/>
    <col min="7457" max="7457" width="0.5546875" style="82" customWidth="1"/>
    <col min="7458" max="7458" width="11.109375" style="82" customWidth="1"/>
    <col min="7459" max="7459" width="1.33203125" style="82" customWidth="1"/>
    <col min="7460" max="7460" width="9.33203125" style="82" customWidth="1"/>
    <col min="7461" max="7461" width="1" style="82" customWidth="1"/>
    <col min="7462" max="7462" width="12.44140625" style="82" customWidth="1"/>
    <col min="7463" max="7463" width="1.109375" style="82" customWidth="1"/>
    <col min="7464" max="7464" width="11.6640625" style="82" customWidth="1"/>
    <col min="7465" max="7465" width="1.109375" style="82" customWidth="1"/>
    <col min="7466" max="7466" width="9.109375" style="82"/>
    <col min="7467" max="7467" width="1.44140625" style="82" customWidth="1"/>
    <col min="7468" max="7468" width="13.88671875" style="82" customWidth="1"/>
    <col min="7469" max="7469" width="55.33203125" style="82" customWidth="1"/>
    <col min="7470" max="7470" width="2" style="82" customWidth="1"/>
    <col min="7471" max="7471" width="67.44140625" style="82" customWidth="1"/>
    <col min="7472" max="7474" width="9.109375" style="82"/>
    <col min="7475" max="7478" width="9.109375" style="82" customWidth="1"/>
    <col min="7479" max="7479" width="16.88671875" style="82" customWidth="1"/>
    <col min="7480" max="7485" width="9.109375" style="82"/>
    <col min="7486" max="7486" width="9.5546875" style="82" customWidth="1"/>
    <col min="7487" max="7489" width="0" style="82" hidden="1" customWidth="1"/>
    <col min="7490" max="7694" width="9.109375" style="82"/>
    <col min="7695" max="7695" width="2.109375" style="82" customWidth="1"/>
    <col min="7696" max="7696" width="13" style="82" customWidth="1"/>
    <col min="7697" max="7697" width="0.6640625" style="82" customWidth="1"/>
    <col min="7698" max="7698" width="14.6640625" style="82" customWidth="1"/>
    <col min="7699" max="7699" width="1.109375" style="82" customWidth="1"/>
    <col min="7700" max="7700" width="39" style="82" customWidth="1"/>
    <col min="7701" max="7701" width="1" style="82" customWidth="1"/>
    <col min="7702" max="7702" width="19" style="82" customWidth="1"/>
    <col min="7703" max="7703" width="1" style="82" customWidth="1"/>
    <col min="7704" max="7704" width="12.6640625" style="82" customWidth="1"/>
    <col min="7705" max="7705" width="0.6640625" style="82" customWidth="1"/>
    <col min="7706" max="7706" width="11.44140625" style="82" customWidth="1"/>
    <col min="7707" max="7707" width="1" style="82" customWidth="1"/>
    <col min="7708" max="7708" width="12" style="82" customWidth="1"/>
    <col min="7709" max="7709" width="0.88671875" style="82" customWidth="1"/>
    <col min="7710" max="7711" width="0" style="82" hidden="1" customWidth="1"/>
    <col min="7712" max="7712" width="14.33203125" style="82" customWidth="1"/>
    <col min="7713" max="7713" width="0.5546875" style="82" customWidth="1"/>
    <col min="7714" max="7714" width="11.109375" style="82" customWidth="1"/>
    <col min="7715" max="7715" width="1.33203125" style="82" customWidth="1"/>
    <col min="7716" max="7716" width="9.33203125" style="82" customWidth="1"/>
    <col min="7717" max="7717" width="1" style="82" customWidth="1"/>
    <col min="7718" max="7718" width="12.44140625" style="82" customWidth="1"/>
    <col min="7719" max="7719" width="1.109375" style="82" customWidth="1"/>
    <col min="7720" max="7720" width="11.6640625" style="82" customWidth="1"/>
    <col min="7721" max="7721" width="1.109375" style="82" customWidth="1"/>
    <col min="7722" max="7722" width="9.109375" style="82"/>
    <col min="7723" max="7723" width="1.44140625" style="82" customWidth="1"/>
    <col min="7724" max="7724" width="13.88671875" style="82" customWidth="1"/>
    <col min="7725" max="7725" width="55.33203125" style="82" customWidth="1"/>
    <col min="7726" max="7726" width="2" style="82" customWidth="1"/>
    <col min="7727" max="7727" width="67.44140625" style="82" customWidth="1"/>
    <col min="7728" max="7730" width="9.109375" style="82"/>
    <col min="7731" max="7734" width="9.109375" style="82" customWidth="1"/>
    <col min="7735" max="7735" width="16.88671875" style="82" customWidth="1"/>
    <col min="7736" max="7741" width="9.109375" style="82"/>
    <col min="7742" max="7742" width="9.5546875" style="82" customWidth="1"/>
    <col min="7743" max="7745" width="0" style="82" hidden="1" customWidth="1"/>
    <col min="7746" max="7950" width="9.109375" style="82"/>
    <col min="7951" max="7951" width="2.109375" style="82" customWidth="1"/>
    <col min="7952" max="7952" width="13" style="82" customWidth="1"/>
    <col min="7953" max="7953" width="0.6640625" style="82" customWidth="1"/>
    <col min="7954" max="7954" width="14.6640625" style="82" customWidth="1"/>
    <col min="7955" max="7955" width="1.109375" style="82" customWidth="1"/>
    <col min="7956" max="7956" width="39" style="82" customWidth="1"/>
    <col min="7957" max="7957" width="1" style="82" customWidth="1"/>
    <col min="7958" max="7958" width="19" style="82" customWidth="1"/>
    <col min="7959" max="7959" width="1" style="82" customWidth="1"/>
    <col min="7960" max="7960" width="12.6640625" style="82" customWidth="1"/>
    <col min="7961" max="7961" width="0.6640625" style="82" customWidth="1"/>
    <col min="7962" max="7962" width="11.44140625" style="82" customWidth="1"/>
    <col min="7963" max="7963" width="1" style="82" customWidth="1"/>
    <col min="7964" max="7964" width="12" style="82" customWidth="1"/>
    <col min="7965" max="7965" width="0.88671875" style="82" customWidth="1"/>
    <col min="7966" max="7967" width="0" style="82" hidden="1" customWidth="1"/>
    <col min="7968" max="7968" width="14.33203125" style="82" customWidth="1"/>
    <col min="7969" max="7969" width="0.5546875" style="82" customWidth="1"/>
    <col min="7970" max="7970" width="11.109375" style="82" customWidth="1"/>
    <col min="7971" max="7971" width="1.33203125" style="82" customWidth="1"/>
    <col min="7972" max="7972" width="9.33203125" style="82" customWidth="1"/>
    <col min="7973" max="7973" width="1" style="82" customWidth="1"/>
    <col min="7974" max="7974" width="12.44140625" style="82" customWidth="1"/>
    <col min="7975" max="7975" width="1.109375" style="82" customWidth="1"/>
    <col min="7976" max="7976" width="11.6640625" style="82" customWidth="1"/>
    <col min="7977" max="7977" width="1.109375" style="82" customWidth="1"/>
    <col min="7978" max="7978" width="9.109375" style="82"/>
    <col min="7979" max="7979" width="1.44140625" style="82" customWidth="1"/>
    <col min="7980" max="7980" width="13.88671875" style="82" customWidth="1"/>
    <col min="7981" max="7981" width="55.33203125" style="82" customWidth="1"/>
    <col min="7982" max="7982" width="2" style="82" customWidth="1"/>
    <col min="7983" max="7983" width="67.44140625" style="82" customWidth="1"/>
    <col min="7984" max="7986" width="9.109375" style="82"/>
    <col min="7987" max="7990" width="9.109375" style="82" customWidth="1"/>
    <col min="7991" max="7991" width="16.88671875" style="82" customWidth="1"/>
    <col min="7992" max="7997" width="9.109375" style="82"/>
    <col min="7998" max="7998" width="9.5546875" style="82" customWidth="1"/>
    <col min="7999" max="8001" width="0" style="82" hidden="1" customWidth="1"/>
    <col min="8002" max="8206" width="9.109375" style="82"/>
    <col min="8207" max="8207" width="2.109375" style="82" customWidth="1"/>
    <col min="8208" max="8208" width="13" style="82" customWidth="1"/>
    <col min="8209" max="8209" width="0.6640625" style="82" customWidth="1"/>
    <col min="8210" max="8210" width="14.6640625" style="82" customWidth="1"/>
    <col min="8211" max="8211" width="1.109375" style="82" customWidth="1"/>
    <col min="8212" max="8212" width="39" style="82" customWidth="1"/>
    <col min="8213" max="8213" width="1" style="82" customWidth="1"/>
    <col min="8214" max="8214" width="19" style="82" customWidth="1"/>
    <col min="8215" max="8215" width="1" style="82" customWidth="1"/>
    <col min="8216" max="8216" width="12.6640625" style="82" customWidth="1"/>
    <col min="8217" max="8217" width="0.6640625" style="82" customWidth="1"/>
    <col min="8218" max="8218" width="11.44140625" style="82" customWidth="1"/>
    <col min="8219" max="8219" width="1" style="82" customWidth="1"/>
    <col min="8220" max="8220" width="12" style="82" customWidth="1"/>
    <col min="8221" max="8221" width="0.88671875" style="82" customWidth="1"/>
    <col min="8222" max="8223" width="0" style="82" hidden="1" customWidth="1"/>
    <col min="8224" max="8224" width="14.33203125" style="82" customWidth="1"/>
    <col min="8225" max="8225" width="0.5546875" style="82" customWidth="1"/>
    <col min="8226" max="8226" width="11.109375" style="82" customWidth="1"/>
    <col min="8227" max="8227" width="1.33203125" style="82" customWidth="1"/>
    <col min="8228" max="8228" width="9.33203125" style="82" customWidth="1"/>
    <col min="8229" max="8229" width="1" style="82" customWidth="1"/>
    <col min="8230" max="8230" width="12.44140625" style="82" customWidth="1"/>
    <col min="8231" max="8231" width="1.109375" style="82" customWidth="1"/>
    <col min="8232" max="8232" width="11.6640625" style="82" customWidth="1"/>
    <col min="8233" max="8233" width="1.109375" style="82" customWidth="1"/>
    <col min="8234" max="8234" width="9.109375" style="82"/>
    <col min="8235" max="8235" width="1.44140625" style="82" customWidth="1"/>
    <col min="8236" max="8236" width="13.88671875" style="82" customWidth="1"/>
    <col min="8237" max="8237" width="55.33203125" style="82" customWidth="1"/>
    <col min="8238" max="8238" width="2" style="82" customWidth="1"/>
    <col min="8239" max="8239" width="67.44140625" style="82" customWidth="1"/>
    <col min="8240" max="8242" width="9.109375" style="82"/>
    <col min="8243" max="8246" width="9.109375" style="82" customWidth="1"/>
    <col min="8247" max="8247" width="16.88671875" style="82" customWidth="1"/>
    <col min="8248" max="8253" width="9.109375" style="82"/>
    <col min="8254" max="8254" width="9.5546875" style="82" customWidth="1"/>
    <col min="8255" max="8257" width="0" style="82" hidden="1" customWidth="1"/>
    <col min="8258" max="8462" width="9.109375" style="82"/>
    <col min="8463" max="8463" width="2.109375" style="82" customWidth="1"/>
    <col min="8464" max="8464" width="13" style="82" customWidth="1"/>
    <col min="8465" max="8465" width="0.6640625" style="82" customWidth="1"/>
    <col min="8466" max="8466" width="14.6640625" style="82" customWidth="1"/>
    <col min="8467" max="8467" width="1.109375" style="82" customWidth="1"/>
    <col min="8468" max="8468" width="39" style="82" customWidth="1"/>
    <col min="8469" max="8469" width="1" style="82" customWidth="1"/>
    <col min="8470" max="8470" width="19" style="82" customWidth="1"/>
    <col min="8471" max="8471" width="1" style="82" customWidth="1"/>
    <col min="8472" max="8472" width="12.6640625" style="82" customWidth="1"/>
    <col min="8473" max="8473" width="0.6640625" style="82" customWidth="1"/>
    <col min="8474" max="8474" width="11.44140625" style="82" customWidth="1"/>
    <col min="8475" max="8475" width="1" style="82" customWidth="1"/>
    <col min="8476" max="8476" width="12" style="82" customWidth="1"/>
    <col min="8477" max="8477" width="0.88671875" style="82" customWidth="1"/>
    <col min="8478" max="8479" width="0" style="82" hidden="1" customWidth="1"/>
    <col min="8480" max="8480" width="14.33203125" style="82" customWidth="1"/>
    <col min="8481" max="8481" width="0.5546875" style="82" customWidth="1"/>
    <col min="8482" max="8482" width="11.109375" style="82" customWidth="1"/>
    <col min="8483" max="8483" width="1.33203125" style="82" customWidth="1"/>
    <col min="8484" max="8484" width="9.33203125" style="82" customWidth="1"/>
    <col min="8485" max="8485" width="1" style="82" customWidth="1"/>
    <col min="8486" max="8486" width="12.44140625" style="82" customWidth="1"/>
    <col min="8487" max="8487" width="1.109375" style="82" customWidth="1"/>
    <col min="8488" max="8488" width="11.6640625" style="82" customWidth="1"/>
    <col min="8489" max="8489" width="1.109375" style="82" customWidth="1"/>
    <col min="8490" max="8490" width="9.109375" style="82"/>
    <col min="8491" max="8491" width="1.44140625" style="82" customWidth="1"/>
    <col min="8492" max="8492" width="13.88671875" style="82" customWidth="1"/>
    <col min="8493" max="8493" width="55.33203125" style="82" customWidth="1"/>
    <col min="8494" max="8494" width="2" style="82" customWidth="1"/>
    <col min="8495" max="8495" width="67.44140625" style="82" customWidth="1"/>
    <col min="8496" max="8498" width="9.109375" style="82"/>
    <col min="8499" max="8502" width="9.109375" style="82" customWidth="1"/>
    <col min="8503" max="8503" width="16.88671875" style="82" customWidth="1"/>
    <col min="8504" max="8509" width="9.109375" style="82"/>
    <col min="8510" max="8510" width="9.5546875" style="82" customWidth="1"/>
    <col min="8511" max="8513" width="0" style="82" hidden="1" customWidth="1"/>
    <col min="8514" max="8718" width="9.109375" style="82"/>
    <col min="8719" max="8719" width="2.109375" style="82" customWidth="1"/>
    <col min="8720" max="8720" width="13" style="82" customWidth="1"/>
    <col min="8721" max="8721" width="0.6640625" style="82" customWidth="1"/>
    <col min="8722" max="8722" width="14.6640625" style="82" customWidth="1"/>
    <col min="8723" max="8723" width="1.109375" style="82" customWidth="1"/>
    <col min="8724" max="8724" width="39" style="82" customWidth="1"/>
    <col min="8725" max="8725" width="1" style="82" customWidth="1"/>
    <col min="8726" max="8726" width="19" style="82" customWidth="1"/>
    <col min="8727" max="8727" width="1" style="82" customWidth="1"/>
    <col min="8728" max="8728" width="12.6640625" style="82" customWidth="1"/>
    <col min="8729" max="8729" width="0.6640625" style="82" customWidth="1"/>
    <col min="8730" max="8730" width="11.44140625" style="82" customWidth="1"/>
    <col min="8731" max="8731" width="1" style="82" customWidth="1"/>
    <col min="8732" max="8732" width="12" style="82" customWidth="1"/>
    <col min="8733" max="8733" width="0.88671875" style="82" customWidth="1"/>
    <col min="8734" max="8735" width="0" style="82" hidden="1" customWidth="1"/>
    <col min="8736" max="8736" width="14.33203125" style="82" customWidth="1"/>
    <col min="8737" max="8737" width="0.5546875" style="82" customWidth="1"/>
    <col min="8738" max="8738" width="11.109375" style="82" customWidth="1"/>
    <col min="8739" max="8739" width="1.33203125" style="82" customWidth="1"/>
    <col min="8740" max="8740" width="9.33203125" style="82" customWidth="1"/>
    <col min="8741" max="8741" width="1" style="82" customWidth="1"/>
    <col min="8742" max="8742" width="12.44140625" style="82" customWidth="1"/>
    <col min="8743" max="8743" width="1.109375" style="82" customWidth="1"/>
    <col min="8744" max="8744" width="11.6640625" style="82" customWidth="1"/>
    <col min="8745" max="8745" width="1.109375" style="82" customWidth="1"/>
    <col min="8746" max="8746" width="9.109375" style="82"/>
    <col min="8747" max="8747" width="1.44140625" style="82" customWidth="1"/>
    <col min="8748" max="8748" width="13.88671875" style="82" customWidth="1"/>
    <col min="8749" max="8749" width="55.33203125" style="82" customWidth="1"/>
    <col min="8750" max="8750" width="2" style="82" customWidth="1"/>
    <col min="8751" max="8751" width="67.44140625" style="82" customWidth="1"/>
    <col min="8752" max="8754" width="9.109375" style="82"/>
    <col min="8755" max="8758" width="9.109375" style="82" customWidth="1"/>
    <col min="8759" max="8759" width="16.88671875" style="82" customWidth="1"/>
    <col min="8760" max="8765" width="9.109375" style="82"/>
    <col min="8766" max="8766" width="9.5546875" style="82" customWidth="1"/>
    <col min="8767" max="8769" width="0" style="82" hidden="1" customWidth="1"/>
    <col min="8770" max="8974" width="9.109375" style="82"/>
    <col min="8975" max="8975" width="2.109375" style="82" customWidth="1"/>
    <col min="8976" max="8976" width="13" style="82" customWidth="1"/>
    <col min="8977" max="8977" width="0.6640625" style="82" customWidth="1"/>
    <col min="8978" max="8978" width="14.6640625" style="82" customWidth="1"/>
    <col min="8979" max="8979" width="1.109375" style="82" customWidth="1"/>
    <col min="8980" max="8980" width="39" style="82" customWidth="1"/>
    <col min="8981" max="8981" width="1" style="82" customWidth="1"/>
    <col min="8982" max="8982" width="19" style="82" customWidth="1"/>
    <col min="8983" max="8983" width="1" style="82" customWidth="1"/>
    <col min="8984" max="8984" width="12.6640625" style="82" customWidth="1"/>
    <col min="8985" max="8985" width="0.6640625" style="82" customWidth="1"/>
    <col min="8986" max="8986" width="11.44140625" style="82" customWidth="1"/>
    <col min="8987" max="8987" width="1" style="82" customWidth="1"/>
    <col min="8988" max="8988" width="12" style="82" customWidth="1"/>
    <col min="8989" max="8989" width="0.88671875" style="82" customWidth="1"/>
    <col min="8990" max="8991" width="0" style="82" hidden="1" customWidth="1"/>
    <col min="8992" max="8992" width="14.33203125" style="82" customWidth="1"/>
    <col min="8993" max="8993" width="0.5546875" style="82" customWidth="1"/>
    <col min="8994" max="8994" width="11.109375" style="82" customWidth="1"/>
    <col min="8995" max="8995" width="1.33203125" style="82" customWidth="1"/>
    <col min="8996" max="8996" width="9.33203125" style="82" customWidth="1"/>
    <col min="8997" max="8997" width="1" style="82" customWidth="1"/>
    <col min="8998" max="8998" width="12.44140625" style="82" customWidth="1"/>
    <col min="8999" max="8999" width="1.109375" style="82" customWidth="1"/>
    <col min="9000" max="9000" width="11.6640625" style="82" customWidth="1"/>
    <col min="9001" max="9001" width="1.109375" style="82" customWidth="1"/>
    <col min="9002" max="9002" width="9.109375" style="82"/>
    <col min="9003" max="9003" width="1.44140625" style="82" customWidth="1"/>
    <col min="9004" max="9004" width="13.88671875" style="82" customWidth="1"/>
    <col min="9005" max="9005" width="55.33203125" style="82" customWidth="1"/>
    <col min="9006" max="9006" width="2" style="82" customWidth="1"/>
    <col min="9007" max="9007" width="67.44140625" style="82" customWidth="1"/>
    <col min="9008" max="9010" width="9.109375" style="82"/>
    <col min="9011" max="9014" width="9.109375" style="82" customWidth="1"/>
    <col min="9015" max="9015" width="16.88671875" style="82" customWidth="1"/>
    <col min="9016" max="9021" width="9.109375" style="82"/>
    <col min="9022" max="9022" width="9.5546875" style="82" customWidth="1"/>
    <col min="9023" max="9025" width="0" style="82" hidden="1" customWidth="1"/>
    <col min="9026" max="9230" width="9.109375" style="82"/>
    <col min="9231" max="9231" width="2.109375" style="82" customWidth="1"/>
    <col min="9232" max="9232" width="13" style="82" customWidth="1"/>
    <col min="9233" max="9233" width="0.6640625" style="82" customWidth="1"/>
    <col min="9234" max="9234" width="14.6640625" style="82" customWidth="1"/>
    <col min="9235" max="9235" width="1.109375" style="82" customWidth="1"/>
    <col min="9236" max="9236" width="39" style="82" customWidth="1"/>
    <col min="9237" max="9237" width="1" style="82" customWidth="1"/>
    <col min="9238" max="9238" width="19" style="82" customWidth="1"/>
    <col min="9239" max="9239" width="1" style="82" customWidth="1"/>
    <col min="9240" max="9240" width="12.6640625" style="82" customWidth="1"/>
    <col min="9241" max="9241" width="0.6640625" style="82" customWidth="1"/>
    <col min="9242" max="9242" width="11.44140625" style="82" customWidth="1"/>
    <col min="9243" max="9243" width="1" style="82" customWidth="1"/>
    <col min="9244" max="9244" width="12" style="82" customWidth="1"/>
    <col min="9245" max="9245" width="0.88671875" style="82" customWidth="1"/>
    <col min="9246" max="9247" width="0" style="82" hidden="1" customWidth="1"/>
    <col min="9248" max="9248" width="14.33203125" style="82" customWidth="1"/>
    <col min="9249" max="9249" width="0.5546875" style="82" customWidth="1"/>
    <col min="9250" max="9250" width="11.109375" style="82" customWidth="1"/>
    <col min="9251" max="9251" width="1.33203125" style="82" customWidth="1"/>
    <col min="9252" max="9252" width="9.33203125" style="82" customWidth="1"/>
    <col min="9253" max="9253" width="1" style="82" customWidth="1"/>
    <col min="9254" max="9254" width="12.44140625" style="82" customWidth="1"/>
    <col min="9255" max="9255" width="1.109375" style="82" customWidth="1"/>
    <col min="9256" max="9256" width="11.6640625" style="82" customWidth="1"/>
    <col min="9257" max="9257" width="1.109375" style="82" customWidth="1"/>
    <col min="9258" max="9258" width="9.109375" style="82"/>
    <col min="9259" max="9259" width="1.44140625" style="82" customWidth="1"/>
    <col min="9260" max="9260" width="13.88671875" style="82" customWidth="1"/>
    <col min="9261" max="9261" width="55.33203125" style="82" customWidth="1"/>
    <col min="9262" max="9262" width="2" style="82" customWidth="1"/>
    <col min="9263" max="9263" width="67.44140625" style="82" customWidth="1"/>
    <col min="9264" max="9266" width="9.109375" style="82"/>
    <col min="9267" max="9270" width="9.109375" style="82" customWidth="1"/>
    <col min="9271" max="9271" width="16.88671875" style="82" customWidth="1"/>
    <col min="9272" max="9277" width="9.109375" style="82"/>
    <col min="9278" max="9278" width="9.5546875" style="82" customWidth="1"/>
    <col min="9279" max="9281" width="0" style="82" hidden="1" customWidth="1"/>
    <col min="9282" max="9486" width="9.109375" style="82"/>
    <col min="9487" max="9487" width="2.109375" style="82" customWidth="1"/>
    <col min="9488" max="9488" width="13" style="82" customWidth="1"/>
    <col min="9489" max="9489" width="0.6640625" style="82" customWidth="1"/>
    <col min="9490" max="9490" width="14.6640625" style="82" customWidth="1"/>
    <col min="9491" max="9491" width="1.109375" style="82" customWidth="1"/>
    <col min="9492" max="9492" width="39" style="82" customWidth="1"/>
    <col min="9493" max="9493" width="1" style="82" customWidth="1"/>
    <col min="9494" max="9494" width="19" style="82" customWidth="1"/>
    <col min="9495" max="9495" width="1" style="82" customWidth="1"/>
    <col min="9496" max="9496" width="12.6640625" style="82" customWidth="1"/>
    <col min="9497" max="9497" width="0.6640625" style="82" customWidth="1"/>
    <col min="9498" max="9498" width="11.44140625" style="82" customWidth="1"/>
    <col min="9499" max="9499" width="1" style="82" customWidth="1"/>
    <col min="9500" max="9500" width="12" style="82" customWidth="1"/>
    <col min="9501" max="9501" width="0.88671875" style="82" customWidth="1"/>
    <col min="9502" max="9503" width="0" style="82" hidden="1" customWidth="1"/>
    <col min="9504" max="9504" width="14.33203125" style="82" customWidth="1"/>
    <col min="9505" max="9505" width="0.5546875" style="82" customWidth="1"/>
    <col min="9506" max="9506" width="11.109375" style="82" customWidth="1"/>
    <col min="9507" max="9507" width="1.33203125" style="82" customWidth="1"/>
    <col min="9508" max="9508" width="9.33203125" style="82" customWidth="1"/>
    <col min="9509" max="9509" width="1" style="82" customWidth="1"/>
    <col min="9510" max="9510" width="12.44140625" style="82" customWidth="1"/>
    <col min="9511" max="9511" width="1.109375" style="82" customWidth="1"/>
    <col min="9512" max="9512" width="11.6640625" style="82" customWidth="1"/>
    <col min="9513" max="9513" width="1.109375" style="82" customWidth="1"/>
    <col min="9514" max="9514" width="9.109375" style="82"/>
    <col min="9515" max="9515" width="1.44140625" style="82" customWidth="1"/>
    <col min="9516" max="9516" width="13.88671875" style="82" customWidth="1"/>
    <col min="9517" max="9517" width="55.33203125" style="82" customWidth="1"/>
    <col min="9518" max="9518" width="2" style="82" customWidth="1"/>
    <col min="9519" max="9519" width="67.44140625" style="82" customWidth="1"/>
    <col min="9520" max="9522" width="9.109375" style="82"/>
    <col min="9523" max="9526" width="9.109375" style="82" customWidth="1"/>
    <col min="9527" max="9527" width="16.88671875" style="82" customWidth="1"/>
    <col min="9528" max="9533" width="9.109375" style="82"/>
    <col min="9534" max="9534" width="9.5546875" style="82" customWidth="1"/>
    <col min="9535" max="9537" width="0" style="82" hidden="1" customWidth="1"/>
    <col min="9538" max="9742" width="9.109375" style="82"/>
    <col min="9743" max="9743" width="2.109375" style="82" customWidth="1"/>
    <col min="9744" max="9744" width="13" style="82" customWidth="1"/>
    <col min="9745" max="9745" width="0.6640625" style="82" customWidth="1"/>
    <col min="9746" max="9746" width="14.6640625" style="82" customWidth="1"/>
    <col min="9747" max="9747" width="1.109375" style="82" customWidth="1"/>
    <col min="9748" max="9748" width="39" style="82" customWidth="1"/>
    <col min="9749" max="9749" width="1" style="82" customWidth="1"/>
    <col min="9750" max="9750" width="19" style="82" customWidth="1"/>
    <col min="9751" max="9751" width="1" style="82" customWidth="1"/>
    <col min="9752" max="9752" width="12.6640625" style="82" customWidth="1"/>
    <col min="9753" max="9753" width="0.6640625" style="82" customWidth="1"/>
    <col min="9754" max="9754" width="11.44140625" style="82" customWidth="1"/>
    <col min="9755" max="9755" width="1" style="82" customWidth="1"/>
    <col min="9756" max="9756" width="12" style="82" customWidth="1"/>
    <col min="9757" max="9757" width="0.88671875" style="82" customWidth="1"/>
    <col min="9758" max="9759" width="0" style="82" hidden="1" customWidth="1"/>
    <col min="9760" max="9760" width="14.33203125" style="82" customWidth="1"/>
    <col min="9761" max="9761" width="0.5546875" style="82" customWidth="1"/>
    <col min="9762" max="9762" width="11.109375" style="82" customWidth="1"/>
    <col min="9763" max="9763" width="1.33203125" style="82" customWidth="1"/>
    <col min="9764" max="9764" width="9.33203125" style="82" customWidth="1"/>
    <col min="9765" max="9765" width="1" style="82" customWidth="1"/>
    <col min="9766" max="9766" width="12.44140625" style="82" customWidth="1"/>
    <col min="9767" max="9767" width="1.109375" style="82" customWidth="1"/>
    <col min="9768" max="9768" width="11.6640625" style="82" customWidth="1"/>
    <col min="9769" max="9769" width="1.109375" style="82" customWidth="1"/>
    <col min="9770" max="9770" width="9.109375" style="82"/>
    <col min="9771" max="9771" width="1.44140625" style="82" customWidth="1"/>
    <col min="9772" max="9772" width="13.88671875" style="82" customWidth="1"/>
    <col min="9773" max="9773" width="55.33203125" style="82" customWidth="1"/>
    <col min="9774" max="9774" width="2" style="82" customWidth="1"/>
    <col min="9775" max="9775" width="67.44140625" style="82" customWidth="1"/>
    <col min="9776" max="9778" width="9.109375" style="82"/>
    <col min="9779" max="9782" width="9.109375" style="82" customWidth="1"/>
    <col min="9783" max="9783" width="16.88671875" style="82" customWidth="1"/>
    <col min="9784" max="9789" width="9.109375" style="82"/>
    <col min="9790" max="9790" width="9.5546875" style="82" customWidth="1"/>
    <col min="9791" max="9793" width="0" style="82" hidden="1" customWidth="1"/>
    <col min="9794" max="9998" width="9.109375" style="82"/>
    <col min="9999" max="9999" width="2.109375" style="82" customWidth="1"/>
    <col min="10000" max="10000" width="13" style="82" customWidth="1"/>
    <col min="10001" max="10001" width="0.6640625" style="82" customWidth="1"/>
    <col min="10002" max="10002" width="14.6640625" style="82" customWidth="1"/>
    <col min="10003" max="10003" width="1.109375" style="82" customWidth="1"/>
    <col min="10004" max="10004" width="39" style="82" customWidth="1"/>
    <col min="10005" max="10005" width="1" style="82" customWidth="1"/>
    <col min="10006" max="10006" width="19" style="82" customWidth="1"/>
    <col min="10007" max="10007" width="1" style="82" customWidth="1"/>
    <col min="10008" max="10008" width="12.6640625" style="82" customWidth="1"/>
    <col min="10009" max="10009" width="0.6640625" style="82" customWidth="1"/>
    <col min="10010" max="10010" width="11.44140625" style="82" customWidth="1"/>
    <col min="10011" max="10011" width="1" style="82" customWidth="1"/>
    <col min="10012" max="10012" width="12" style="82" customWidth="1"/>
    <col min="10013" max="10013" width="0.88671875" style="82" customWidth="1"/>
    <col min="10014" max="10015" width="0" style="82" hidden="1" customWidth="1"/>
    <col min="10016" max="10016" width="14.33203125" style="82" customWidth="1"/>
    <col min="10017" max="10017" width="0.5546875" style="82" customWidth="1"/>
    <col min="10018" max="10018" width="11.109375" style="82" customWidth="1"/>
    <col min="10019" max="10019" width="1.33203125" style="82" customWidth="1"/>
    <col min="10020" max="10020" width="9.33203125" style="82" customWidth="1"/>
    <col min="10021" max="10021" width="1" style="82" customWidth="1"/>
    <col min="10022" max="10022" width="12.44140625" style="82" customWidth="1"/>
    <col min="10023" max="10023" width="1.109375" style="82" customWidth="1"/>
    <col min="10024" max="10024" width="11.6640625" style="82" customWidth="1"/>
    <col min="10025" max="10025" width="1.109375" style="82" customWidth="1"/>
    <col min="10026" max="10026" width="9.109375" style="82"/>
    <col min="10027" max="10027" width="1.44140625" style="82" customWidth="1"/>
    <col min="10028" max="10028" width="13.88671875" style="82" customWidth="1"/>
    <col min="10029" max="10029" width="55.33203125" style="82" customWidth="1"/>
    <col min="10030" max="10030" width="2" style="82" customWidth="1"/>
    <col min="10031" max="10031" width="67.44140625" style="82" customWidth="1"/>
    <col min="10032" max="10034" width="9.109375" style="82"/>
    <col min="10035" max="10038" width="9.109375" style="82" customWidth="1"/>
    <col min="10039" max="10039" width="16.88671875" style="82" customWidth="1"/>
    <col min="10040" max="10045" width="9.109375" style="82"/>
    <col min="10046" max="10046" width="9.5546875" style="82" customWidth="1"/>
    <col min="10047" max="10049" width="0" style="82" hidden="1" customWidth="1"/>
    <col min="10050" max="10254" width="9.109375" style="82"/>
    <col min="10255" max="10255" width="2.109375" style="82" customWidth="1"/>
    <col min="10256" max="10256" width="13" style="82" customWidth="1"/>
    <col min="10257" max="10257" width="0.6640625" style="82" customWidth="1"/>
    <col min="10258" max="10258" width="14.6640625" style="82" customWidth="1"/>
    <col min="10259" max="10259" width="1.109375" style="82" customWidth="1"/>
    <col min="10260" max="10260" width="39" style="82" customWidth="1"/>
    <col min="10261" max="10261" width="1" style="82" customWidth="1"/>
    <col min="10262" max="10262" width="19" style="82" customWidth="1"/>
    <col min="10263" max="10263" width="1" style="82" customWidth="1"/>
    <col min="10264" max="10264" width="12.6640625" style="82" customWidth="1"/>
    <col min="10265" max="10265" width="0.6640625" style="82" customWidth="1"/>
    <col min="10266" max="10266" width="11.44140625" style="82" customWidth="1"/>
    <col min="10267" max="10267" width="1" style="82" customWidth="1"/>
    <col min="10268" max="10268" width="12" style="82" customWidth="1"/>
    <col min="10269" max="10269" width="0.88671875" style="82" customWidth="1"/>
    <col min="10270" max="10271" width="0" style="82" hidden="1" customWidth="1"/>
    <col min="10272" max="10272" width="14.33203125" style="82" customWidth="1"/>
    <col min="10273" max="10273" width="0.5546875" style="82" customWidth="1"/>
    <col min="10274" max="10274" width="11.109375" style="82" customWidth="1"/>
    <col min="10275" max="10275" width="1.33203125" style="82" customWidth="1"/>
    <col min="10276" max="10276" width="9.33203125" style="82" customWidth="1"/>
    <col min="10277" max="10277" width="1" style="82" customWidth="1"/>
    <col min="10278" max="10278" width="12.44140625" style="82" customWidth="1"/>
    <col min="10279" max="10279" width="1.109375" style="82" customWidth="1"/>
    <col min="10280" max="10280" width="11.6640625" style="82" customWidth="1"/>
    <col min="10281" max="10281" width="1.109375" style="82" customWidth="1"/>
    <col min="10282" max="10282" width="9.109375" style="82"/>
    <col min="10283" max="10283" width="1.44140625" style="82" customWidth="1"/>
    <col min="10284" max="10284" width="13.88671875" style="82" customWidth="1"/>
    <col min="10285" max="10285" width="55.33203125" style="82" customWidth="1"/>
    <col min="10286" max="10286" width="2" style="82" customWidth="1"/>
    <col min="10287" max="10287" width="67.44140625" style="82" customWidth="1"/>
    <col min="10288" max="10290" width="9.109375" style="82"/>
    <col min="10291" max="10294" width="9.109375" style="82" customWidth="1"/>
    <col min="10295" max="10295" width="16.88671875" style="82" customWidth="1"/>
    <col min="10296" max="10301" width="9.109375" style="82"/>
    <col min="10302" max="10302" width="9.5546875" style="82" customWidth="1"/>
    <col min="10303" max="10305" width="0" style="82" hidden="1" customWidth="1"/>
    <col min="10306" max="10510" width="9.109375" style="82"/>
    <col min="10511" max="10511" width="2.109375" style="82" customWidth="1"/>
    <col min="10512" max="10512" width="13" style="82" customWidth="1"/>
    <col min="10513" max="10513" width="0.6640625" style="82" customWidth="1"/>
    <col min="10514" max="10514" width="14.6640625" style="82" customWidth="1"/>
    <col min="10515" max="10515" width="1.109375" style="82" customWidth="1"/>
    <col min="10516" max="10516" width="39" style="82" customWidth="1"/>
    <col min="10517" max="10517" width="1" style="82" customWidth="1"/>
    <col min="10518" max="10518" width="19" style="82" customWidth="1"/>
    <col min="10519" max="10519" width="1" style="82" customWidth="1"/>
    <col min="10520" max="10520" width="12.6640625" style="82" customWidth="1"/>
    <col min="10521" max="10521" width="0.6640625" style="82" customWidth="1"/>
    <col min="10522" max="10522" width="11.44140625" style="82" customWidth="1"/>
    <col min="10523" max="10523" width="1" style="82" customWidth="1"/>
    <col min="10524" max="10524" width="12" style="82" customWidth="1"/>
    <col min="10525" max="10525" width="0.88671875" style="82" customWidth="1"/>
    <col min="10526" max="10527" width="0" style="82" hidden="1" customWidth="1"/>
    <col min="10528" max="10528" width="14.33203125" style="82" customWidth="1"/>
    <col min="10529" max="10529" width="0.5546875" style="82" customWidth="1"/>
    <col min="10530" max="10530" width="11.109375" style="82" customWidth="1"/>
    <col min="10531" max="10531" width="1.33203125" style="82" customWidth="1"/>
    <col min="10532" max="10532" width="9.33203125" style="82" customWidth="1"/>
    <col min="10533" max="10533" width="1" style="82" customWidth="1"/>
    <col min="10534" max="10534" width="12.44140625" style="82" customWidth="1"/>
    <col min="10535" max="10535" width="1.109375" style="82" customWidth="1"/>
    <col min="10536" max="10536" width="11.6640625" style="82" customWidth="1"/>
    <col min="10537" max="10537" width="1.109375" style="82" customWidth="1"/>
    <col min="10538" max="10538" width="9.109375" style="82"/>
    <col min="10539" max="10539" width="1.44140625" style="82" customWidth="1"/>
    <col min="10540" max="10540" width="13.88671875" style="82" customWidth="1"/>
    <col min="10541" max="10541" width="55.33203125" style="82" customWidth="1"/>
    <col min="10542" max="10542" width="2" style="82" customWidth="1"/>
    <col min="10543" max="10543" width="67.44140625" style="82" customWidth="1"/>
    <col min="10544" max="10546" width="9.109375" style="82"/>
    <col min="10547" max="10550" width="9.109375" style="82" customWidth="1"/>
    <col min="10551" max="10551" width="16.88671875" style="82" customWidth="1"/>
    <col min="10552" max="10557" width="9.109375" style="82"/>
    <col min="10558" max="10558" width="9.5546875" style="82" customWidth="1"/>
    <col min="10559" max="10561" width="0" style="82" hidden="1" customWidth="1"/>
    <col min="10562" max="10766" width="9.109375" style="82"/>
    <col min="10767" max="10767" width="2.109375" style="82" customWidth="1"/>
    <col min="10768" max="10768" width="13" style="82" customWidth="1"/>
    <col min="10769" max="10769" width="0.6640625" style="82" customWidth="1"/>
    <col min="10770" max="10770" width="14.6640625" style="82" customWidth="1"/>
    <col min="10771" max="10771" width="1.109375" style="82" customWidth="1"/>
    <col min="10772" max="10772" width="39" style="82" customWidth="1"/>
    <col min="10773" max="10773" width="1" style="82" customWidth="1"/>
    <col min="10774" max="10774" width="19" style="82" customWidth="1"/>
    <col min="10775" max="10775" width="1" style="82" customWidth="1"/>
    <col min="10776" max="10776" width="12.6640625" style="82" customWidth="1"/>
    <col min="10777" max="10777" width="0.6640625" style="82" customWidth="1"/>
    <col min="10778" max="10778" width="11.44140625" style="82" customWidth="1"/>
    <col min="10779" max="10779" width="1" style="82" customWidth="1"/>
    <col min="10780" max="10780" width="12" style="82" customWidth="1"/>
    <col min="10781" max="10781" width="0.88671875" style="82" customWidth="1"/>
    <col min="10782" max="10783" width="0" style="82" hidden="1" customWidth="1"/>
    <col min="10784" max="10784" width="14.33203125" style="82" customWidth="1"/>
    <col min="10785" max="10785" width="0.5546875" style="82" customWidth="1"/>
    <col min="10786" max="10786" width="11.109375" style="82" customWidth="1"/>
    <col min="10787" max="10787" width="1.33203125" style="82" customWidth="1"/>
    <col min="10788" max="10788" width="9.33203125" style="82" customWidth="1"/>
    <col min="10789" max="10789" width="1" style="82" customWidth="1"/>
    <col min="10790" max="10790" width="12.44140625" style="82" customWidth="1"/>
    <col min="10791" max="10791" width="1.109375" style="82" customWidth="1"/>
    <col min="10792" max="10792" width="11.6640625" style="82" customWidth="1"/>
    <col min="10793" max="10793" width="1.109375" style="82" customWidth="1"/>
    <col min="10794" max="10794" width="9.109375" style="82"/>
    <col min="10795" max="10795" width="1.44140625" style="82" customWidth="1"/>
    <col min="10796" max="10796" width="13.88671875" style="82" customWidth="1"/>
    <col min="10797" max="10797" width="55.33203125" style="82" customWidth="1"/>
    <col min="10798" max="10798" width="2" style="82" customWidth="1"/>
    <col min="10799" max="10799" width="67.44140625" style="82" customWidth="1"/>
    <col min="10800" max="10802" width="9.109375" style="82"/>
    <col min="10803" max="10806" width="9.109375" style="82" customWidth="1"/>
    <col min="10807" max="10807" width="16.88671875" style="82" customWidth="1"/>
    <col min="10808" max="10813" width="9.109375" style="82"/>
    <col min="10814" max="10814" width="9.5546875" style="82" customWidth="1"/>
    <col min="10815" max="10817" width="0" style="82" hidden="1" customWidth="1"/>
    <col min="10818" max="11022" width="9.109375" style="82"/>
    <col min="11023" max="11023" width="2.109375" style="82" customWidth="1"/>
    <col min="11024" max="11024" width="13" style="82" customWidth="1"/>
    <col min="11025" max="11025" width="0.6640625" style="82" customWidth="1"/>
    <col min="11026" max="11026" width="14.6640625" style="82" customWidth="1"/>
    <col min="11027" max="11027" width="1.109375" style="82" customWidth="1"/>
    <col min="11028" max="11028" width="39" style="82" customWidth="1"/>
    <col min="11029" max="11029" width="1" style="82" customWidth="1"/>
    <col min="11030" max="11030" width="19" style="82" customWidth="1"/>
    <col min="11031" max="11031" width="1" style="82" customWidth="1"/>
    <col min="11032" max="11032" width="12.6640625" style="82" customWidth="1"/>
    <col min="11033" max="11033" width="0.6640625" style="82" customWidth="1"/>
    <col min="11034" max="11034" width="11.44140625" style="82" customWidth="1"/>
    <col min="11035" max="11035" width="1" style="82" customWidth="1"/>
    <col min="11036" max="11036" width="12" style="82" customWidth="1"/>
    <col min="11037" max="11037" width="0.88671875" style="82" customWidth="1"/>
    <col min="11038" max="11039" width="0" style="82" hidden="1" customWidth="1"/>
    <col min="11040" max="11040" width="14.33203125" style="82" customWidth="1"/>
    <col min="11041" max="11041" width="0.5546875" style="82" customWidth="1"/>
    <col min="11042" max="11042" width="11.109375" style="82" customWidth="1"/>
    <col min="11043" max="11043" width="1.33203125" style="82" customWidth="1"/>
    <col min="11044" max="11044" width="9.33203125" style="82" customWidth="1"/>
    <col min="11045" max="11045" width="1" style="82" customWidth="1"/>
    <col min="11046" max="11046" width="12.44140625" style="82" customWidth="1"/>
    <col min="11047" max="11047" width="1.109375" style="82" customWidth="1"/>
    <col min="11048" max="11048" width="11.6640625" style="82" customWidth="1"/>
    <col min="11049" max="11049" width="1.109375" style="82" customWidth="1"/>
    <col min="11050" max="11050" width="9.109375" style="82"/>
    <col min="11051" max="11051" width="1.44140625" style="82" customWidth="1"/>
    <col min="11052" max="11052" width="13.88671875" style="82" customWidth="1"/>
    <col min="11053" max="11053" width="55.33203125" style="82" customWidth="1"/>
    <col min="11054" max="11054" width="2" style="82" customWidth="1"/>
    <col min="11055" max="11055" width="67.44140625" style="82" customWidth="1"/>
    <col min="11056" max="11058" width="9.109375" style="82"/>
    <col min="11059" max="11062" width="9.109375" style="82" customWidth="1"/>
    <col min="11063" max="11063" width="16.88671875" style="82" customWidth="1"/>
    <col min="11064" max="11069" width="9.109375" style="82"/>
    <col min="11070" max="11070" width="9.5546875" style="82" customWidth="1"/>
    <col min="11071" max="11073" width="0" style="82" hidden="1" customWidth="1"/>
    <col min="11074" max="11278" width="9.109375" style="82"/>
    <col min="11279" max="11279" width="2.109375" style="82" customWidth="1"/>
    <col min="11280" max="11280" width="13" style="82" customWidth="1"/>
    <col min="11281" max="11281" width="0.6640625" style="82" customWidth="1"/>
    <col min="11282" max="11282" width="14.6640625" style="82" customWidth="1"/>
    <col min="11283" max="11283" width="1.109375" style="82" customWidth="1"/>
    <col min="11284" max="11284" width="39" style="82" customWidth="1"/>
    <col min="11285" max="11285" width="1" style="82" customWidth="1"/>
    <col min="11286" max="11286" width="19" style="82" customWidth="1"/>
    <col min="11287" max="11287" width="1" style="82" customWidth="1"/>
    <col min="11288" max="11288" width="12.6640625" style="82" customWidth="1"/>
    <col min="11289" max="11289" width="0.6640625" style="82" customWidth="1"/>
    <col min="11290" max="11290" width="11.44140625" style="82" customWidth="1"/>
    <col min="11291" max="11291" width="1" style="82" customWidth="1"/>
    <col min="11292" max="11292" width="12" style="82" customWidth="1"/>
    <col min="11293" max="11293" width="0.88671875" style="82" customWidth="1"/>
    <col min="11294" max="11295" width="0" style="82" hidden="1" customWidth="1"/>
    <col min="11296" max="11296" width="14.33203125" style="82" customWidth="1"/>
    <col min="11297" max="11297" width="0.5546875" style="82" customWidth="1"/>
    <col min="11298" max="11298" width="11.109375" style="82" customWidth="1"/>
    <col min="11299" max="11299" width="1.33203125" style="82" customWidth="1"/>
    <col min="11300" max="11300" width="9.33203125" style="82" customWidth="1"/>
    <col min="11301" max="11301" width="1" style="82" customWidth="1"/>
    <col min="11302" max="11302" width="12.44140625" style="82" customWidth="1"/>
    <col min="11303" max="11303" width="1.109375" style="82" customWidth="1"/>
    <col min="11304" max="11304" width="11.6640625" style="82" customWidth="1"/>
    <col min="11305" max="11305" width="1.109375" style="82" customWidth="1"/>
    <col min="11306" max="11306" width="9.109375" style="82"/>
    <col min="11307" max="11307" width="1.44140625" style="82" customWidth="1"/>
    <col min="11308" max="11308" width="13.88671875" style="82" customWidth="1"/>
    <col min="11309" max="11309" width="55.33203125" style="82" customWidth="1"/>
    <col min="11310" max="11310" width="2" style="82" customWidth="1"/>
    <col min="11311" max="11311" width="67.44140625" style="82" customWidth="1"/>
    <col min="11312" max="11314" width="9.109375" style="82"/>
    <col min="11315" max="11318" width="9.109375" style="82" customWidth="1"/>
    <col min="11319" max="11319" width="16.88671875" style="82" customWidth="1"/>
    <col min="11320" max="11325" width="9.109375" style="82"/>
    <col min="11326" max="11326" width="9.5546875" style="82" customWidth="1"/>
    <col min="11327" max="11329" width="0" style="82" hidden="1" customWidth="1"/>
    <col min="11330" max="11534" width="9.109375" style="82"/>
    <col min="11535" max="11535" width="2.109375" style="82" customWidth="1"/>
    <col min="11536" max="11536" width="13" style="82" customWidth="1"/>
    <col min="11537" max="11537" width="0.6640625" style="82" customWidth="1"/>
    <col min="11538" max="11538" width="14.6640625" style="82" customWidth="1"/>
    <col min="11539" max="11539" width="1.109375" style="82" customWidth="1"/>
    <col min="11540" max="11540" width="39" style="82" customWidth="1"/>
    <col min="11541" max="11541" width="1" style="82" customWidth="1"/>
    <col min="11542" max="11542" width="19" style="82" customWidth="1"/>
    <col min="11543" max="11543" width="1" style="82" customWidth="1"/>
    <col min="11544" max="11544" width="12.6640625" style="82" customWidth="1"/>
    <col min="11545" max="11545" width="0.6640625" style="82" customWidth="1"/>
    <col min="11546" max="11546" width="11.44140625" style="82" customWidth="1"/>
    <col min="11547" max="11547" width="1" style="82" customWidth="1"/>
    <col min="11548" max="11548" width="12" style="82" customWidth="1"/>
    <col min="11549" max="11549" width="0.88671875" style="82" customWidth="1"/>
    <col min="11550" max="11551" width="0" style="82" hidden="1" customWidth="1"/>
    <col min="11552" max="11552" width="14.33203125" style="82" customWidth="1"/>
    <col min="11553" max="11553" width="0.5546875" style="82" customWidth="1"/>
    <col min="11554" max="11554" width="11.109375" style="82" customWidth="1"/>
    <col min="11555" max="11555" width="1.33203125" style="82" customWidth="1"/>
    <col min="11556" max="11556" width="9.33203125" style="82" customWidth="1"/>
    <col min="11557" max="11557" width="1" style="82" customWidth="1"/>
    <col min="11558" max="11558" width="12.44140625" style="82" customWidth="1"/>
    <col min="11559" max="11559" width="1.109375" style="82" customWidth="1"/>
    <col min="11560" max="11560" width="11.6640625" style="82" customWidth="1"/>
    <col min="11561" max="11561" width="1.109375" style="82" customWidth="1"/>
    <col min="11562" max="11562" width="9.109375" style="82"/>
    <col min="11563" max="11563" width="1.44140625" style="82" customWidth="1"/>
    <col min="11564" max="11564" width="13.88671875" style="82" customWidth="1"/>
    <col min="11565" max="11565" width="55.33203125" style="82" customWidth="1"/>
    <col min="11566" max="11566" width="2" style="82" customWidth="1"/>
    <col min="11567" max="11567" width="67.44140625" style="82" customWidth="1"/>
    <col min="11568" max="11570" width="9.109375" style="82"/>
    <col min="11571" max="11574" width="9.109375" style="82" customWidth="1"/>
    <col min="11575" max="11575" width="16.88671875" style="82" customWidth="1"/>
    <col min="11576" max="11581" width="9.109375" style="82"/>
    <col min="11582" max="11582" width="9.5546875" style="82" customWidth="1"/>
    <col min="11583" max="11585" width="0" style="82" hidden="1" customWidth="1"/>
    <col min="11586" max="11790" width="9.109375" style="82"/>
    <col min="11791" max="11791" width="2.109375" style="82" customWidth="1"/>
    <col min="11792" max="11792" width="13" style="82" customWidth="1"/>
    <col min="11793" max="11793" width="0.6640625" style="82" customWidth="1"/>
    <col min="11794" max="11794" width="14.6640625" style="82" customWidth="1"/>
    <col min="11795" max="11795" width="1.109375" style="82" customWidth="1"/>
    <col min="11796" max="11796" width="39" style="82" customWidth="1"/>
    <col min="11797" max="11797" width="1" style="82" customWidth="1"/>
    <col min="11798" max="11798" width="19" style="82" customWidth="1"/>
    <col min="11799" max="11799" width="1" style="82" customWidth="1"/>
    <col min="11800" max="11800" width="12.6640625" style="82" customWidth="1"/>
    <col min="11801" max="11801" width="0.6640625" style="82" customWidth="1"/>
    <col min="11802" max="11802" width="11.44140625" style="82" customWidth="1"/>
    <col min="11803" max="11803" width="1" style="82" customWidth="1"/>
    <col min="11804" max="11804" width="12" style="82" customWidth="1"/>
    <col min="11805" max="11805" width="0.88671875" style="82" customWidth="1"/>
    <col min="11806" max="11807" width="0" style="82" hidden="1" customWidth="1"/>
    <col min="11808" max="11808" width="14.33203125" style="82" customWidth="1"/>
    <col min="11809" max="11809" width="0.5546875" style="82" customWidth="1"/>
    <col min="11810" max="11810" width="11.109375" style="82" customWidth="1"/>
    <col min="11811" max="11811" width="1.33203125" style="82" customWidth="1"/>
    <col min="11812" max="11812" width="9.33203125" style="82" customWidth="1"/>
    <col min="11813" max="11813" width="1" style="82" customWidth="1"/>
    <col min="11814" max="11814" width="12.44140625" style="82" customWidth="1"/>
    <col min="11815" max="11815" width="1.109375" style="82" customWidth="1"/>
    <col min="11816" max="11816" width="11.6640625" style="82" customWidth="1"/>
    <col min="11817" max="11817" width="1.109375" style="82" customWidth="1"/>
    <col min="11818" max="11818" width="9.109375" style="82"/>
    <col min="11819" max="11819" width="1.44140625" style="82" customWidth="1"/>
    <col min="11820" max="11820" width="13.88671875" style="82" customWidth="1"/>
    <col min="11821" max="11821" width="55.33203125" style="82" customWidth="1"/>
    <col min="11822" max="11822" width="2" style="82" customWidth="1"/>
    <col min="11823" max="11823" width="67.44140625" style="82" customWidth="1"/>
    <col min="11824" max="11826" width="9.109375" style="82"/>
    <col min="11827" max="11830" width="9.109375" style="82" customWidth="1"/>
    <col min="11831" max="11831" width="16.88671875" style="82" customWidth="1"/>
    <col min="11832" max="11837" width="9.109375" style="82"/>
    <col min="11838" max="11838" width="9.5546875" style="82" customWidth="1"/>
    <col min="11839" max="11841" width="0" style="82" hidden="1" customWidth="1"/>
    <col min="11842" max="12046" width="9.109375" style="82"/>
    <col min="12047" max="12047" width="2.109375" style="82" customWidth="1"/>
    <col min="12048" max="12048" width="13" style="82" customWidth="1"/>
    <col min="12049" max="12049" width="0.6640625" style="82" customWidth="1"/>
    <col min="12050" max="12050" width="14.6640625" style="82" customWidth="1"/>
    <col min="12051" max="12051" width="1.109375" style="82" customWidth="1"/>
    <col min="12052" max="12052" width="39" style="82" customWidth="1"/>
    <col min="12053" max="12053" width="1" style="82" customWidth="1"/>
    <col min="12054" max="12054" width="19" style="82" customWidth="1"/>
    <col min="12055" max="12055" width="1" style="82" customWidth="1"/>
    <col min="12056" max="12056" width="12.6640625" style="82" customWidth="1"/>
    <col min="12057" max="12057" width="0.6640625" style="82" customWidth="1"/>
    <col min="12058" max="12058" width="11.44140625" style="82" customWidth="1"/>
    <col min="12059" max="12059" width="1" style="82" customWidth="1"/>
    <col min="12060" max="12060" width="12" style="82" customWidth="1"/>
    <col min="12061" max="12061" width="0.88671875" style="82" customWidth="1"/>
    <col min="12062" max="12063" width="0" style="82" hidden="1" customWidth="1"/>
    <col min="12064" max="12064" width="14.33203125" style="82" customWidth="1"/>
    <col min="12065" max="12065" width="0.5546875" style="82" customWidth="1"/>
    <col min="12066" max="12066" width="11.109375" style="82" customWidth="1"/>
    <col min="12067" max="12067" width="1.33203125" style="82" customWidth="1"/>
    <col min="12068" max="12068" width="9.33203125" style="82" customWidth="1"/>
    <col min="12069" max="12069" width="1" style="82" customWidth="1"/>
    <col min="12070" max="12070" width="12.44140625" style="82" customWidth="1"/>
    <col min="12071" max="12071" width="1.109375" style="82" customWidth="1"/>
    <col min="12072" max="12072" width="11.6640625" style="82" customWidth="1"/>
    <col min="12073" max="12073" width="1.109375" style="82" customWidth="1"/>
    <col min="12074" max="12074" width="9.109375" style="82"/>
    <col min="12075" max="12075" width="1.44140625" style="82" customWidth="1"/>
    <col min="12076" max="12076" width="13.88671875" style="82" customWidth="1"/>
    <col min="12077" max="12077" width="55.33203125" style="82" customWidth="1"/>
    <col min="12078" max="12078" width="2" style="82" customWidth="1"/>
    <col min="12079" max="12079" width="67.44140625" style="82" customWidth="1"/>
    <col min="12080" max="12082" width="9.109375" style="82"/>
    <col min="12083" max="12086" width="9.109375" style="82" customWidth="1"/>
    <col min="12087" max="12087" width="16.88671875" style="82" customWidth="1"/>
    <col min="12088" max="12093" width="9.109375" style="82"/>
    <col min="12094" max="12094" width="9.5546875" style="82" customWidth="1"/>
    <col min="12095" max="12097" width="0" style="82" hidden="1" customWidth="1"/>
    <col min="12098" max="12302" width="9.109375" style="82"/>
    <col min="12303" max="12303" width="2.109375" style="82" customWidth="1"/>
    <col min="12304" max="12304" width="13" style="82" customWidth="1"/>
    <col min="12305" max="12305" width="0.6640625" style="82" customWidth="1"/>
    <col min="12306" max="12306" width="14.6640625" style="82" customWidth="1"/>
    <col min="12307" max="12307" width="1.109375" style="82" customWidth="1"/>
    <col min="12308" max="12308" width="39" style="82" customWidth="1"/>
    <col min="12309" max="12309" width="1" style="82" customWidth="1"/>
    <col min="12310" max="12310" width="19" style="82" customWidth="1"/>
    <col min="12311" max="12311" width="1" style="82" customWidth="1"/>
    <col min="12312" max="12312" width="12.6640625" style="82" customWidth="1"/>
    <col min="12313" max="12313" width="0.6640625" style="82" customWidth="1"/>
    <col min="12314" max="12314" width="11.44140625" style="82" customWidth="1"/>
    <col min="12315" max="12315" width="1" style="82" customWidth="1"/>
    <col min="12316" max="12316" width="12" style="82" customWidth="1"/>
    <col min="12317" max="12317" width="0.88671875" style="82" customWidth="1"/>
    <col min="12318" max="12319" width="0" style="82" hidden="1" customWidth="1"/>
    <col min="12320" max="12320" width="14.33203125" style="82" customWidth="1"/>
    <col min="12321" max="12321" width="0.5546875" style="82" customWidth="1"/>
    <col min="12322" max="12322" width="11.109375" style="82" customWidth="1"/>
    <col min="12323" max="12323" width="1.33203125" style="82" customWidth="1"/>
    <col min="12324" max="12324" width="9.33203125" style="82" customWidth="1"/>
    <col min="12325" max="12325" width="1" style="82" customWidth="1"/>
    <col min="12326" max="12326" width="12.44140625" style="82" customWidth="1"/>
    <col min="12327" max="12327" width="1.109375" style="82" customWidth="1"/>
    <col min="12328" max="12328" width="11.6640625" style="82" customWidth="1"/>
    <col min="12329" max="12329" width="1.109375" style="82" customWidth="1"/>
    <col min="12330" max="12330" width="9.109375" style="82"/>
    <col min="12331" max="12331" width="1.44140625" style="82" customWidth="1"/>
    <col min="12332" max="12332" width="13.88671875" style="82" customWidth="1"/>
    <col min="12333" max="12333" width="55.33203125" style="82" customWidth="1"/>
    <col min="12334" max="12334" width="2" style="82" customWidth="1"/>
    <col min="12335" max="12335" width="67.44140625" style="82" customWidth="1"/>
    <col min="12336" max="12338" width="9.109375" style="82"/>
    <col min="12339" max="12342" width="9.109375" style="82" customWidth="1"/>
    <col min="12343" max="12343" width="16.88671875" style="82" customWidth="1"/>
    <col min="12344" max="12349" width="9.109375" style="82"/>
    <col min="12350" max="12350" width="9.5546875" style="82" customWidth="1"/>
    <col min="12351" max="12353" width="0" style="82" hidden="1" customWidth="1"/>
    <col min="12354" max="12558" width="9.109375" style="82"/>
    <col min="12559" max="12559" width="2.109375" style="82" customWidth="1"/>
    <col min="12560" max="12560" width="13" style="82" customWidth="1"/>
    <col min="12561" max="12561" width="0.6640625" style="82" customWidth="1"/>
    <col min="12562" max="12562" width="14.6640625" style="82" customWidth="1"/>
    <col min="12563" max="12563" width="1.109375" style="82" customWidth="1"/>
    <col min="12564" max="12564" width="39" style="82" customWidth="1"/>
    <col min="12565" max="12565" width="1" style="82" customWidth="1"/>
    <col min="12566" max="12566" width="19" style="82" customWidth="1"/>
    <col min="12567" max="12567" width="1" style="82" customWidth="1"/>
    <col min="12568" max="12568" width="12.6640625" style="82" customWidth="1"/>
    <col min="12569" max="12569" width="0.6640625" style="82" customWidth="1"/>
    <col min="12570" max="12570" width="11.44140625" style="82" customWidth="1"/>
    <col min="12571" max="12571" width="1" style="82" customWidth="1"/>
    <col min="12572" max="12572" width="12" style="82" customWidth="1"/>
    <col min="12573" max="12573" width="0.88671875" style="82" customWidth="1"/>
    <col min="12574" max="12575" width="0" style="82" hidden="1" customWidth="1"/>
    <col min="12576" max="12576" width="14.33203125" style="82" customWidth="1"/>
    <col min="12577" max="12577" width="0.5546875" style="82" customWidth="1"/>
    <col min="12578" max="12578" width="11.109375" style="82" customWidth="1"/>
    <col min="12579" max="12579" width="1.33203125" style="82" customWidth="1"/>
    <col min="12580" max="12580" width="9.33203125" style="82" customWidth="1"/>
    <col min="12581" max="12581" width="1" style="82" customWidth="1"/>
    <col min="12582" max="12582" width="12.44140625" style="82" customWidth="1"/>
    <col min="12583" max="12583" width="1.109375" style="82" customWidth="1"/>
    <col min="12584" max="12584" width="11.6640625" style="82" customWidth="1"/>
    <col min="12585" max="12585" width="1.109375" style="82" customWidth="1"/>
    <col min="12586" max="12586" width="9.109375" style="82"/>
    <col min="12587" max="12587" width="1.44140625" style="82" customWidth="1"/>
    <col min="12588" max="12588" width="13.88671875" style="82" customWidth="1"/>
    <col min="12589" max="12589" width="55.33203125" style="82" customWidth="1"/>
    <col min="12590" max="12590" width="2" style="82" customWidth="1"/>
    <col min="12591" max="12591" width="67.44140625" style="82" customWidth="1"/>
    <col min="12592" max="12594" width="9.109375" style="82"/>
    <col min="12595" max="12598" width="9.109375" style="82" customWidth="1"/>
    <col min="12599" max="12599" width="16.88671875" style="82" customWidth="1"/>
    <col min="12600" max="12605" width="9.109375" style="82"/>
    <col min="12606" max="12606" width="9.5546875" style="82" customWidth="1"/>
    <col min="12607" max="12609" width="0" style="82" hidden="1" customWidth="1"/>
    <col min="12610" max="12814" width="9.109375" style="82"/>
    <col min="12815" max="12815" width="2.109375" style="82" customWidth="1"/>
    <col min="12816" max="12816" width="13" style="82" customWidth="1"/>
    <col min="12817" max="12817" width="0.6640625" style="82" customWidth="1"/>
    <col min="12818" max="12818" width="14.6640625" style="82" customWidth="1"/>
    <col min="12819" max="12819" width="1.109375" style="82" customWidth="1"/>
    <col min="12820" max="12820" width="39" style="82" customWidth="1"/>
    <col min="12821" max="12821" width="1" style="82" customWidth="1"/>
    <col min="12822" max="12822" width="19" style="82" customWidth="1"/>
    <col min="12823" max="12823" width="1" style="82" customWidth="1"/>
    <col min="12824" max="12824" width="12.6640625" style="82" customWidth="1"/>
    <col min="12825" max="12825" width="0.6640625" style="82" customWidth="1"/>
    <col min="12826" max="12826" width="11.44140625" style="82" customWidth="1"/>
    <col min="12827" max="12827" width="1" style="82" customWidth="1"/>
    <col min="12828" max="12828" width="12" style="82" customWidth="1"/>
    <col min="12829" max="12829" width="0.88671875" style="82" customWidth="1"/>
    <col min="12830" max="12831" width="0" style="82" hidden="1" customWidth="1"/>
    <col min="12832" max="12832" width="14.33203125" style="82" customWidth="1"/>
    <col min="12833" max="12833" width="0.5546875" style="82" customWidth="1"/>
    <col min="12834" max="12834" width="11.109375" style="82" customWidth="1"/>
    <col min="12835" max="12835" width="1.33203125" style="82" customWidth="1"/>
    <col min="12836" max="12836" width="9.33203125" style="82" customWidth="1"/>
    <col min="12837" max="12837" width="1" style="82" customWidth="1"/>
    <col min="12838" max="12838" width="12.44140625" style="82" customWidth="1"/>
    <col min="12839" max="12839" width="1.109375" style="82" customWidth="1"/>
    <col min="12840" max="12840" width="11.6640625" style="82" customWidth="1"/>
    <col min="12841" max="12841" width="1.109375" style="82" customWidth="1"/>
    <col min="12842" max="12842" width="9.109375" style="82"/>
    <col min="12843" max="12843" width="1.44140625" style="82" customWidth="1"/>
    <col min="12844" max="12844" width="13.88671875" style="82" customWidth="1"/>
    <col min="12845" max="12845" width="55.33203125" style="82" customWidth="1"/>
    <col min="12846" max="12846" width="2" style="82" customWidth="1"/>
    <col min="12847" max="12847" width="67.44140625" style="82" customWidth="1"/>
    <col min="12848" max="12850" width="9.109375" style="82"/>
    <col min="12851" max="12854" width="9.109375" style="82" customWidth="1"/>
    <col min="12855" max="12855" width="16.88671875" style="82" customWidth="1"/>
    <col min="12856" max="12861" width="9.109375" style="82"/>
    <col min="12862" max="12862" width="9.5546875" style="82" customWidth="1"/>
    <col min="12863" max="12865" width="0" style="82" hidden="1" customWidth="1"/>
    <col min="12866" max="13070" width="9.109375" style="82"/>
    <col min="13071" max="13071" width="2.109375" style="82" customWidth="1"/>
    <col min="13072" max="13072" width="13" style="82" customWidth="1"/>
    <col min="13073" max="13073" width="0.6640625" style="82" customWidth="1"/>
    <col min="13074" max="13074" width="14.6640625" style="82" customWidth="1"/>
    <col min="13075" max="13075" width="1.109375" style="82" customWidth="1"/>
    <col min="13076" max="13076" width="39" style="82" customWidth="1"/>
    <col min="13077" max="13077" width="1" style="82" customWidth="1"/>
    <col min="13078" max="13078" width="19" style="82" customWidth="1"/>
    <col min="13079" max="13079" width="1" style="82" customWidth="1"/>
    <col min="13080" max="13080" width="12.6640625" style="82" customWidth="1"/>
    <col min="13081" max="13081" width="0.6640625" style="82" customWidth="1"/>
    <col min="13082" max="13082" width="11.44140625" style="82" customWidth="1"/>
    <col min="13083" max="13083" width="1" style="82" customWidth="1"/>
    <col min="13084" max="13084" width="12" style="82" customWidth="1"/>
    <col min="13085" max="13085" width="0.88671875" style="82" customWidth="1"/>
    <col min="13086" max="13087" width="0" style="82" hidden="1" customWidth="1"/>
    <col min="13088" max="13088" width="14.33203125" style="82" customWidth="1"/>
    <col min="13089" max="13089" width="0.5546875" style="82" customWidth="1"/>
    <col min="13090" max="13090" width="11.109375" style="82" customWidth="1"/>
    <col min="13091" max="13091" width="1.33203125" style="82" customWidth="1"/>
    <col min="13092" max="13092" width="9.33203125" style="82" customWidth="1"/>
    <col min="13093" max="13093" width="1" style="82" customWidth="1"/>
    <col min="13094" max="13094" width="12.44140625" style="82" customWidth="1"/>
    <col min="13095" max="13095" width="1.109375" style="82" customWidth="1"/>
    <col min="13096" max="13096" width="11.6640625" style="82" customWidth="1"/>
    <col min="13097" max="13097" width="1.109375" style="82" customWidth="1"/>
    <col min="13098" max="13098" width="9.109375" style="82"/>
    <col min="13099" max="13099" width="1.44140625" style="82" customWidth="1"/>
    <col min="13100" max="13100" width="13.88671875" style="82" customWidth="1"/>
    <col min="13101" max="13101" width="55.33203125" style="82" customWidth="1"/>
    <col min="13102" max="13102" width="2" style="82" customWidth="1"/>
    <col min="13103" max="13103" width="67.44140625" style="82" customWidth="1"/>
    <col min="13104" max="13106" width="9.109375" style="82"/>
    <col min="13107" max="13110" width="9.109375" style="82" customWidth="1"/>
    <col min="13111" max="13111" width="16.88671875" style="82" customWidth="1"/>
    <col min="13112" max="13117" width="9.109375" style="82"/>
    <col min="13118" max="13118" width="9.5546875" style="82" customWidth="1"/>
    <col min="13119" max="13121" width="0" style="82" hidden="1" customWidth="1"/>
    <col min="13122" max="13326" width="9.109375" style="82"/>
    <col min="13327" max="13327" width="2.109375" style="82" customWidth="1"/>
    <col min="13328" max="13328" width="13" style="82" customWidth="1"/>
    <col min="13329" max="13329" width="0.6640625" style="82" customWidth="1"/>
    <col min="13330" max="13330" width="14.6640625" style="82" customWidth="1"/>
    <col min="13331" max="13331" width="1.109375" style="82" customWidth="1"/>
    <col min="13332" max="13332" width="39" style="82" customWidth="1"/>
    <col min="13333" max="13333" width="1" style="82" customWidth="1"/>
    <col min="13334" max="13334" width="19" style="82" customWidth="1"/>
    <col min="13335" max="13335" width="1" style="82" customWidth="1"/>
    <col min="13336" max="13336" width="12.6640625" style="82" customWidth="1"/>
    <col min="13337" max="13337" width="0.6640625" style="82" customWidth="1"/>
    <col min="13338" max="13338" width="11.44140625" style="82" customWidth="1"/>
    <col min="13339" max="13339" width="1" style="82" customWidth="1"/>
    <col min="13340" max="13340" width="12" style="82" customWidth="1"/>
    <col min="13341" max="13341" width="0.88671875" style="82" customWidth="1"/>
    <col min="13342" max="13343" width="0" style="82" hidden="1" customWidth="1"/>
    <col min="13344" max="13344" width="14.33203125" style="82" customWidth="1"/>
    <col min="13345" max="13345" width="0.5546875" style="82" customWidth="1"/>
    <col min="13346" max="13346" width="11.109375" style="82" customWidth="1"/>
    <col min="13347" max="13347" width="1.33203125" style="82" customWidth="1"/>
    <col min="13348" max="13348" width="9.33203125" style="82" customWidth="1"/>
    <col min="13349" max="13349" width="1" style="82" customWidth="1"/>
    <col min="13350" max="13350" width="12.44140625" style="82" customWidth="1"/>
    <col min="13351" max="13351" width="1.109375" style="82" customWidth="1"/>
    <col min="13352" max="13352" width="11.6640625" style="82" customWidth="1"/>
    <col min="13353" max="13353" width="1.109375" style="82" customWidth="1"/>
    <col min="13354" max="13354" width="9.109375" style="82"/>
    <col min="13355" max="13355" width="1.44140625" style="82" customWidth="1"/>
    <col min="13356" max="13356" width="13.88671875" style="82" customWidth="1"/>
    <col min="13357" max="13357" width="55.33203125" style="82" customWidth="1"/>
    <col min="13358" max="13358" width="2" style="82" customWidth="1"/>
    <col min="13359" max="13359" width="67.44140625" style="82" customWidth="1"/>
    <col min="13360" max="13362" width="9.109375" style="82"/>
    <col min="13363" max="13366" width="9.109375" style="82" customWidth="1"/>
    <col min="13367" max="13367" width="16.88671875" style="82" customWidth="1"/>
    <col min="13368" max="13373" width="9.109375" style="82"/>
    <col min="13374" max="13374" width="9.5546875" style="82" customWidth="1"/>
    <col min="13375" max="13377" width="0" style="82" hidden="1" customWidth="1"/>
    <col min="13378" max="13582" width="9.109375" style="82"/>
    <col min="13583" max="13583" width="2.109375" style="82" customWidth="1"/>
    <col min="13584" max="13584" width="13" style="82" customWidth="1"/>
    <col min="13585" max="13585" width="0.6640625" style="82" customWidth="1"/>
    <col min="13586" max="13586" width="14.6640625" style="82" customWidth="1"/>
    <col min="13587" max="13587" width="1.109375" style="82" customWidth="1"/>
    <col min="13588" max="13588" width="39" style="82" customWidth="1"/>
    <col min="13589" max="13589" width="1" style="82" customWidth="1"/>
    <col min="13590" max="13590" width="19" style="82" customWidth="1"/>
    <col min="13591" max="13591" width="1" style="82" customWidth="1"/>
    <col min="13592" max="13592" width="12.6640625" style="82" customWidth="1"/>
    <col min="13593" max="13593" width="0.6640625" style="82" customWidth="1"/>
    <col min="13594" max="13594" width="11.44140625" style="82" customWidth="1"/>
    <col min="13595" max="13595" width="1" style="82" customWidth="1"/>
    <col min="13596" max="13596" width="12" style="82" customWidth="1"/>
    <col min="13597" max="13597" width="0.88671875" style="82" customWidth="1"/>
    <col min="13598" max="13599" width="0" style="82" hidden="1" customWidth="1"/>
    <col min="13600" max="13600" width="14.33203125" style="82" customWidth="1"/>
    <col min="13601" max="13601" width="0.5546875" style="82" customWidth="1"/>
    <col min="13602" max="13602" width="11.109375" style="82" customWidth="1"/>
    <col min="13603" max="13603" width="1.33203125" style="82" customWidth="1"/>
    <col min="13604" max="13604" width="9.33203125" style="82" customWidth="1"/>
    <col min="13605" max="13605" width="1" style="82" customWidth="1"/>
    <col min="13606" max="13606" width="12.44140625" style="82" customWidth="1"/>
    <col min="13607" max="13607" width="1.109375" style="82" customWidth="1"/>
    <col min="13608" max="13608" width="11.6640625" style="82" customWidth="1"/>
    <col min="13609" max="13609" width="1.109375" style="82" customWidth="1"/>
    <col min="13610" max="13610" width="9.109375" style="82"/>
    <col min="13611" max="13611" width="1.44140625" style="82" customWidth="1"/>
    <col min="13612" max="13612" width="13.88671875" style="82" customWidth="1"/>
    <col min="13613" max="13613" width="55.33203125" style="82" customWidth="1"/>
    <col min="13614" max="13614" width="2" style="82" customWidth="1"/>
    <col min="13615" max="13615" width="67.44140625" style="82" customWidth="1"/>
    <col min="13616" max="13618" width="9.109375" style="82"/>
    <col min="13619" max="13622" width="9.109375" style="82" customWidth="1"/>
    <col min="13623" max="13623" width="16.88671875" style="82" customWidth="1"/>
    <col min="13624" max="13629" width="9.109375" style="82"/>
    <col min="13630" max="13630" width="9.5546875" style="82" customWidth="1"/>
    <col min="13631" max="13633" width="0" style="82" hidden="1" customWidth="1"/>
    <col min="13634" max="13838" width="9.109375" style="82"/>
    <col min="13839" max="13839" width="2.109375" style="82" customWidth="1"/>
    <col min="13840" max="13840" width="13" style="82" customWidth="1"/>
    <col min="13841" max="13841" width="0.6640625" style="82" customWidth="1"/>
    <col min="13842" max="13842" width="14.6640625" style="82" customWidth="1"/>
    <col min="13843" max="13843" width="1.109375" style="82" customWidth="1"/>
    <col min="13844" max="13844" width="39" style="82" customWidth="1"/>
    <col min="13845" max="13845" width="1" style="82" customWidth="1"/>
    <col min="13846" max="13846" width="19" style="82" customWidth="1"/>
    <col min="13847" max="13847" width="1" style="82" customWidth="1"/>
    <col min="13848" max="13848" width="12.6640625" style="82" customWidth="1"/>
    <col min="13849" max="13849" width="0.6640625" style="82" customWidth="1"/>
    <col min="13850" max="13850" width="11.44140625" style="82" customWidth="1"/>
    <col min="13851" max="13851" width="1" style="82" customWidth="1"/>
    <col min="13852" max="13852" width="12" style="82" customWidth="1"/>
    <col min="13853" max="13853" width="0.88671875" style="82" customWidth="1"/>
    <col min="13854" max="13855" width="0" style="82" hidden="1" customWidth="1"/>
    <col min="13856" max="13856" width="14.33203125" style="82" customWidth="1"/>
    <col min="13857" max="13857" width="0.5546875" style="82" customWidth="1"/>
    <col min="13858" max="13858" width="11.109375" style="82" customWidth="1"/>
    <col min="13859" max="13859" width="1.33203125" style="82" customWidth="1"/>
    <col min="13860" max="13860" width="9.33203125" style="82" customWidth="1"/>
    <col min="13861" max="13861" width="1" style="82" customWidth="1"/>
    <col min="13862" max="13862" width="12.44140625" style="82" customWidth="1"/>
    <col min="13863" max="13863" width="1.109375" style="82" customWidth="1"/>
    <col min="13864" max="13864" width="11.6640625" style="82" customWidth="1"/>
    <col min="13865" max="13865" width="1.109375" style="82" customWidth="1"/>
    <col min="13866" max="13866" width="9.109375" style="82"/>
    <col min="13867" max="13867" width="1.44140625" style="82" customWidth="1"/>
    <col min="13868" max="13868" width="13.88671875" style="82" customWidth="1"/>
    <col min="13869" max="13869" width="55.33203125" style="82" customWidth="1"/>
    <col min="13870" max="13870" width="2" style="82" customWidth="1"/>
    <col min="13871" max="13871" width="67.44140625" style="82" customWidth="1"/>
    <col min="13872" max="13874" width="9.109375" style="82"/>
    <col min="13875" max="13878" width="9.109375" style="82" customWidth="1"/>
    <col min="13879" max="13879" width="16.88671875" style="82" customWidth="1"/>
    <col min="13880" max="13885" width="9.109375" style="82"/>
    <col min="13886" max="13886" width="9.5546875" style="82" customWidth="1"/>
    <col min="13887" max="13889" width="0" style="82" hidden="1" customWidth="1"/>
    <col min="13890" max="14094" width="9.109375" style="82"/>
    <col min="14095" max="14095" width="2.109375" style="82" customWidth="1"/>
    <col min="14096" max="14096" width="13" style="82" customWidth="1"/>
    <col min="14097" max="14097" width="0.6640625" style="82" customWidth="1"/>
    <col min="14098" max="14098" width="14.6640625" style="82" customWidth="1"/>
    <col min="14099" max="14099" width="1.109375" style="82" customWidth="1"/>
    <col min="14100" max="14100" width="39" style="82" customWidth="1"/>
    <col min="14101" max="14101" width="1" style="82" customWidth="1"/>
    <col min="14102" max="14102" width="19" style="82" customWidth="1"/>
    <col min="14103" max="14103" width="1" style="82" customWidth="1"/>
    <col min="14104" max="14104" width="12.6640625" style="82" customWidth="1"/>
    <col min="14105" max="14105" width="0.6640625" style="82" customWidth="1"/>
    <col min="14106" max="14106" width="11.44140625" style="82" customWidth="1"/>
    <col min="14107" max="14107" width="1" style="82" customWidth="1"/>
    <col min="14108" max="14108" width="12" style="82" customWidth="1"/>
    <col min="14109" max="14109" width="0.88671875" style="82" customWidth="1"/>
    <col min="14110" max="14111" width="0" style="82" hidden="1" customWidth="1"/>
    <col min="14112" max="14112" width="14.33203125" style="82" customWidth="1"/>
    <col min="14113" max="14113" width="0.5546875" style="82" customWidth="1"/>
    <col min="14114" max="14114" width="11.109375" style="82" customWidth="1"/>
    <col min="14115" max="14115" width="1.33203125" style="82" customWidth="1"/>
    <col min="14116" max="14116" width="9.33203125" style="82" customWidth="1"/>
    <col min="14117" max="14117" width="1" style="82" customWidth="1"/>
    <col min="14118" max="14118" width="12.44140625" style="82" customWidth="1"/>
    <col min="14119" max="14119" width="1.109375" style="82" customWidth="1"/>
    <col min="14120" max="14120" width="11.6640625" style="82" customWidth="1"/>
    <col min="14121" max="14121" width="1.109375" style="82" customWidth="1"/>
    <col min="14122" max="14122" width="9.109375" style="82"/>
    <col min="14123" max="14123" width="1.44140625" style="82" customWidth="1"/>
    <col min="14124" max="14124" width="13.88671875" style="82" customWidth="1"/>
    <col min="14125" max="14125" width="55.33203125" style="82" customWidth="1"/>
    <col min="14126" max="14126" width="2" style="82" customWidth="1"/>
    <col min="14127" max="14127" width="67.44140625" style="82" customWidth="1"/>
    <col min="14128" max="14130" width="9.109375" style="82"/>
    <col min="14131" max="14134" width="9.109375" style="82" customWidth="1"/>
    <col min="14135" max="14135" width="16.88671875" style="82" customWidth="1"/>
    <col min="14136" max="14141" width="9.109375" style="82"/>
    <col min="14142" max="14142" width="9.5546875" style="82" customWidth="1"/>
    <col min="14143" max="14145" width="0" style="82" hidden="1" customWidth="1"/>
    <col min="14146" max="14350" width="9.109375" style="82"/>
    <col min="14351" max="14351" width="2.109375" style="82" customWidth="1"/>
    <col min="14352" max="14352" width="13" style="82" customWidth="1"/>
    <col min="14353" max="14353" width="0.6640625" style="82" customWidth="1"/>
    <col min="14354" max="14354" width="14.6640625" style="82" customWidth="1"/>
    <col min="14355" max="14355" width="1.109375" style="82" customWidth="1"/>
    <col min="14356" max="14356" width="39" style="82" customWidth="1"/>
    <col min="14357" max="14357" width="1" style="82" customWidth="1"/>
    <col min="14358" max="14358" width="19" style="82" customWidth="1"/>
    <col min="14359" max="14359" width="1" style="82" customWidth="1"/>
    <col min="14360" max="14360" width="12.6640625" style="82" customWidth="1"/>
    <col min="14361" max="14361" width="0.6640625" style="82" customWidth="1"/>
    <col min="14362" max="14362" width="11.44140625" style="82" customWidth="1"/>
    <col min="14363" max="14363" width="1" style="82" customWidth="1"/>
    <col min="14364" max="14364" width="12" style="82" customWidth="1"/>
    <col min="14365" max="14365" width="0.88671875" style="82" customWidth="1"/>
    <col min="14366" max="14367" width="0" style="82" hidden="1" customWidth="1"/>
    <col min="14368" max="14368" width="14.33203125" style="82" customWidth="1"/>
    <col min="14369" max="14369" width="0.5546875" style="82" customWidth="1"/>
    <col min="14370" max="14370" width="11.109375" style="82" customWidth="1"/>
    <col min="14371" max="14371" width="1.33203125" style="82" customWidth="1"/>
    <col min="14372" max="14372" width="9.33203125" style="82" customWidth="1"/>
    <col min="14373" max="14373" width="1" style="82" customWidth="1"/>
    <col min="14374" max="14374" width="12.44140625" style="82" customWidth="1"/>
    <col min="14375" max="14375" width="1.109375" style="82" customWidth="1"/>
    <col min="14376" max="14376" width="11.6640625" style="82" customWidth="1"/>
    <col min="14377" max="14377" width="1.109375" style="82" customWidth="1"/>
    <col min="14378" max="14378" width="9.109375" style="82"/>
    <col min="14379" max="14379" width="1.44140625" style="82" customWidth="1"/>
    <col min="14380" max="14380" width="13.88671875" style="82" customWidth="1"/>
    <col min="14381" max="14381" width="55.33203125" style="82" customWidth="1"/>
    <col min="14382" max="14382" width="2" style="82" customWidth="1"/>
    <col min="14383" max="14383" width="67.44140625" style="82" customWidth="1"/>
    <col min="14384" max="14386" width="9.109375" style="82"/>
    <col min="14387" max="14390" width="9.109375" style="82" customWidth="1"/>
    <col min="14391" max="14391" width="16.88671875" style="82" customWidth="1"/>
    <col min="14392" max="14397" width="9.109375" style="82"/>
    <col min="14398" max="14398" width="9.5546875" style="82" customWidth="1"/>
    <col min="14399" max="14401" width="0" style="82" hidden="1" customWidth="1"/>
    <col min="14402" max="14606" width="9.109375" style="82"/>
    <col min="14607" max="14607" width="2.109375" style="82" customWidth="1"/>
    <col min="14608" max="14608" width="13" style="82" customWidth="1"/>
    <col min="14609" max="14609" width="0.6640625" style="82" customWidth="1"/>
    <col min="14610" max="14610" width="14.6640625" style="82" customWidth="1"/>
    <col min="14611" max="14611" width="1.109375" style="82" customWidth="1"/>
    <col min="14612" max="14612" width="39" style="82" customWidth="1"/>
    <col min="14613" max="14613" width="1" style="82" customWidth="1"/>
    <col min="14614" max="14614" width="19" style="82" customWidth="1"/>
    <col min="14615" max="14615" width="1" style="82" customWidth="1"/>
    <col min="14616" max="14616" width="12.6640625" style="82" customWidth="1"/>
    <col min="14617" max="14617" width="0.6640625" style="82" customWidth="1"/>
    <col min="14618" max="14618" width="11.44140625" style="82" customWidth="1"/>
    <col min="14619" max="14619" width="1" style="82" customWidth="1"/>
    <col min="14620" max="14620" width="12" style="82" customWidth="1"/>
    <col min="14621" max="14621" width="0.88671875" style="82" customWidth="1"/>
    <col min="14622" max="14623" width="0" style="82" hidden="1" customWidth="1"/>
    <col min="14624" max="14624" width="14.33203125" style="82" customWidth="1"/>
    <col min="14625" max="14625" width="0.5546875" style="82" customWidth="1"/>
    <col min="14626" max="14626" width="11.109375" style="82" customWidth="1"/>
    <col min="14627" max="14627" width="1.33203125" style="82" customWidth="1"/>
    <col min="14628" max="14628" width="9.33203125" style="82" customWidth="1"/>
    <col min="14629" max="14629" width="1" style="82" customWidth="1"/>
    <col min="14630" max="14630" width="12.44140625" style="82" customWidth="1"/>
    <col min="14631" max="14631" width="1.109375" style="82" customWidth="1"/>
    <col min="14632" max="14632" width="11.6640625" style="82" customWidth="1"/>
    <col min="14633" max="14633" width="1.109375" style="82" customWidth="1"/>
    <col min="14634" max="14634" width="9.109375" style="82"/>
    <col min="14635" max="14635" width="1.44140625" style="82" customWidth="1"/>
    <col min="14636" max="14636" width="13.88671875" style="82" customWidth="1"/>
    <col min="14637" max="14637" width="55.33203125" style="82" customWidth="1"/>
    <col min="14638" max="14638" width="2" style="82" customWidth="1"/>
    <col min="14639" max="14639" width="67.44140625" style="82" customWidth="1"/>
    <col min="14640" max="14642" width="9.109375" style="82"/>
    <col min="14643" max="14646" width="9.109375" style="82" customWidth="1"/>
    <col min="14647" max="14647" width="16.88671875" style="82" customWidth="1"/>
    <col min="14648" max="14653" width="9.109375" style="82"/>
    <col min="14654" max="14654" width="9.5546875" style="82" customWidth="1"/>
    <col min="14655" max="14657" width="0" style="82" hidden="1" customWidth="1"/>
    <col min="14658" max="14862" width="9.109375" style="82"/>
    <col min="14863" max="14863" width="2.109375" style="82" customWidth="1"/>
    <col min="14864" max="14864" width="13" style="82" customWidth="1"/>
    <col min="14865" max="14865" width="0.6640625" style="82" customWidth="1"/>
    <col min="14866" max="14866" width="14.6640625" style="82" customWidth="1"/>
    <col min="14867" max="14867" width="1.109375" style="82" customWidth="1"/>
    <col min="14868" max="14868" width="39" style="82" customWidth="1"/>
    <col min="14869" max="14869" width="1" style="82" customWidth="1"/>
    <col min="14870" max="14870" width="19" style="82" customWidth="1"/>
    <col min="14871" max="14871" width="1" style="82" customWidth="1"/>
    <col min="14872" max="14872" width="12.6640625" style="82" customWidth="1"/>
    <col min="14873" max="14873" width="0.6640625" style="82" customWidth="1"/>
    <col min="14874" max="14874" width="11.44140625" style="82" customWidth="1"/>
    <col min="14875" max="14875" width="1" style="82" customWidth="1"/>
    <col min="14876" max="14876" width="12" style="82" customWidth="1"/>
    <col min="14877" max="14877" width="0.88671875" style="82" customWidth="1"/>
    <col min="14878" max="14879" width="0" style="82" hidden="1" customWidth="1"/>
    <col min="14880" max="14880" width="14.33203125" style="82" customWidth="1"/>
    <col min="14881" max="14881" width="0.5546875" style="82" customWidth="1"/>
    <col min="14882" max="14882" width="11.109375" style="82" customWidth="1"/>
    <col min="14883" max="14883" width="1.33203125" style="82" customWidth="1"/>
    <col min="14884" max="14884" width="9.33203125" style="82" customWidth="1"/>
    <col min="14885" max="14885" width="1" style="82" customWidth="1"/>
    <col min="14886" max="14886" width="12.44140625" style="82" customWidth="1"/>
    <col min="14887" max="14887" width="1.109375" style="82" customWidth="1"/>
    <col min="14888" max="14888" width="11.6640625" style="82" customWidth="1"/>
    <col min="14889" max="14889" width="1.109375" style="82" customWidth="1"/>
    <col min="14890" max="14890" width="9.109375" style="82"/>
    <col min="14891" max="14891" width="1.44140625" style="82" customWidth="1"/>
    <col min="14892" max="14892" width="13.88671875" style="82" customWidth="1"/>
    <col min="14893" max="14893" width="55.33203125" style="82" customWidth="1"/>
    <col min="14894" max="14894" width="2" style="82" customWidth="1"/>
    <col min="14895" max="14895" width="67.44140625" style="82" customWidth="1"/>
    <col min="14896" max="14898" width="9.109375" style="82"/>
    <col min="14899" max="14902" width="9.109375" style="82" customWidth="1"/>
    <col min="14903" max="14903" width="16.88671875" style="82" customWidth="1"/>
    <col min="14904" max="14909" width="9.109375" style="82"/>
    <col min="14910" max="14910" width="9.5546875" style="82" customWidth="1"/>
    <col min="14911" max="14913" width="0" style="82" hidden="1" customWidth="1"/>
    <col min="14914" max="15118" width="9.109375" style="82"/>
    <col min="15119" max="15119" width="2.109375" style="82" customWidth="1"/>
    <col min="15120" max="15120" width="13" style="82" customWidth="1"/>
    <col min="15121" max="15121" width="0.6640625" style="82" customWidth="1"/>
    <col min="15122" max="15122" width="14.6640625" style="82" customWidth="1"/>
    <col min="15123" max="15123" width="1.109375" style="82" customWidth="1"/>
    <col min="15124" max="15124" width="39" style="82" customWidth="1"/>
    <col min="15125" max="15125" width="1" style="82" customWidth="1"/>
    <col min="15126" max="15126" width="19" style="82" customWidth="1"/>
    <col min="15127" max="15127" width="1" style="82" customWidth="1"/>
    <col min="15128" max="15128" width="12.6640625" style="82" customWidth="1"/>
    <col min="15129" max="15129" width="0.6640625" style="82" customWidth="1"/>
    <col min="15130" max="15130" width="11.44140625" style="82" customWidth="1"/>
    <col min="15131" max="15131" width="1" style="82" customWidth="1"/>
    <col min="15132" max="15132" width="12" style="82" customWidth="1"/>
    <col min="15133" max="15133" width="0.88671875" style="82" customWidth="1"/>
    <col min="15134" max="15135" width="0" style="82" hidden="1" customWidth="1"/>
    <col min="15136" max="15136" width="14.33203125" style="82" customWidth="1"/>
    <col min="15137" max="15137" width="0.5546875" style="82" customWidth="1"/>
    <col min="15138" max="15138" width="11.109375" style="82" customWidth="1"/>
    <col min="15139" max="15139" width="1.33203125" style="82" customWidth="1"/>
    <col min="15140" max="15140" width="9.33203125" style="82" customWidth="1"/>
    <col min="15141" max="15141" width="1" style="82" customWidth="1"/>
    <col min="15142" max="15142" width="12.44140625" style="82" customWidth="1"/>
    <col min="15143" max="15143" width="1.109375" style="82" customWidth="1"/>
    <col min="15144" max="15144" width="11.6640625" style="82" customWidth="1"/>
    <col min="15145" max="15145" width="1.109375" style="82" customWidth="1"/>
    <col min="15146" max="15146" width="9.109375" style="82"/>
    <col min="15147" max="15147" width="1.44140625" style="82" customWidth="1"/>
    <col min="15148" max="15148" width="13.88671875" style="82" customWidth="1"/>
    <col min="15149" max="15149" width="55.33203125" style="82" customWidth="1"/>
    <col min="15150" max="15150" width="2" style="82" customWidth="1"/>
    <col min="15151" max="15151" width="67.44140625" style="82" customWidth="1"/>
    <col min="15152" max="15154" width="9.109375" style="82"/>
    <col min="15155" max="15158" width="9.109375" style="82" customWidth="1"/>
    <col min="15159" max="15159" width="16.88671875" style="82" customWidth="1"/>
    <col min="15160" max="15165" width="9.109375" style="82"/>
    <col min="15166" max="15166" width="9.5546875" style="82" customWidth="1"/>
    <col min="15167" max="15169" width="0" style="82" hidden="1" customWidth="1"/>
    <col min="15170" max="15374" width="9.109375" style="82"/>
    <col min="15375" max="15375" width="2.109375" style="82" customWidth="1"/>
    <col min="15376" max="15376" width="13" style="82" customWidth="1"/>
    <col min="15377" max="15377" width="0.6640625" style="82" customWidth="1"/>
    <col min="15378" max="15378" width="14.6640625" style="82" customWidth="1"/>
    <col min="15379" max="15379" width="1.109375" style="82" customWidth="1"/>
    <col min="15380" max="15380" width="39" style="82" customWidth="1"/>
    <col min="15381" max="15381" width="1" style="82" customWidth="1"/>
    <col min="15382" max="15382" width="19" style="82" customWidth="1"/>
    <col min="15383" max="15383" width="1" style="82" customWidth="1"/>
    <col min="15384" max="15384" width="12.6640625" style="82" customWidth="1"/>
    <col min="15385" max="15385" width="0.6640625" style="82" customWidth="1"/>
    <col min="15386" max="15386" width="11.44140625" style="82" customWidth="1"/>
    <col min="15387" max="15387" width="1" style="82" customWidth="1"/>
    <col min="15388" max="15388" width="12" style="82" customWidth="1"/>
    <col min="15389" max="15389" width="0.88671875" style="82" customWidth="1"/>
    <col min="15390" max="15391" width="0" style="82" hidden="1" customWidth="1"/>
    <col min="15392" max="15392" width="14.33203125" style="82" customWidth="1"/>
    <col min="15393" max="15393" width="0.5546875" style="82" customWidth="1"/>
    <col min="15394" max="15394" width="11.109375" style="82" customWidth="1"/>
    <col min="15395" max="15395" width="1.33203125" style="82" customWidth="1"/>
    <col min="15396" max="15396" width="9.33203125" style="82" customWidth="1"/>
    <col min="15397" max="15397" width="1" style="82" customWidth="1"/>
    <col min="15398" max="15398" width="12.44140625" style="82" customWidth="1"/>
    <col min="15399" max="15399" width="1.109375" style="82" customWidth="1"/>
    <col min="15400" max="15400" width="11.6640625" style="82" customWidth="1"/>
    <col min="15401" max="15401" width="1.109375" style="82" customWidth="1"/>
    <col min="15402" max="15402" width="9.109375" style="82"/>
    <col min="15403" max="15403" width="1.44140625" style="82" customWidth="1"/>
    <col min="15404" max="15404" width="13.88671875" style="82" customWidth="1"/>
    <col min="15405" max="15405" width="55.33203125" style="82" customWidth="1"/>
    <col min="15406" max="15406" width="2" style="82" customWidth="1"/>
    <col min="15407" max="15407" width="67.44140625" style="82" customWidth="1"/>
    <col min="15408" max="15410" width="9.109375" style="82"/>
    <col min="15411" max="15414" width="9.109375" style="82" customWidth="1"/>
    <col min="15415" max="15415" width="16.88671875" style="82" customWidth="1"/>
    <col min="15416" max="15421" width="9.109375" style="82"/>
    <col min="15422" max="15422" width="9.5546875" style="82" customWidth="1"/>
    <col min="15423" max="15425" width="0" style="82" hidden="1" customWidth="1"/>
    <col min="15426" max="15630" width="9.109375" style="82"/>
    <col min="15631" max="15631" width="2.109375" style="82" customWidth="1"/>
    <col min="15632" max="15632" width="13" style="82" customWidth="1"/>
    <col min="15633" max="15633" width="0.6640625" style="82" customWidth="1"/>
    <col min="15634" max="15634" width="14.6640625" style="82" customWidth="1"/>
    <col min="15635" max="15635" width="1.109375" style="82" customWidth="1"/>
    <col min="15636" max="15636" width="39" style="82" customWidth="1"/>
    <col min="15637" max="15637" width="1" style="82" customWidth="1"/>
    <col min="15638" max="15638" width="19" style="82" customWidth="1"/>
    <col min="15639" max="15639" width="1" style="82" customWidth="1"/>
    <col min="15640" max="15640" width="12.6640625" style="82" customWidth="1"/>
    <col min="15641" max="15641" width="0.6640625" style="82" customWidth="1"/>
    <col min="15642" max="15642" width="11.44140625" style="82" customWidth="1"/>
    <col min="15643" max="15643" width="1" style="82" customWidth="1"/>
    <col min="15644" max="15644" width="12" style="82" customWidth="1"/>
    <col min="15645" max="15645" width="0.88671875" style="82" customWidth="1"/>
    <col min="15646" max="15647" width="0" style="82" hidden="1" customWidth="1"/>
    <col min="15648" max="15648" width="14.33203125" style="82" customWidth="1"/>
    <col min="15649" max="15649" width="0.5546875" style="82" customWidth="1"/>
    <col min="15650" max="15650" width="11.109375" style="82" customWidth="1"/>
    <col min="15651" max="15651" width="1.33203125" style="82" customWidth="1"/>
    <col min="15652" max="15652" width="9.33203125" style="82" customWidth="1"/>
    <col min="15653" max="15653" width="1" style="82" customWidth="1"/>
    <col min="15654" max="15654" width="12.44140625" style="82" customWidth="1"/>
    <col min="15655" max="15655" width="1.109375" style="82" customWidth="1"/>
    <col min="15656" max="15656" width="11.6640625" style="82" customWidth="1"/>
    <col min="15657" max="15657" width="1.109375" style="82" customWidth="1"/>
    <col min="15658" max="15658" width="9.109375" style="82"/>
    <col min="15659" max="15659" width="1.44140625" style="82" customWidth="1"/>
    <col min="15660" max="15660" width="13.88671875" style="82" customWidth="1"/>
    <col min="15661" max="15661" width="55.33203125" style="82" customWidth="1"/>
    <col min="15662" max="15662" width="2" style="82" customWidth="1"/>
    <col min="15663" max="15663" width="67.44140625" style="82" customWidth="1"/>
    <col min="15664" max="15666" width="9.109375" style="82"/>
    <col min="15667" max="15670" width="9.109375" style="82" customWidth="1"/>
    <col min="15671" max="15671" width="16.88671875" style="82" customWidth="1"/>
    <col min="15672" max="15677" width="9.109375" style="82"/>
    <col min="15678" max="15678" width="9.5546875" style="82" customWidth="1"/>
    <col min="15679" max="15681" width="0" style="82" hidden="1" customWidth="1"/>
    <col min="15682" max="15886" width="9.109375" style="82"/>
    <col min="15887" max="15887" width="2.109375" style="82" customWidth="1"/>
    <col min="15888" max="15888" width="13" style="82" customWidth="1"/>
    <col min="15889" max="15889" width="0.6640625" style="82" customWidth="1"/>
    <col min="15890" max="15890" width="14.6640625" style="82" customWidth="1"/>
    <col min="15891" max="15891" width="1.109375" style="82" customWidth="1"/>
    <col min="15892" max="15892" width="39" style="82" customWidth="1"/>
    <col min="15893" max="15893" width="1" style="82" customWidth="1"/>
    <col min="15894" max="15894" width="19" style="82" customWidth="1"/>
    <col min="15895" max="15895" width="1" style="82" customWidth="1"/>
    <col min="15896" max="15896" width="12.6640625" style="82" customWidth="1"/>
    <col min="15897" max="15897" width="0.6640625" style="82" customWidth="1"/>
    <col min="15898" max="15898" width="11.44140625" style="82" customWidth="1"/>
    <col min="15899" max="15899" width="1" style="82" customWidth="1"/>
    <col min="15900" max="15900" width="12" style="82" customWidth="1"/>
    <col min="15901" max="15901" width="0.88671875" style="82" customWidth="1"/>
    <col min="15902" max="15903" width="0" style="82" hidden="1" customWidth="1"/>
    <col min="15904" max="15904" width="14.33203125" style="82" customWidth="1"/>
    <col min="15905" max="15905" width="0.5546875" style="82" customWidth="1"/>
    <col min="15906" max="15906" width="11.109375" style="82" customWidth="1"/>
    <col min="15907" max="15907" width="1.33203125" style="82" customWidth="1"/>
    <col min="15908" max="15908" width="9.33203125" style="82" customWidth="1"/>
    <col min="15909" max="15909" width="1" style="82" customWidth="1"/>
    <col min="15910" max="15910" width="12.44140625" style="82" customWidth="1"/>
    <col min="15911" max="15911" width="1.109375" style="82" customWidth="1"/>
    <col min="15912" max="15912" width="11.6640625" style="82" customWidth="1"/>
    <col min="15913" max="15913" width="1.109375" style="82" customWidth="1"/>
    <col min="15914" max="15914" width="9.109375" style="82"/>
    <col min="15915" max="15915" width="1.44140625" style="82" customWidth="1"/>
    <col min="15916" max="15916" width="13.88671875" style="82" customWidth="1"/>
    <col min="15917" max="15917" width="55.33203125" style="82" customWidth="1"/>
    <col min="15918" max="15918" width="2" style="82" customWidth="1"/>
    <col min="15919" max="15919" width="67.44140625" style="82" customWidth="1"/>
    <col min="15920" max="15922" width="9.109375" style="82"/>
    <col min="15923" max="15926" width="9.109375" style="82" customWidth="1"/>
    <col min="15927" max="15927" width="16.88671875" style="82" customWidth="1"/>
    <col min="15928" max="15933" width="9.109375" style="82"/>
    <col min="15934" max="15934" width="9.5546875" style="82" customWidth="1"/>
    <col min="15935" max="15937" width="0" style="82" hidden="1" customWidth="1"/>
    <col min="15938" max="16142" width="9.109375" style="82"/>
    <col min="16143" max="16143" width="2.109375" style="82" customWidth="1"/>
    <col min="16144" max="16144" width="13" style="82" customWidth="1"/>
    <col min="16145" max="16145" width="0.6640625" style="82" customWidth="1"/>
    <col min="16146" max="16146" width="14.6640625" style="82" customWidth="1"/>
    <col min="16147" max="16147" width="1.109375" style="82" customWidth="1"/>
    <col min="16148" max="16148" width="39" style="82" customWidth="1"/>
    <col min="16149" max="16149" width="1" style="82" customWidth="1"/>
    <col min="16150" max="16150" width="19" style="82" customWidth="1"/>
    <col min="16151" max="16151" width="1" style="82" customWidth="1"/>
    <col min="16152" max="16152" width="12.6640625" style="82" customWidth="1"/>
    <col min="16153" max="16153" width="0.6640625" style="82" customWidth="1"/>
    <col min="16154" max="16154" width="11.44140625" style="82" customWidth="1"/>
    <col min="16155" max="16155" width="1" style="82" customWidth="1"/>
    <col min="16156" max="16156" width="12" style="82" customWidth="1"/>
    <col min="16157" max="16157" width="0.88671875" style="82" customWidth="1"/>
    <col min="16158" max="16159" width="0" style="82" hidden="1" customWidth="1"/>
    <col min="16160" max="16160" width="14.33203125" style="82" customWidth="1"/>
    <col min="16161" max="16161" width="0.5546875" style="82" customWidth="1"/>
    <col min="16162" max="16162" width="11.109375" style="82" customWidth="1"/>
    <col min="16163" max="16163" width="1.33203125" style="82" customWidth="1"/>
    <col min="16164" max="16164" width="9.33203125" style="82" customWidth="1"/>
    <col min="16165" max="16165" width="1" style="82" customWidth="1"/>
    <col min="16166" max="16166" width="12.44140625" style="82" customWidth="1"/>
    <col min="16167" max="16167" width="1.109375" style="82" customWidth="1"/>
    <col min="16168" max="16168" width="11.6640625" style="82" customWidth="1"/>
    <col min="16169" max="16169" width="1.109375" style="82" customWidth="1"/>
    <col min="16170" max="16170" width="9.109375" style="82"/>
    <col min="16171" max="16171" width="1.44140625" style="82" customWidth="1"/>
    <col min="16172" max="16172" width="13.88671875" style="82" customWidth="1"/>
    <col min="16173" max="16173" width="55.33203125" style="82" customWidth="1"/>
    <col min="16174" max="16174" width="2" style="82" customWidth="1"/>
    <col min="16175" max="16175" width="67.44140625" style="82" customWidth="1"/>
    <col min="16176" max="16178" width="9.109375" style="82"/>
    <col min="16179" max="16182" width="9.109375" style="82" customWidth="1"/>
    <col min="16183" max="16183" width="16.88671875" style="82" customWidth="1"/>
    <col min="16184" max="16189" width="9.109375" style="82"/>
    <col min="16190" max="16190" width="9.5546875" style="82" customWidth="1"/>
    <col min="16191" max="16193" width="0" style="82" hidden="1" customWidth="1"/>
    <col min="16194" max="16384" width="9.109375" style="82"/>
  </cols>
  <sheetData>
    <row r="1" spans="1:48" s="107" customFormat="1" ht="52.2" customHeight="1" x14ac:dyDescent="0.2">
      <c r="A1" s="99"/>
      <c r="B1" s="100" t="s">
        <v>9</v>
      </c>
      <c r="C1" s="99"/>
      <c r="D1" s="100" t="s">
        <v>40</v>
      </c>
      <c r="E1" s="99"/>
      <c r="F1" s="101" t="s">
        <v>0</v>
      </c>
      <c r="G1" s="100"/>
      <c r="H1" s="101" t="s">
        <v>1</v>
      </c>
      <c r="I1" s="100"/>
      <c r="J1" s="314" t="s">
        <v>4</v>
      </c>
      <c r="K1" s="99"/>
      <c r="L1" s="100" t="s">
        <v>2</v>
      </c>
      <c r="M1" s="99"/>
      <c r="N1" s="106" t="s">
        <v>7</v>
      </c>
      <c r="O1" s="99"/>
      <c r="P1" s="100" t="s">
        <v>8</v>
      </c>
      <c r="Q1" s="315" t="s">
        <v>24</v>
      </c>
      <c r="R1" s="102" t="s">
        <v>5</v>
      </c>
      <c r="S1" s="99"/>
      <c r="T1" s="102" t="s">
        <v>49</v>
      </c>
      <c r="U1" s="99"/>
      <c r="V1" s="103" t="s">
        <v>50</v>
      </c>
      <c r="W1" s="99"/>
      <c r="X1" s="104" t="s">
        <v>592</v>
      </c>
      <c r="Y1" s="99"/>
      <c r="Z1" s="104" t="s">
        <v>594</v>
      </c>
      <c r="AA1" s="99"/>
      <c r="AB1" s="105" t="s">
        <v>669</v>
      </c>
      <c r="AC1" s="99"/>
      <c r="AD1" s="105" t="s">
        <v>725</v>
      </c>
      <c r="AE1" s="316"/>
      <c r="AF1" s="104" t="s">
        <v>719</v>
      </c>
      <c r="AG1" s="316"/>
      <c r="AH1" s="104" t="s">
        <v>726</v>
      </c>
      <c r="AI1" s="316"/>
      <c r="AJ1" s="105" t="s">
        <v>727</v>
      </c>
      <c r="AK1" s="105"/>
      <c r="AL1" s="104" t="s">
        <v>721</v>
      </c>
      <c r="AM1" s="105"/>
      <c r="AN1" s="104" t="s">
        <v>728</v>
      </c>
      <c r="AO1" s="316"/>
      <c r="AP1" s="105" t="s">
        <v>729</v>
      </c>
      <c r="AQ1" s="316"/>
      <c r="AR1" s="104" t="s">
        <v>723</v>
      </c>
      <c r="AS1" s="317" t="s">
        <v>25</v>
      </c>
      <c r="AU1" s="317" t="s">
        <v>3</v>
      </c>
    </row>
    <row r="2" spans="1:48" ht="20.399999999999999" x14ac:dyDescent="0.2">
      <c r="A2" s="309"/>
      <c r="B2" s="309" t="s">
        <v>52</v>
      </c>
      <c r="C2" s="309"/>
      <c r="D2" s="108">
        <v>221</v>
      </c>
      <c r="E2" s="108"/>
      <c r="F2" s="109" t="s">
        <v>53</v>
      </c>
      <c r="G2" s="108"/>
      <c r="H2" s="109" t="s">
        <v>54</v>
      </c>
      <c r="I2" s="108"/>
      <c r="J2" s="318">
        <v>300</v>
      </c>
      <c r="K2" s="108"/>
      <c r="L2" s="109" t="s">
        <v>55</v>
      </c>
      <c r="M2" s="108"/>
      <c r="N2" s="108" t="s">
        <v>56</v>
      </c>
      <c r="O2" s="108"/>
      <c r="P2" s="112">
        <v>38899</v>
      </c>
      <c r="Q2" s="81" t="s">
        <v>57</v>
      </c>
      <c r="R2" s="108" t="s">
        <v>544</v>
      </c>
      <c r="S2" s="108"/>
      <c r="T2" s="110">
        <v>0</v>
      </c>
      <c r="U2" s="108"/>
      <c r="V2" s="111">
        <v>596369</v>
      </c>
      <c r="W2" s="108"/>
      <c r="X2" s="108" t="s">
        <v>670</v>
      </c>
      <c r="Y2" s="108"/>
      <c r="Z2" s="111">
        <v>0</v>
      </c>
      <c r="AA2" s="108"/>
      <c r="AB2" s="111">
        <v>557312</v>
      </c>
      <c r="AC2" s="108"/>
      <c r="AD2" s="111">
        <v>557175</v>
      </c>
      <c r="AE2" s="108"/>
      <c r="AF2" s="108">
        <v>3057</v>
      </c>
      <c r="AG2" s="108"/>
      <c r="AH2" s="111">
        <v>0</v>
      </c>
      <c r="AI2" s="108"/>
      <c r="AJ2" s="111">
        <v>525803</v>
      </c>
      <c r="AK2" s="111"/>
      <c r="AL2" s="108">
        <v>3809</v>
      </c>
      <c r="AM2" s="111"/>
      <c r="AN2" s="111">
        <v>0</v>
      </c>
      <c r="AO2" s="108"/>
      <c r="AP2" s="111">
        <v>544210</v>
      </c>
      <c r="AQ2" s="108"/>
      <c r="AR2" s="108">
        <v>3577</v>
      </c>
      <c r="AS2" s="81" t="s">
        <v>58</v>
      </c>
      <c r="AT2" s="81"/>
      <c r="AU2" s="81" t="s">
        <v>59</v>
      </c>
      <c r="AV2" s="81"/>
    </row>
    <row r="3" spans="1:48" ht="30.6" x14ac:dyDescent="0.2">
      <c r="A3" s="309"/>
      <c r="B3" s="309"/>
      <c r="C3" s="309"/>
      <c r="D3" s="108">
        <v>221</v>
      </c>
      <c r="E3" s="108"/>
      <c r="F3" s="109" t="s">
        <v>60</v>
      </c>
      <c r="G3" s="108"/>
      <c r="H3" s="109" t="s">
        <v>61</v>
      </c>
      <c r="I3" s="108"/>
      <c r="J3" s="318">
        <v>500</v>
      </c>
      <c r="K3" s="108"/>
      <c r="L3" s="109" t="s">
        <v>55</v>
      </c>
      <c r="M3" s="108"/>
      <c r="N3" s="108" t="s">
        <v>56</v>
      </c>
      <c r="O3" s="108"/>
      <c r="P3" s="112">
        <v>38899</v>
      </c>
      <c r="Q3" s="81">
        <v>905.14</v>
      </c>
      <c r="R3" s="108" t="s">
        <v>62</v>
      </c>
      <c r="S3" s="108"/>
      <c r="T3" s="110">
        <v>0</v>
      </c>
      <c r="U3" s="108"/>
      <c r="V3" s="111">
        <v>18906.759999999998</v>
      </c>
      <c r="W3" s="108"/>
      <c r="X3" s="108" t="s">
        <v>671</v>
      </c>
      <c r="Y3" s="108"/>
      <c r="Z3" s="111">
        <v>0</v>
      </c>
      <c r="AA3" s="108"/>
      <c r="AB3" s="111">
        <v>18907</v>
      </c>
      <c r="AC3" s="108"/>
      <c r="AD3" s="111">
        <v>20449</v>
      </c>
      <c r="AE3" s="108"/>
      <c r="AF3" s="108">
        <v>77</v>
      </c>
      <c r="AG3" s="108"/>
      <c r="AH3" s="111">
        <v>0</v>
      </c>
      <c r="AI3" s="108"/>
      <c r="AJ3" s="111">
        <v>50025</v>
      </c>
      <c r="AK3" s="111"/>
      <c r="AL3" s="108">
        <v>173</v>
      </c>
      <c r="AM3" s="111"/>
      <c r="AN3" s="111">
        <v>0</v>
      </c>
      <c r="AO3" s="108"/>
      <c r="AP3" s="111">
        <v>34071</v>
      </c>
      <c r="AQ3" s="108"/>
      <c r="AR3" s="108">
        <v>90</v>
      </c>
      <c r="AS3" s="81" t="s">
        <v>63</v>
      </c>
      <c r="AT3" s="81"/>
      <c r="AU3" s="81"/>
      <c r="AV3" s="81"/>
    </row>
    <row r="4" spans="1:48" ht="30.6" x14ac:dyDescent="0.2">
      <c r="A4" s="309"/>
      <c r="B4" s="309"/>
      <c r="C4" s="309"/>
      <c r="D4" s="108">
        <v>221</v>
      </c>
      <c r="E4" s="108"/>
      <c r="F4" s="109" t="s">
        <v>64</v>
      </c>
      <c r="G4" s="108"/>
      <c r="H4" s="109" t="s">
        <v>54</v>
      </c>
      <c r="I4" s="108"/>
      <c r="J4" s="318">
        <v>17</v>
      </c>
      <c r="K4" s="108"/>
      <c r="L4" s="109" t="s">
        <v>65</v>
      </c>
      <c r="M4" s="108"/>
      <c r="N4" s="108" t="s">
        <v>56</v>
      </c>
      <c r="O4" s="108"/>
      <c r="P4" s="112">
        <v>40179</v>
      </c>
      <c r="Q4" s="81">
        <v>905</v>
      </c>
      <c r="R4" s="108" t="s">
        <v>66</v>
      </c>
      <c r="S4" s="108"/>
      <c r="T4" s="110">
        <v>0</v>
      </c>
      <c r="U4" s="108"/>
      <c r="V4" s="111">
        <v>1090405</v>
      </c>
      <c r="W4" s="108"/>
      <c r="X4" s="108">
        <v>870</v>
      </c>
      <c r="Y4" s="108"/>
      <c r="Z4" s="111">
        <v>0</v>
      </c>
      <c r="AA4" s="108"/>
      <c r="AB4" s="111">
        <v>1251453</v>
      </c>
      <c r="AC4" s="108"/>
      <c r="AD4" s="111">
        <v>1271740</v>
      </c>
      <c r="AE4" s="108"/>
      <c r="AF4" s="108">
        <v>825</v>
      </c>
      <c r="AG4" s="108"/>
      <c r="AH4" s="111">
        <v>0</v>
      </c>
      <c r="AI4" s="108"/>
      <c r="AJ4" s="111">
        <v>1471848</v>
      </c>
      <c r="AK4" s="111"/>
      <c r="AL4" s="108">
        <v>815</v>
      </c>
      <c r="AM4" s="111"/>
      <c r="AN4" s="111">
        <v>0</v>
      </c>
      <c r="AO4" s="108"/>
      <c r="AP4" s="111">
        <v>1559682</v>
      </c>
      <c r="AQ4" s="108"/>
      <c r="AR4" s="108">
        <v>960</v>
      </c>
      <c r="AS4" s="81" t="s">
        <v>67</v>
      </c>
      <c r="AT4" s="81"/>
      <c r="AU4" s="81"/>
      <c r="AV4" s="81"/>
    </row>
    <row r="5" spans="1:48" ht="20.399999999999999" x14ac:dyDescent="0.2">
      <c r="A5" s="309"/>
      <c r="B5" s="309"/>
      <c r="C5" s="309"/>
      <c r="D5" s="108">
        <v>221</v>
      </c>
      <c r="E5" s="108"/>
      <c r="F5" s="109" t="s">
        <v>68</v>
      </c>
      <c r="G5" s="108"/>
      <c r="H5" s="109" t="s">
        <v>54</v>
      </c>
      <c r="I5" s="108"/>
      <c r="J5" s="318">
        <v>20</v>
      </c>
      <c r="K5" s="108"/>
      <c r="L5" s="109" t="s">
        <v>65</v>
      </c>
      <c r="M5" s="108"/>
      <c r="N5" s="108" t="s">
        <v>56</v>
      </c>
      <c r="O5" s="108"/>
      <c r="P5" s="112">
        <v>40179</v>
      </c>
      <c r="Q5" s="81">
        <v>905</v>
      </c>
      <c r="R5" s="108" t="s">
        <v>69</v>
      </c>
      <c r="S5" s="108"/>
      <c r="T5" s="110">
        <v>0</v>
      </c>
      <c r="U5" s="108"/>
      <c r="V5" s="111">
        <v>141451</v>
      </c>
      <c r="W5" s="108"/>
      <c r="X5" s="108">
        <v>91</v>
      </c>
      <c r="Y5" s="108"/>
      <c r="Z5" s="111">
        <v>0</v>
      </c>
      <c r="AA5" s="108"/>
      <c r="AB5" s="111">
        <v>170653</v>
      </c>
      <c r="AC5" s="108"/>
      <c r="AD5" s="111">
        <v>179800</v>
      </c>
      <c r="AE5" s="108"/>
      <c r="AF5" s="108">
        <v>126</v>
      </c>
      <c r="AG5" s="108"/>
      <c r="AH5" s="111">
        <v>0</v>
      </c>
      <c r="AI5" s="108"/>
      <c r="AJ5" s="111">
        <v>198162</v>
      </c>
      <c r="AK5" s="111"/>
      <c r="AL5" s="108">
        <v>128</v>
      </c>
      <c r="AM5" s="111"/>
      <c r="AN5" s="111">
        <v>0</v>
      </c>
      <c r="AO5" s="108"/>
      <c r="AP5" s="111">
        <v>171883</v>
      </c>
      <c r="AQ5" s="108"/>
      <c r="AR5" s="108">
        <v>111</v>
      </c>
      <c r="AS5" s="81" t="s">
        <v>67</v>
      </c>
      <c r="AT5" s="81"/>
      <c r="AU5" s="81"/>
      <c r="AV5" s="81"/>
    </row>
    <row r="6" spans="1:48" ht="20.399999999999999" x14ac:dyDescent="0.2">
      <c r="A6" s="309"/>
      <c r="B6" s="309"/>
      <c r="C6" s="309"/>
      <c r="D6" s="108">
        <v>221</v>
      </c>
      <c r="E6" s="108"/>
      <c r="F6" s="109" t="s">
        <v>70</v>
      </c>
      <c r="G6" s="108"/>
      <c r="H6" s="109" t="s">
        <v>54</v>
      </c>
      <c r="I6" s="108"/>
      <c r="J6" s="318">
        <v>8</v>
      </c>
      <c r="K6" s="108"/>
      <c r="L6" s="109" t="s">
        <v>65</v>
      </c>
      <c r="M6" s="108"/>
      <c r="N6" s="108" t="s">
        <v>56</v>
      </c>
      <c r="O6" s="108"/>
      <c r="P6" s="112">
        <v>40179</v>
      </c>
      <c r="Q6" s="81">
        <v>905</v>
      </c>
      <c r="R6" s="108" t="s">
        <v>543</v>
      </c>
      <c r="S6" s="108"/>
      <c r="T6" s="110">
        <v>0</v>
      </c>
      <c r="U6" s="108"/>
      <c r="V6" s="111">
        <v>76670.63</v>
      </c>
      <c r="W6" s="108"/>
      <c r="X6" s="108">
        <v>347</v>
      </c>
      <c r="Y6" s="108"/>
      <c r="Z6" s="111">
        <v>0</v>
      </c>
      <c r="AA6" s="108"/>
      <c r="AB6" s="111">
        <v>97044</v>
      </c>
      <c r="AC6" s="108"/>
      <c r="AD6" s="111">
        <v>92489</v>
      </c>
      <c r="AE6" s="108"/>
      <c r="AF6" s="108">
        <v>375</v>
      </c>
      <c r="AG6" s="108"/>
      <c r="AH6" s="111">
        <v>0</v>
      </c>
      <c r="AI6" s="108"/>
      <c r="AJ6" s="111">
        <v>92549</v>
      </c>
      <c r="AK6" s="111"/>
      <c r="AL6" s="108">
        <v>299</v>
      </c>
      <c r="AM6" s="111"/>
      <c r="AN6" s="111">
        <v>0</v>
      </c>
      <c r="AO6" s="108"/>
      <c r="AP6" s="111">
        <v>109760</v>
      </c>
      <c r="AQ6" s="108"/>
      <c r="AR6" s="108">
        <v>321</v>
      </c>
      <c r="AS6" s="81" t="s">
        <v>67</v>
      </c>
      <c r="AT6" s="81"/>
      <c r="AU6" s="81"/>
      <c r="AV6" s="81"/>
    </row>
    <row r="7" spans="1:48" ht="57" customHeight="1" x14ac:dyDescent="0.2">
      <c r="A7" s="309"/>
      <c r="B7" s="309"/>
      <c r="C7" s="309"/>
      <c r="D7" s="108">
        <v>221</v>
      </c>
      <c r="E7" s="108"/>
      <c r="F7" s="109" t="s">
        <v>71</v>
      </c>
      <c r="G7" s="108"/>
      <c r="H7" s="109" t="s">
        <v>54</v>
      </c>
      <c r="I7" s="108"/>
      <c r="J7" s="318">
        <v>20</v>
      </c>
      <c r="K7" s="108"/>
      <c r="L7" s="109" t="s">
        <v>72</v>
      </c>
      <c r="M7" s="108"/>
      <c r="N7" s="108" t="s">
        <v>56</v>
      </c>
      <c r="O7" s="108"/>
      <c r="P7" s="112">
        <v>40179</v>
      </c>
      <c r="Q7" s="81">
        <v>905</v>
      </c>
      <c r="R7" s="108" t="s">
        <v>73</v>
      </c>
      <c r="S7" s="108"/>
      <c r="T7" s="110">
        <v>0</v>
      </c>
      <c r="U7" s="108"/>
      <c r="V7" s="111">
        <v>627</v>
      </c>
      <c r="W7" s="108"/>
      <c r="X7" s="108" t="s">
        <v>672</v>
      </c>
      <c r="Y7" s="108"/>
      <c r="Z7" s="111">
        <v>0</v>
      </c>
      <c r="AA7" s="108"/>
      <c r="AB7" s="111">
        <v>500</v>
      </c>
      <c r="AC7" s="108"/>
      <c r="AD7" s="111">
        <v>482</v>
      </c>
      <c r="AE7" s="108"/>
      <c r="AF7" s="108">
        <v>40</v>
      </c>
      <c r="AG7" s="108"/>
      <c r="AH7" s="111">
        <v>0</v>
      </c>
      <c r="AI7" s="108"/>
      <c r="AJ7" s="111">
        <v>873</v>
      </c>
      <c r="AK7" s="111"/>
      <c r="AL7" s="108">
        <v>70</v>
      </c>
      <c r="AM7" s="111"/>
      <c r="AN7" s="111">
        <v>0</v>
      </c>
      <c r="AO7" s="108"/>
      <c r="AP7" s="111">
        <v>780</v>
      </c>
      <c r="AQ7" s="108"/>
      <c r="AR7" s="108">
        <v>61</v>
      </c>
      <c r="AS7" s="81" t="s">
        <v>67</v>
      </c>
      <c r="AT7" s="81"/>
      <c r="AU7" s="81"/>
      <c r="AV7" s="81"/>
    </row>
    <row r="8" spans="1:48" ht="30.6" x14ac:dyDescent="0.2">
      <c r="A8" s="309"/>
      <c r="B8" s="309"/>
      <c r="C8" s="309"/>
      <c r="D8" s="108">
        <v>221</v>
      </c>
      <c r="E8" s="108"/>
      <c r="F8" s="109" t="s">
        <v>74</v>
      </c>
      <c r="G8" s="108"/>
      <c r="H8" s="109" t="s">
        <v>54</v>
      </c>
      <c r="I8" s="108"/>
      <c r="J8" s="318" t="s">
        <v>716</v>
      </c>
      <c r="K8" s="108"/>
      <c r="L8" s="109" t="s">
        <v>75</v>
      </c>
      <c r="M8" s="108"/>
      <c r="N8" s="108" t="s">
        <v>56</v>
      </c>
      <c r="O8" s="108"/>
      <c r="P8" s="309" t="s">
        <v>77</v>
      </c>
      <c r="Q8" s="81" t="s">
        <v>78</v>
      </c>
      <c r="R8" s="108" t="s">
        <v>76</v>
      </c>
      <c r="S8" s="108"/>
      <c r="T8" s="110">
        <v>0</v>
      </c>
      <c r="U8" s="108"/>
      <c r="V8" s="111">
        <v>126381</v>
      </c>
      <c r="W8" s="108"/>
      <c r="X8" s="108">
        <v>749</v>
      </c>
      <c r="Y8" s="108"/>
      <c r="Z8" s="111">
        <v>0</v>
      </c>
      <c r="AA8" s="108"/>
      <c r="AB8" s="111">
        <v>168764</v>
      </c>
      <c r="AC8" s="108"/>
      <c r="AD8" s="111">
        <v>174451</v>
      </c>
      <c r="AE8" s="108"/>
      <c r="AF8" s="108">
        <v>782</v>
      </c>
      <c r="AG8" s="108"/>
      <c r="AH8" s="111">
        <v>0</v>
      </c>
      <c r="AI8" s="108"/>
      <c r="AJ8" s="111">
        <v>176752</v>
      </c>
      <c r="AK8" s="111"/>
      <c r="AL8" s="108" t="s">
        <v>802</v>
      </c>
      <c r="AM8" s="111"/>
      <c r="AN8" s="111">
        <v>0</v>
      </c>
      <c r="AO8" s="108"/>
      <c r="AP8" s="111">
        <v>227049</v>
      </c>
      <c r="AQ8" s="108"/>
      <c r="AR8" s="108">
        <v>581</v>
      </c>
      <c r="AS8" s="81" t="s">
        <v>79</v>
      </c>
      <c r="AT8" s="81"/>
      <c r="AU8" s="81"/>
      <c r="AV8" s="81"/>
    </row>
    <row r="9" spans="1:48" ht="30.6" x14ac:dyDescent="0.2">
      <c r="A9" s="309"/>
      <c r="B9" s="309"/>
      <c r="C9" s="309"/>
      <c r="D9" s="108">
        <v>221</v>
      </c>
      <c r="E9" s="108"/>
      <c r="F9" s="109" t="s">
        <v>80</v>
      </c>
      <c r="G9" s="108"/>
      <c r="H9" s="109" t="s">
        <v>54</v>
      </c>
      <c r="I9" s="108"/>
      <c r="J9" s="318">
        <v>3</v>
      </c>
      <c r="K9" s="108"/>
      <c r="L9" s="109" t="s">
        <v>81</v>
      </c>
      <c r="M9" s="108"/>
      <c r="N9" s="108" t="s">
        <v>56</v>
      </c>
      <c r="O9" s="108"/>
      <c r="P9" s="309" t="s">
        <v>83</v>
      </c>
      <c r="Q9" s="81">
        <v>905</v>
      </c>
      <c r="R9" s="108" t="s">
        <v>82</v>
      </c>
      <c r="S9" s="108"/>
      <c r="T9" s="110">
        <v>0</v>
      </c>
      <c r="U9" s="108"/>
      <c r="V9" s="111">
        <v>13682.59</v>
      </c>
      <c r="W9" s="108"/>
      <c r="X9" s="108"/>
      <c r="Y9" s="108"/>
      <c r="Z9" s="111">
        <v>0</v>
      </c>
      <c r="AA9" s="108"/>
      <c r="AB9" s="111">
        <v>0</v>
      </c>
      <c r="AC9" s="108"/>
      <c r="AD9" s="111">
        <v>16357</v>
      </c>
      <c r="AE9" s="108"/>
      <c r="AF9" s="108">
        <v>410</v>
      </c>
      <c r="AG9" s="108"/>
      <c r="AH9" s="111">
        <v>0</v>
      </c>
      <c r="AI9" s="108"/>
      <c r="AJ9" s="111">
        <v>18476</v>
      </c>
      <c r="AK9" s="111"/>
      <c r="AL9" s="108">
        <v>373</v>
      </c>
      <c r="AM9" s="111"/>
      <c r="AN9" s="111">
        <v>0</v>
      </c>
      <c r="AO9" s="108"/>
      <c r="AP9" s="111">
        <v>19804</v>
      </c>
      <c r="AQ9" s="108"/>
      <c r="AR9" s="108">
        <v>373</v>
      </c>
      <c r="AS9" s="81" t="s">
        <v>85</v>
      </c>
      <c r="AT9" s="81"/>
      <c r="AU9" s="81"/>
      <c r="AV9" s="81"/>
    </row>
    <row r="10" spans="1:48" ht="30.6" x14ac:dyDescent="0.2">
      <c r="A10" s="309"/>
      <c r="B10" s="309" t="s">
        <v>86</v>
      </c>
      <c r="C10" s="309"/>
      <c r="D10" s="108">
        <v>222</v>
      </c>
      <c r="E10" s="108"/>
      <c r="F10" s="109" t="s">
        <v>87</v>
      </c>
      <c r="G10" s="108"/>
      <c r="H10" s="109" t="s">
        <v>88</v>
      </c>
      <c r="I10" s="108"/>
      <c r="J10" s="318">
        <v>300</v>
      </c>
      <c r="K10" s="108"/>
      <c r="L10" s="109" t="s">
        <v>89</v>
      </c>
      <c r="M10" s="108"/>
      <c r="N10" s="108" t="s">
        <v>56</v>
      </c>
      <c r="O10" s="108"/>
      <c r="P10" s="309"/>
      <c r="Q10" s="81">
        <v>905</v>
      </c>
      <c r="R10" s="108"/>
      <c r="S10" s="108"/>
      <c r="T10" s="110">
        <v>0</v>
      </c>
      <c r="U10" s="108"/>
      <c r="V10" s="111">
        <v>390000</v>
      </c>
      <c r="W10" s="108"/>
      <c r="X10" s="108">
        <v>1927</v>
      </c>
      <c r="Y10" s="108"/>
      <c r="Z10" s="111">
        <v>0</v>
      </c>
      <c r="AA10" s="108"/>
      <c r="AB10" s="111">
        <v>394663.95</v>
      </c>
      <c r="AC10" s="108"/>
      <c r="AD10" s="111">
        <v>396413</v>
      </c>
      <c r="AE10" s="108"/>
      <c r="AF10" s="108">
        <v>1916</v>
      </c>
      <c r="AG10" s="108"/>
      <c r="AH10" s="111">
        <v>0</v>
      </c>
      <c r="AI10" s="108"/>
      <c r="AJ10" s="111">
        <v>428377</v>
      </c>
      <c r="AK10" s="111"/>
      <c r="AL10" s="108">
        <v>2020</v>
      </c>
      <c r="AM10" s="111"/>
      <c r="AN10" s="111">
        <v>0</v>
      </c>
      <c r="AO10" s="108"/>
      <c r="AP10" s="111">
        <v>432116</v>
      </c>
      <c r="AQ10" s="108"/>
      <c r="AR10" s="108">
        <v>2102</v>
      </c>
      <c r="AS10" s="81" t="s">
        <v>90</v>
      </c>
      <c r="AT10" s="81"/>
      <c r="AU10" s="81" t="s">
        <v>59</v>
      </c>
      <c r="AV10" s="81"/>
    </row>
    <row r="11" spans="1:48" ht="30.6" x14ac:dyDescent="0.2">
      <c r="A11" s="309"/>
      <c r="B11" s="309"/>
      <c r="C11" s="309"/>
      <c r="D11" s="108">
        <v>222</v>
      </c>
      <c r="E11" s="108"/>
      <c r="F11" s="109" t="s">
        <v>91</v>
      </c>
      <c r="G11" s="108"/>
      <c r="H11" s="109" t="s">
        <v>92</v>
      </c>
      <c r="I11" s="108"/>
      <c r="J11" s="318" t="s">
        <v>93</v>
      </c>
      <c r="K11" s="108"/>
      <c r="L11" s="109" t="s">
        <v>94</v>
      </c>
      <c r="M11" s="108"/>
      <c r="N11" s="108" t="s">
        <v>56</v>
      </c>
      <c r="O11" s="108"/>
      <c r="P11" s="309">
        <v>2009</v>
      </c>
      <c r="Q11" s="81">
        <v>905</v>
      </c>
      <c r="R11" s="108"/>
      <c r="S11" s="108"/>
      <c r="T11" s="110">
        <v>0</v>
      </c>
      <c r="U11" s="108"/>
      <c r="V11" s="111">
        <v>973000</v>
      </c>
      <c r="W11" s="108"/>
      <c r="X11" s="108">
        <v>816</v>
      </c>
      <c r="Y11" s="108"/>
      <c r="Z11" s="111">
        <v>0</v>
      </c>
      <c r="AA11" s="108"/>
      <c r="AB11" s="111">
        <v>909678.54999999993</v>
      </c>
      <c r="AC11" s="108"/>
      <c r="AD11" s="111">
        <v>974607</v>
      </c>
      <c r="AE11" s="108"/>
      <c r="AF11" s="108">
        <v>628</v>
      </c>
      <c r="AG11" s="108"/>
      <c r="AH11" s="111">
        <v>0</v>
      </c>
      <c r="AI11" s="108"/>
      <c r="AJ11" s="111">
        <v>1001464</v>
      </c>
      <c r="AK11" s="111"/>
      <c r="AL11" s="108">
        <v>752</v>
      </c>
      <c r="AM11" s="111"/>
      <c r="AN11" s="111">
        <v>0</v>
      </c>
      <c r="AO11" s="108"/>
      <c r="AP11" s="111">
        <v>1070675</v>
      </c>
      <c r="AQ11" s="108"/>
      <c r="AR11" s="108">
        <v>822</v>
      </c>
      <c r="AS11" s="81" t="s">
        <v>95</v>
      </c>
      <c r="AT11" s="81"/>
      <c r="AU11" s="81" t="s">
        <v>96</v>
      </c>
      <c r="AV11" s="81"/>
    </row>
    <row r="12" spans="1:48" ht="30.6" x14ac:dyDescent="0.2">
      <c r="A12" s="309"/>
      <c r="B12" s="309"/>
      <c r="C12" s="309"/>
      <c r="D12" s="108">
        <v>222</v>
      </c>
      <c r="E12" s="108"/>
      <c r="F12" s="109" t="s">
        <v>97</v>
      </c>
      <c r="G12" s="108"/>
      <c r="H12" s="109" t="s">
        <v>98</v>
      </c>
      <c r="I12" s="108"/>
      <c r="J12" s="318">
        <v>175</v>
      </c>
      <c r="K12" s="108"/>
      <c r="L12" s="109" t="s">
        <v>99</v>
      </c>
      <c r="M12" s="108"/>
      <c r="N12" s="108" t="s">
        <v>56</v>
      </c>
      <c r="O12" s="108"/>
      <c r="P12" s="309"/>
      <c r="Q12" s="81">
        <v>905</v>
      </c>
      <c r="R12" s="108"/>
      <c r="S12" s="108"/>
      <c r="T12" s="110">
        <v>0</v>
      </c>
      <c r="U12" s="108"/>
      <c r="V12" s="111">
        <v>5089</v>
      </c>
      <c r="W12" s="108"/>
      <c r="X12" s="108">
        <v>24</v>
      </c>
      <c r="Y12" s="108"/>
      <c r="Z12" s="111">
        <v>0</v>
      </c>
      <c r="AA12" s="108"/>
      <c r="AB12" s="111">
        <v>5451.48</v>
      </c>
      <c r="AC12" s="108"/>
      <c r="AD12" s="111">
        <v>4470</v>
      </c>
      <c r="AE12" s="108"/>
      <c r="AF12" s="108">
        <v>24</v>
      </c>
      <c r="AG12" s="108"/>
      <c r="AH12" s="111">
        <v>0</v>
      </c>
      <c r="AI12" s="108"/>
      <c r="AJ12" s="111">
        <v>3736</v>
      </c>
      <c r="AK12" s="111"/>
      <c r="AL12" s="108">
        <v>21</v>
      </c>
      <c r="AM12" s="111"/>
      <c r="AN12" s="111">
        <v>0</v>
      </c>
      <c r="AO12" s="108"/>
      <c r="AP12" s="111">
        <v>6421</v>
      </c>
      <c r="AQ12" s="108"/>
      <c r="AR12" s="108">
        <v>37</v>
      </c>
      <c r="AS12" s="81" t="s">
        <v>100</v>
      </c>
      <c r="AT12" s="81"/>
      <c r="AU12" s="81"/>
      <c r="AV12" s="81"/>
    </row>
    <row r="13" spans="1:48" ht="30.6" x14ac:dyDescent="0.2">
      <c r="A13" s="309"/>
      <c r="B13" s="309"/>
      <c r="C13" s="309"/>
      <c r="D13" s="108">
        <v>222</v>
      </c>
      <c r="E13" s="108"/>
      <c r="F13" s="109" t="s">
        <v>101</v>
      </c>
      <c r="G13" s="108"/>
      <c r="H13" s="109" t="s">
        <v>98</v>
      </c>
      <c r="I13" s="108"/>
      <c r="J13" s="318">
        <v>300</v>
      </c>
      <c r="K13" s="108"/>
      <c r="L13" s="109" t="s">
        <v>99</v>
      </c>
      <c r="M13" s="108"/>
      <c r="N13" s="108" t="s">
        <v>56</v>
      </c>
      <c r="O13" s="108"/>
      <c r="P13" s="309"/>
      <c r="Q13" s="81">
        <v>905</v>
      </c>
      <c r="R13" s="108"/>
      <c r="S13" s="108"/>
      <c r="T13" s="110">
        <v>0</v>
      </c>
      <c r="U13" s="108"/>
      <c r="V13" s="111">
        <v>7709</v>
      </c>
      <c r="W13" s="108"/>
      <c r="X13" s="108">
        <v>39</v>
      </c>
      <c r="Y13" s="108"/>
      <c r="Z13" s="111">
        <v>0</v>
      </c>
      <c r="AA13" s="108"/>
      <c r="AB13" s="111">
        <v>8710.65</v>
      </c>
      <c r="AC13" s="108"/>
      <c r="AD13" s="111">
        <v>7128</v>
      </c>
      <c r="AE13" s="108"/>
      <c r="AF13" s="108">
        <v>31</v>
      </c>
      <c r="AG13" s="108"/>
      <c r="AH13" s="111">
        <v>0</v>
      </c>
      <c r="AI13" s="108"/>
      <c r="AJ13" s="111">
        <v>7917</v>
      </c>
      <c r="AK13" s="111"/>
      <c r="AL13" s="108">
        <v>37</v>
      </c>
      <c r="AM13" s="111"/>
      <c r="AN13" s="111">
        <v>0</v>
      </c>
      <c r="AO13" s="108"/>
      <c r="AP13" s="111">
        <v>11215</v>
      </c>
      <c r="AQ13" s="108"/>
      <c r="AR13" s="108">
        <v>53</v>
      </c>
      <c r="AS13" s="81" t="s">
        <v>102</v>
      </c>
      <c r="AT13" s="81"/>
      <c r="AU13" s="81"/>
      <c r="AV13" s="81"/>
    </row>
    <row r="14" spans="1:48" ht="40.799999999999997" x14ac:dyDescent="0.2">
      <c r="A14" s="309"/>
      <c r="B14" s="309"/>
      <c r="C14" s="309"/>
      <c r="D14" s="108">
        <v>222</v>
      </c>
      <c r="E14" s="108"/>
      <c r="F14" s="109" t="s">
        <v>673</v>
      </c>
      <c r="G14" s="108"/>
      <c r="H14" s="109" t="s">
        <v>674</v>
      </c>
      <c r="I14" s="108"/>
      <c r="J14" s="318">
        <v>550</v>
      </c>
      <c r="K14" s="108"/>
      <c r="L14" s="113" t="s">
        <v>675</v>
      </c>
      <c r="M14" s="108"/>
      <c r="N14" s="108" t="s">
        <v>56</v>
      </c>
      <c r="O14" s="108"/>
      <c r="P14" s="309">
        <v>2011</v>
      </c>
      <c r="Q14" s="81">
        <v>905</v>
      </c>
      <c r="R14" s="108"/>
      <c r="S14" s="108"/>
      <c r="T14" s="110">
        <v>0</v>
      </c>
      <c r="U14" s="108"/>
      <c r="V14" s="111">
        <v>46420</v>
      </c>
      <c r="W14" s="108"/>
      <c r="X14" s="108">
        <v>487</v>
      </c>
      <c r="Y14" s="108"/>
      <c r="Z14" s="111">
        <v>0</v>
      </c>
      <c r="AA14" s="108"/>
      <c r="AB14" s="111">
        <v>130881.63</v>
      </c>
      <c r="AC14" s="108"/>
      <c r="AD14" s="111">
        <v>119795</v>
      </c>
      <c r="AE14" s="108"/>
      <c r="AF14" s="108">
        <v>475</v>
      </c>
      <c r="AG14" s="108"/>
      <c r="AH14" s="111">
        <v>0</v>
      </c>
      <c r="AI14" s="108"/>
      <c r="AJ14" s="111">
        <v>111448</v>
      </c>
      <c r="AK14" s="111"/>
      <c r="AL14" s="108">
        <v>430</v>
      </c>
      <c r="AM14" s="111"/>
      <c r="AN14" s="111">
        <v>0</v>
      </c>
      <c r="AO14" s="108"/>
      <c r="AP14" s="111">
        <v>96046</v>
      </c>
      <c r="AQ14" s="108"/>
      <c r="AR14" s="108">
        <v>393</v>
      </c>
      <c r="AS14" s="81" t="s">
        <v>676</v>
      </c>
      <c r="AT14" s="81"/>
      <c r="AU14" s="81" t="s">
        <v>103</v>
      </c>
      <c r="AV14" s="81"/>
    </row>
    <row r="15" spans="1:48" ht="20.399999999999999" x14ac:dyDescent="0.2">
      <c r="A15" s="309"/>
      <c r="B15" s="309"/>
      <c r="C15" s="309"/>
      <c r="D15" s="108">
        <v>222</v>
      </c>
      <c r="E15" s="108"/>
      <c r="F15" s="109" t="s">
        <v>104</v>
      </c>
      <c r="G15" s="108"/>
      <c r="H15" s="109" t="s">
        <v>98</v>
      </c>
      <c r="I15" s="108"/>
      <c r="J15" s="318">
        <v>100</v>
      </c>
      <c r="K15" s="108"/>
      <c r="L15" s="113" t="s">
        <v>99</v>
      </c>
      <c r="M15" s="108"/>
      <c r="N15" s="108" t="s">
        <v>56</v>
      </c>
      <c r="O15" s="108"/>
      <c r="P15" s="309"/>
      <c r="Q15" s="81">
        <v>905</v>
      </c>
      <c r="R15" s="108"/>
      <c r="S15" s="108"/>
      <c r="T15" s="110">
        <v>0</v>
      </c>
      <c r="U15" s="108"/>
      <c r="V15" s="111">
        <v>600</v>
      </c>
      <c r="W15" s="108"/>
      <c r="X15" s="108">
        <v>7</v>
      </c>
      <c r="Y15" s="108"/>
      <c r="Z15" s="111">
        <v>0</v>
      </c>
      <c r="AA15" s="108"/>
      <c r="AB15" s="111">
        <v>692</v>
      </c>
      <c r="AC15" s="108"/>
      <c r="AD15" s="111">
        <v>220</v>
      </c>
      <c r="AE15" s="108"/>
      <c r="AF15" s="108">
        <v>3</v>
      </c>
      <c r="AG15" s="108"/>
      <c r="AH15" s="111">
        <v>0</v>
      </c>
      <c r="AI15" s="108"/>
      <c r="AJ15" s="111">
        <v>100</v>
      </c>
      <c r="AK15" s="111"/>
      <c r="AL15" s="108">
        <v>2</v>
      </c>
      <c r="AM15" s="111"/>
      <c r="AN15" s="111">
        <v>0</v>
      </c>
      <c r="AO15" s="108"/>
      <c r="AP15" s="111">
        <v>100</v>
      </c>
      <c r="AQ15" s="108"/>
      <c r="AR15" s="108">
        <v>2</v>
      </c>
      <c r="AS15" s="81" t="s">
        <v>105</v>
      </c>
      <c r="AT15" s="81"/>
      <c r="AU15" s="81"/>
      <c r="AV15" s="81"/>
    </row>
    <row r="16" spans="1:48" ht="30.6" x14ac:dyDescent="0.2">
      <c r="A16" s="309"/>
      <c r="B16" s="309"/>
      <c r="C16" s="309"/>
      <c r="D16" s="108">
        <v>222</v>
      </c>
      <c r="E16" s="108"/>
      <c r="F16" s="109" t="s">
        <v>106</v>
      </c>
      <c r="G16" s="108"/>
      <c r="H16" s="109" t="s">
        <v>98</v>
      </c>
      <c r="I16" s="108"/>
      <c r="J16" s="318">
        <v>20</v>
      </c>
      <c r="K16" s="108"/>
      <c r="L16" s="113" t="s">
        <v>677</v>
      </c>
      <c r="M16" s="108"/>
      <c r="N16" s="108" t="s">
        <v>56</v>
      </c>
      <c r="O16" s="108"/>
      <c r="P16" s="309"/>
      <c r="Q16" s="81">
        <v>905</v>
      </c>
      <c r="R16" s="108"/>
      <c r="S16" s="108"/>
      <c r="T16" s="110">
        <v>0</v>
      </c>
      <c r="U16" s="108"/>
      <c r="V16" s="111">
        <v>46708</v>
      </c>
      <c r="W16" s="108"/>
      <c r="X16" s="108">
        <v>127</v>
      </c>
      <c r="Y16" s="108"/>
      <c r="Z16" s="111">
        <v>0</v>
      </c>
      <c r="AA16" s="108"/>
      <c r="AB16" s="111">
        <v>39652.58</v>
      </c>
      <c r="AC16" s="108"/>
      <c r="AD16" s="111">
        <v>34052</v>
      </c>
      <c r="AE16" s="108"/>
      <c r="AF16" s="108">
        <v>120</v>
      </c>
      <c r="AG16" s="108"/>
      <c r="AH16" s="111">
        <v>0</v>
      </c>
      <c r="AI16" s="108"/>
      <c r="AJ16" s="111">
        <v>33981</v>
      </c>
      <c r="AK16" s="111"/>
      <c r="AL16" s="108">
        <v>119</v>
      </c>
      <c r="AM16" s="111"/>
      <c r="AN16" s="111">
        <v>0</v>
      </c>
      <c r="AO16" s="108"/>
      <c r="AP16" s="111">
        <v>43283</v>
      </c>
      <c r="AQ16" s="108"/>
      <c r="AR16" s="108">
        <v>136</v>
      </c>
      <c r="AS16" s="81" t="s">
        <v>107</v>
      </c>
      <c r="AT16" s="81"/>
      <c r="AU16" s="81"/>
      <c r="AV16" s="81"/>
    </row>
    <row r="17" spans="1:48" ht="20.399999999999999" x14ac:dyDescent="0.2">
      <c r="A17" s="309"/>
      <c r="B17" s="309"/>
      <c r="C17" s="309"/>
      <c r="D17" s="108">
        <v>222</v>
      </c>
      <c r="E17" s="108"/>
      <c r="F17" s="109" t="s">
        <v>678</v>
      </c>
      <c r="G17" s="108"/>
      <c r="H17" s="109" t="s">
        <v>679</v>
      </c>
      <c r="I17" s="108"/>
      <c r="J17" s="318">
        <v>20</v>
      </c>
      <c r="K17" s="108"/>
      <c r="L17" s="113" t="s">
        <v>680</v>
      </c>
      <c r="M17" s="108"/>
      <c r="N17" s="108" t="s">
        <v>56</v>
      </c>
      <c r="O17" s="108"/>
      <c r="P17" s="309"/>
      <c r="Q17" s="81">
        <v>905</v>
      </c>
      <c r="R17" s="108"/>
      <c r="S17" s="108"/>
      <c r="T17" s="110">
        <v>0</v>
      </c>
      <c r="U17" s="108"/>
      <c r="V17" s="111"/>
      <c r="W17" s="108"/>
      <c r="X17" s="108">
        <v>8</v>
      </c>
      <c r="Y17" s="108"/>
      <c r="Z17" s="111">
        <v>0</v>
      </c>
      <c r="AA17" s="108"/>
      <c r="AB17" s="111">
        <v>1211.42</v>
      </c>
      <c r="AC17" s="108"/>
      <c r="AD17" s="111">
        <v>1299</v>
      </c>
      <c r="AE17" s="108"/>
      <c r="AF17" s="108">
        <v>5</v>
      </c>
      <c r="AG17" s="108"/>
      <c r="AH17" s="111">
        <v>0</v>
      </c>
      <c r="AI17" s="108"/>
      <c r="AJ17" s="111">
        <v>0</v>
      </c>
      <c r="AK17" s="111"/>
      <c r="AL17" s="108">
        <v>0</v>
      </c>
      <c r="AM17" s="111"/>
      <c r="AN17" s="111">
        <v>0</v>
      </c>
      <c r="AO17" s="108"/>
      <c r="AP17" s="111">
        <v>230</v>
      </c>
      <c r="AQ17" s="108"/>
      <c r="AR17" s="108">
        <v>4</v>
      </c>
      <c r="AS17" s="81" t="s">
        <v>681</v>
      </c>
      <c r="AT17" s="81"/>
      <c r="AU17" s="81"/>
      <c r="AV17" s="81"/>
    </row>
    <row r="18" spans="1:48" ht="30.6" x14ac:dyDescent="0.2">
      <c r="A18" s="309"/>
      <c r="B18" s="309"/>
      <c r="C18" s="309"/>
      <c r="D18" s="108">
        <v>222</v>
      </c>
      <c r="E18" s="108"/>
      <c r="F18" s="109" t="s">
        <v>682</v>
      </c>
      <c r="G18" s="108"/>
      <c r="H18" s="109" t="s">
        <v>98</v>
      </c>
      <c r="I18" s="108"/>
      <c r="J18" s="318">
        <v>50</v>
      </c>
      <c r="K18" s="108"/>
      <c r="L18" s="113" t="s">
        <v>89</v>
      </c>
      <c r="M18" s="108"/>
      <c r="N18" s="108" t="s">
        <v>56</v>
      </c>
      <c r="O18" s="108"/>
      <c r="P18" s="309">
        <v>2011</v>
      </c>
      <c r="Q18" s="81">
        <v>905</v>
      </c>
      <c r="R18" s="108"/>
      <c r="S18" s="108"/>
      <c r="T18" s="110">
        <v>0</v>
      </c>
      <c r="U18" s="108"/>
      <c r="V18" s="111"/>
      <c r="W18" s="108"/>
      <c r="X18" s="108">
        <v>1</v>
      </c>
      <c r="Y18" s="108"/>
      <c r="Z18" s="111">
        <v>0</v>
      </c>
      <c r="AA18" s="108"/>
      <c r="AB18" s="111">
        <v>50</v>
      </c>
      <c r="AC18" s="108"/>
      <c r="AD18" s="111">
        <v>710</v>
      </c>
      <c r="AE18" s="108"/>
      <c r="AF18" s="108">
        <v>15</v>
      </c>
      <c r="AG18" s="108"/>
      <c r="AH18" s="111">
        <v>0</v>
      </c>
      <c r="AI18" s="108"/>
      <c r="AJ18" s="111">
        <v>650</v>
      </c>
      <c r="AK18" s="111"/>
      <c r="AL18" s="108">
        <v>13</v>
      </c>
      <c r="AM18" s="111"/>
      <c r="AN18" s="111">
        <v>0</v>
      </c>
      <c r="AO18" s="108"/>
      <c r="AP18" s="111">
        <v>1025</v>
      </c>
      <c r="AQ18" s="108"/>
      <c r="AR18" s="108">
        <v>21</v>
      </c>
      <c r="AS18" s="81" t="s">
        <v>683</v>
      </c>
      <c r="AT18" s="81"/>
      <c r="AU18" s="81" t="s">
        <v>684</v>
      </c>
      <c r="AV18" s="81"/>
    </row>
    <row r="19" spans="1:48" ht="30.6" x14ac:dyDescent="0.2">
      <c r="A19" s="309"/>
      <c r="B19" s="309"/>
      <c r="C19" s="309"/>
      <c r="D19" s="108">
        <v>222</v>
      </c>
      <c r="E19" s="108"/>
      <c r="F19" s="109" t="s">
        <v>685</v>
      </c>
      <c r="G19" s="108"/>
      <c r="H19" s="109" t="s">
        <v>686</v>
      </c>
      <c r="I19" s="108"/>
      <c r="J19" s="318">
        <v>30</v>
      </c>
      <c r="K19" s="108"/>
      <c r="L19" s="113" t="s">
        <v>99</v>
      </c>
      <c r="M19" s="108"/>
      <c r="N19" s="108" t="s">
        <v>56</v>
      </c>
      <c r="O19" s="108"/>
      <c r="P19" s="309">
        <v>2011</v>
      </c>
      <c r="Q19" s="81">
        <v>905</v>
      </c>
      <c r="R19" s="108"/>
      <c r="S19" s="108"/>
      <c r="T19" s="110">
        <v>0</v>
      </c>
      <c r="U19" s="108"/>
      <c r="V19" s="111"/>
      <c r="W19" s="108"/>
      <c r="X19" s="108">
        <v>4</v>
      </c>
      <c r="Y19" s="108"/>
      <c r="Z19" s="111">
        <v>0</v>
      </c>
      <c r="AA19" s="108"/>
      <c r="AB19" s="111">
        <v>120</v>
      </c>
      <c r="AC19" s="108"/>
      <c r="AD19" s="111">
        <v>445</v>
      </c>
      <c r="AE19" s="108"/>
      <c r="AF19" s="108">
        <v>15</v>
      </c>
      <c r="AG19" s="108"/>
      <c r="AH19" s="111">
        <v>0</v>
      </c>
      <c r="AI19" s="108"/>
      <c r="AJ19" s="111">
        <v>365</v>
      </c>
      <c r="AK19" s="111"/>
      <c r="AL19" s="108">
        <v>12</v>
      </c>
      <c r="AM19" s="111"/>
      <c r="AN19" s="111">
        <v>0</v>
      </c>
      <c r="AO19" s="108"/>
      <c r="AP19" s="111">
        <v>295</v>
      </c>
      <c r="AQ19" s="108"/>
      <c r="AR19" s="108">
        <v>10</v>
      </c>
      <c r="AS19" s="81" t="s">
        <v>687</v>
      </c>
      <c r="AT19" s="81"/>
      <c r="AU19" s="81" t="s">
        <v>688</v>
      </c>
      <c r="AV19" s="81"/>
    </row>
    <row r="20" spans="1:48" ht="30.6" x14ac:dyDescent="0.2">
      <c r="A20" s="309"/>
      <c r="B20" s="309"/>
      <c r="C20" s="309"/>
      <c r="D20" s="108">
        <v>222</v>
      </c>
      <c r="E20" s="108"/>
      <c r="F20" s="109" t="s">
        <v>108</v>
      </c>
      <c r="G20" s="108"/>
      <c r="H20" s="109" t="s">
        <v>92</v>
      </c>
      <c r="I20" s="108"/>
      <c r="J20" s="319">
        <v>25</v>
      </c>
      <c r="K20" s="108"/>
      <c r="L20" s="113" t="s">
        <v>89</v>
      </c>
      <c r="M20" s="108"/>
      <c r="N20" s="108" t="s">
        <v>56</v>
      </c>
      <c r="O20" s="108"/>
      <c r="P20" s="309">
        <v>2009</v>
      </c>
      <c r="Q20" s="81">
        <v>905</v>
      </c>
      <c r="R20" s="108"/>
      <c r="S20" s="108"/>
      <c r="T20" s="110">
        <v>0</v>
      </c>
      <c r="U20" s="108"/>
      <c r="V20" s="111">
        <v>6780</v>
      </c>
      <c r="W20" s="108"/>
      <c r="X20" s="108" t="s">
        <v>689</v>
      </c>
      <c r="Y20" s="108"/>
      <c r="Z20" s="111">
        <v>0</v>
      </c>
      <c r="AA20" s="108"/>
      <c r="AB20" s="111">
        <v>6435.9</v>
      </c>
      <c r="AC20" s="108"/>
      <c r="AD20" s="111">
        <v>6440</v>
      </c>
      <c r="AE20" s="108"/>
      <c r="AF20" s="108">
        <v>559</v>
      </c>
      <c r="AG20" s="108"/>
      <c r="AH20" s="111">
        <v>0</v>
      </c>
      <c r="AI20" s="108"/>
      <c r="AJ20" s="111">
        <v>7247</v>
      </c>
      <c r="AK20" s="111"/>
      <c r="AL20" s="108">
        <v>488</v>
      </c>
      <c r="AM20" s="111"/>
      <c r="AN20" s="111">
        <v>0</v>
      </c>
      <c r="AO20" s="108"/>
      <c r="AP20" s="111">
        <v>12306</v>
      </c>
      <c r="AQ20" s="108"/>
      <c r="AR20" s="108">
        <v>589</v>
      </c>
      <c r="AS20" s="81" t="s">
        <v>109</v>
      </c>
      <c r="AT20" s="81"/>
      <c r="AU20" s="320" t="s">
        <v>803</v>
      </c>
      <c r="AV20" s="81"/>
    </row>
    <row r="21" spans="1:48" x14ac:dyDescent="0.2">
      <c r="A21" s="309"/>
      <c r="B21" s="309" t="s">
        <v>110</v>
      </c>
      <c r="C21" s="309"/>
      <c r="D21" s="108">
        <v>223</v>
      </c>
      <c r="E21" s="108"/>
      <c r="F21" s="109" t="s">
        <v>111</v>
      </c>
      <c r="G21" s="108"/>
      <c r="H21" s="109" t="s">
        <v>112</v>
      </c>
      <c r="I21" s="108"/>
      <c r="J21" s="318">
        <v>200</v>
      </c>
      <c r="K21" s="108"/>
      <c r="L21" s="113" t="s">
        <v>113</v>
      </c>
      <c r="M21" s="108"/>
      <c r="N21" s="108" t="s">
        <v>56</v>
      </c>
      <c r="O21" s="108"/>
      <c r="P21" s="309"/>
      <c r="Q21" s="81">
        <v>905</v>
      </c>
      <c r="R21" s="108">
        <v>10</v>
      </c>
      <c r="S21" s="108"/>
      <c r="T21" s="110">
        <v>0</v>
      </c>
      <c r="U21" s="108"/>
      <c r="V21" s="111">
        <v>1200</v>
      </c>
      <c r="W21" s="108"/>
      <c r="X21" s="108">
        <v>16</v>
      </c>
      <c r="Y21" s="108"/>
      <c r="Z21" s="111">
        <v>0</v>
      </c>
      <c r="AA21" s="108"/>
      <c r="AB21" s="111">
        <v>850</v>
      </c>
      <c r="AC21" s="108"/>
      <c r="AD21" s="111">
        <v>1630</v>
      </c>
      <c r="AE21" s="108"/>
      <c r="AF21" s="108">
        <v>148</v>
      </c>
      <c r="AG21" s="108"/>
      <c r="AH21" s="111">
        <v>0</v>
      </c>
      <c r="AI21" s="108"/>
      <c r="AJ21" s="111">
        <v>3197</v>
      </c>
      <c r="AK21" s="111"/>
      <c r="AL21" s="108">
        <v>44</v>
      </c>
      <c r="AM21" s="111"/>
      <c r="AN21" s="111">
        <v>0</v>
      </c>
      <c r="AO21" s="108"/>
      <c r="AP21" s="111">
        <v>3707</v>
      </c>
      <c r="AQ21" s="108"/>
      <c r="AR21" s="108">
        <v>90</v>
      </c>
      <c r="AS21" s="81" t="s">
        <v>114</v>
      </c>
      <c r="AT21" s="81"/>
      <c r="AU21" s="81" t="s">
        <v>115</v>
      </c>
      <c r="AV21" s="81"/>
    </row>
    <row r="22" spans="1:48" x14ac:dyDescent="0.2">
      <c r="A22" s="309"/>
      <c r="B22" s="309"/>
      <c r="C22" s="309"/>
      <c r="D22" s="108">
        <v>223</v>
      </c>
      <c r="E22" s="108"/>
      <c r="F22" s="109" t="s">
        <v>116</v>
      </c>
      <c r="G22" s="108"/>
      <c r="H22" s="109" t="s">
        <v>112</v>
      </c>
      <c r="I22" s="108"/>
      <c r="J22" s="318" t="s">
        <v>117</v>
      </c>
      <c r="K22" s="108"/>
      <c r="L22" s="113" t="s">
        <v>118</v>
      </c>
      <c r="M22" s="108"/>
      <c r="N22" s="108" t="s">
        <v>56</v>
      </c>
      <c r="O22" s="108"/>
      <c r="P22" s="309"/>
      <c r="Q22" s="81">
        <v>905</v>
      </c>
      <c r="R22" s="108">
        <v>50</v>
      </c>
      <c r="S22" s="108"/>
      <c r="T22" s="110">
        <v>0</v>
      </c>
      <c r="U22" s="108"/>
      <c r="V22" s="111">
        <v>788</v>
      </c>
      <c r="W22" s="108"/>
      <c r="X22" s="108">
        <v>272</v>
      </c>
      <c r="Y22" s="108"/>
      <c r="Z22" s="111">
        <v>0</v>
      </c>
      <c r="AA22" s="108"/>
      <c r="AB22" s="111">
        <v>1356.43</v>
      </c>
      <c r="AC22" s="108"/>
      <c r="AD22" s="111">
        <v>1849</v>
      </c>
      <c r="AE22" s="108"/>
      <c r="AF22" s="108">
        <v>370</v>
      </c>
      <c r="AG22" s="108"/>
      <c r="AH22" s="111">
        <v>0</v>
      </c>
      <c r="AI22" s="108"/>
      <c r="AJ22" s="111">
        <v>2383</v>
      </c>
      <c r="AK22" s="111"/>
      <c r="AL22" s="108">
        <v>213</v>
      </c>
      <c r="AM22" s="111"/>
      <c r="AN22" s="111">
        <v>0</v>
      </c>
      <c r="AO22" s="108"/>
      <c r="AP22" s="111">
        <v>2530</v>
      </c>
      <c r="AQ22" s="108"/>
      <c r="AR22" s="108">
        <v>297</v>
      </c>
      <c r="AS22" s="81" t="s">
        <v>114</v>
      </c>
      <c r="AT22" s="81"/>
      <c r="AU22" s="81" t="s">
        <v>115</v>
      </c>
      <c r="AV22" s="81"/>
    </row>
    <row r="23" spans="1:48" x14ac:dyDescent="0.2">
      <c r="A23" s="309"/>
      <c r="B23" s="309"/>
      <c r="C23" s="309"/>
      <c r="D23" s="108">
        <v>223</v>
      </c>
      <c r="E23" s="108"/>
      <c r="F23" s="109" t="s">
        <v>119</v>
      </c>
      <c r="G23" s="108"/>
      <c r="H23" s="109" t="s">
        <v>112</v>
      </c>
      <c r="I23" s="108"/>
      <c r="J23" s="318" t="s">
        <v>120</v>
      </c>
      <c r="K23" s="108"/>
      <c r="L23" s="113" t="s">
        <v>121</v>
      </c>
      <c r="M23" s="108"/>
      <c r="N23" s="108" t="s">
        <v>56</v>
      </c>
      <c r="O23" s="108"/>
      <c r="P23" s="309"/>
      <c r="Q23" s="81">
        <v>905</v>
      </c>
      <c r="R23" s="108">
        <v>60</v>
      </c>
      <c r="S23" s="108"/>
      <c r="T23" s="110">
        <v>0</v>
      </c>
      <c r="U23" s="108"/>
      <c r="V23" s="111">
        <v>265</v>
      </c>
      <c r="W23" s="108"/>
      <c r="X23" s="108">
        <v>72</v>
      </c>
      <c r="Y23" s="108"/>
      <c r="Z23" s="111">
        <v>0</v>
      </c>
      <c r="AA23" s="108"/>
      <c r="AB23" s="111">
        <v>1678</v>
      </c>
      <c r="AC23" s="108"/>
      <c r="AD23" s="111">
        <v>141</v>
      </c>
      <c r="AE23" s="108"/>
      <c r="AF23" s="108">
        <v>8</v>
      </c>
      <c r="AG23" s="108"/>
      <c r="AH23" s="111">
        <v>0</v>
      </c>
      <c r="AI23" s="108"/>
      <c r="AJ23" s="111">
        <v>247</v>
      </c>
      <c r="AK23" s="111"/>
      <c r="AL23" s="108">
        <v>28</v>
      </c>
      <c r="AM23" s="111"/>
      <c r="AN23" s="111">
        <v>0</v>
      </c>
      <c r="AO23" s="108"/>
      <c r="AP23" s="111">
        <v>720</v>
      </c>
      <c r="AQ23" s="108"/>
      <c r="AR23" s="108">
        <v>75</v>
      </c>
      <c r="AS23" s="81" t="s">
        <v>122</v>
      </c>
      <c r="AT23" s="81"/>
      <c r="AU23" s="81" t="s">
        <v>115</v>
      </c>
      <c r="AV23" s="81"/>
    </row>
    <row r="24" spans="1:48" s="114" customFormat="1" x14ac:dyDescent="0.2">
      <c r="A24" s="113"/>
      <c r="B24" s="309"/>
      <c r="C24" s="113"/>
      <c r="D24" s="108">
        <v>223</v>
      </c>
      <c r="E24" s="108"/>
      <c r="F24" s="109" t="s">
        <v>123</v>
      </c>
      <c r="G24" s="108"/>
      <c r="H24" s="109" t="s">
        <v>112</v>
      </c>
      <c r="I24" s="108"/>
      <c r="J24" s="318" t="s">
        <v>120</v>
      </c>
      <c r="K24" s="108"/>
      <c r="L24" s="113" t="s">
        <v>124</v>
      </c>
      <c r="M24" s="108"/>
      <c r="N24" s="108" t="s">
        <v>56</v>
      </c>
      <c r="O24" s="108"/>
      <c r="P24" s="113"/>
      <c r="Q24" s="95">
        <v>905</v>
      </c>
      <c r="R24" s="108">
        <v>20</v>
      </c>
      <c r="S24" s="108"/>
      <c r="T24" s="110">
        <v>0</v>
      </c>
      <c r="U24" s="108"/>
      <c r="V24" s="111">
        <v>1588.8</v>
      </c>
      <c r="W24" s="108"/>
      <c r="X24" s="108">
        <v>15</v>
      </c>
      <c r="Y24" s="108"/>
      <c r="Z24" s="111">
        <v>0</v>
      </c>
      <c r="AA24" s="108"/>
      <c r="AB24" s="111">
        <v>91.8</v>
      </c>
      <c r="AC24" s="108"/>
      <c r="AD24" s="111">
        <v>46.75</v>
      </c>
      <c r="AE24" s="108"/>
      <c r="AF24" s="108">
        <v>45</v>
      </c>
      <c r="AG24" s="108"/>
      <c r="AH24" s="111">
        <v>0</v>
      </c>
      <c r="AI24" s="108"/>
      <c r="AJ24" s="111">
        <v>122.9</v>
      </c>
      <c r="AK24" s="111"/>
      <c r="AL24" s="108">
        <v>23</v>
      </c>
      <c r="AM24" s="111"/>
      <c r="AN24" s="111">
        <v>0</v>
      </c>
      <c r="AO24" s="108"/>
      <c r="AP24" s="111">
        <v>809</v>
      </c>
      <c r="AQ24" s="108"/>
      <c r="AR24" s="108">
        <v>120</v>
      </c>
      <c r="AS24" s="95" t="s">
        <v>125</v>
      </c>
      <c r="AT24" s="95"/>
      <c r="AU24" s="95" t="s">
        <v>115</v>
      </c>
      <c r="AV24" s="95"/>
    </row>
    <row r="25" spans="1:48" s="114" customFormat="1" x14ac:dyDescent="0.2">
      <c r="A25" s="113"/>
      <c r="B25" s="309"/>
      <c r="C25" s="113"/>
      <c r="D25" s="108">
        <v>223</v>
      </c>
      <c r="E25" s="108"/>
      <c r="F25" s="109" t="s">
        <v>126</v>
      </c>
      <c r="G25" s="108"/>
      <c r="H25" s="109" t="s">
        <v>112</v>
      </c>
      <c r="I25" s="108"/>
      <c r="J25" s="318" t="s">
        <v>120</v>
      </c>
      <c r="K25" s="108"/>
      <c r="L25" s="113" t="s">
        <v>121</v>
      </c>
      <c r="M25" s="108"/>
      <c r="N25" s="108" t="s">
        <v>56</v>
      </c>
      <c r="O25" s="108"/>
      <c r="P25" s="113"/>
      <c r="Q25" s="95">
        <v>905</v>
      </c>
      <c r="R25" s="108">
        <v>10</v>
      </c>
      <c r="S25" s="108"/>
      <c r="T25" s="110">
        <v>0</v>
      </c>
      <c r="U25" s="108"/>
      <c r="V25" s="111">
        <v>8</v>
      </c>
      <c r="W25" s="108"/>
      <c r="X25" s="108">
        <v>1</v>
      </c>
      <c r="Y25" s="108"/>
      <c r="Z25" s="111">
        <v>0</v>
      </c>
      <c r="AA25" s="108"/>
      <c r="AB25" s="111">
        <v>5</v>
      </c>
      <c r="AC25" s="108"/>
      <c r="AD25" s="111">
        <v>0</v>
      </c>
      <c r="AE25" s="108"/>
      <c r="AF25" s="108">
        <v>0</v>
      </c>
      <c r="AG25" s="108"/>
      <c r="AH25" s="111">
        <v>0</v>
      </c>
      <c r="AI25" s="108"/>
      <c r="AJ25" s="111">
        <v>0</v>
      </c>
      <c r="AK25" s="111"/>
      <c r="AL25" s="108">
        <v>0</v>
      </c>
      <c r="AM25" s="111"/>
      <c r="AN25" s="111">
        <v>0</v>
      </c>
      <c r="AO25" s="108"/>
      <c r="AP25" s="111">
        <v>14</v>
      </c>
      <c r="AQ25" s="108"/>
      <c r="AR25" s="108">
        <v>70</v>
      </c>
      <c r="AS25" s="95" t="s">
        <v>127</v>
      </c>
      <c r="AT25" s="95"/>
      <c r="AU25" s="95" t="s">
        <v>115</v>
      </c>
      <c r="AV25" s="95"/>
    </row>
    <row r="26" spans="1:48" x14ac:dyDescent="0.2">
      <c r="A26" s="309"/>
      <c r="B26" s="309"/>
      <c r="C26" s="309"/>
      <c r="D26" s="108">
        <v>223</v>
      </c>
      <c r="E26" s="108"/>
      <c r="F26" s="109" t="s">
        <v>128</v>
      </c>
      <c r="G26" s="108"/>
      <c r="H26" s="109" t="s">
        <v>112</v>
      </c>
      <c r="I26" s="108"/>
      <c r="J26" s="318" t="s">
        <v>120</v>
      </c>
      <c r="K26" s="108"/>
      <c r="L26" s="113" t="s">
        <v>129</v>
      </c>
      <c r="M26" s="108"/>
      <c r="N26" s="108" t="s">
        <v>56</v>
      </c>
      <c r="O26" s="108"/>
      <c r="P26" s="309"/>
      <c r="Q26" s="81">
        <v>905</v>
      </c>
      <c r="R26" s="108">
        <v>250</v>
      </c>
      <c r="S26" s="108"/>
      <c r="T26" s="110">
        <v>0</v>
      </c>
      <c r="U26" s="108"/>
      <c r="V26" s="111">
        <v>3023.28</v>
      </c>
      <c r="W26" s="108"/>
      <c r="X26" s="108">
        <v>170</v>
      </c>
      <c r="Y26" s="108"/>
      <c r="Z26" s="111">
        <v>0</v>
      </c>
      <c r="AA26" s="108"/>
      <c r="AB26" s="111">
        <v>3647</v>
      </c>
      <c r="AC26" s="108"/>
      <c r="AD26" s="111">
        <v>4825.43</v>
      </c>
      <c r="AE26" s="108"/>
      <c r="AF26" s="108">
        <v>241</v>
      </c>
      <c r="AG26" s="108"/>
      <c r="AH26" s="111">
        <v>0</v>
      </c>
      <c r="AI26" s="108"/>
      <c r="AJ26" s="111">
        <v>3420</v>
      </c>
      <c r="AK26" s="111"/>
      <c r="AL26" s="108">
        <v>233</v>
      </c>
      <c r="AM26" s="111"/>
      <c r="AN26" s="111">
        <v>0</v>
      </c>
      <c r="AO26" s="108"/>
      <c r="AP26" s="111">
        <v>4831.9399999999996</v>
      </c>
      <c r="AQ26" s="108"/>
      <c r="AR26" s="108">
        <v>323</v>
      </c>
      <c r="AS26" s="81" t="s">
        <v>130</v>
      </c>
      <c r="AT26" s="81"/>
      <c r="AU26" s="81" t="s">
        <v>115</v>
      </c>
      <c r="AV26" s="81"/>
    </row>
    <row r="27" spans="1:48" ht="20.399999999999999" x14ac:dyDescent="0.2">
      <c r="A27" s="309"/>
      <c r="B27" s="309"/>
      <c r="C27" s="309"/>
      <c r="D27" s="108">
        <v>223</v>
      </c>
      <c r="E27" s="108"/>
      <c r="F27" s="109" t="s">
        <v>131</v>
      </c>
      <c r="G27" s="108"/>
      <c r="H27" s="109" t="s">
        <v>112</v>
      </c>
      <c r="I27" s="108"/>
      <c r="J27" s="318">
        <v>50</v>
      </c>
      <c r="K27" s="108"/>
      <c r="L27" s="113" t="s">
        <v>129</v>
      </c>
      <c r="M27" s="108"/>
      <c r="N27" s="108" t="s">
        <v>56</v>
      </c>
      <c r="O27" s="108"/>
      <c r="P27" s="309"/>
      <c r="Q27" s="81">
        <v>905</v>
      </c>
      <c r="R27" s="108">
        <v>10</v>
      </c>
      <c r="S27" s="108"/>
      <c r="T27" s="110">
        <v>0</v>
      </c>
      <c r="U27" s="108"/>
      <c r="V27" s="111">
        <v>600</v>
      </c>
      <c r="W27" s="108"/>
      <c r="X27" s="108">
        <v>5</v>
      </c>
      <c r="Y27" s="108"/>
      <c r="Z27" s="111">
        <v>0</v>
      </c>
      <c r="AA27" s="108"/>
      <c r="AB27" s="111">
        <v>260</v>
      </c>
      <c r="AC27" s="108"/>
      <c r="AD27" s="111">
        <v>550</v>
      </c>
      <c r="AE27" s="108"/>
      <c r="AF27" s="108">
        <v>11</v>
      </c>
      <c r="AG27" s="108"/>
      <c r="AH27" s="111">
        <v>0</v>
      </c>
      <c r="AI27" s="108"/>
      <c r="AJ27" s="111">
        <v>2695</v>
      </c>
      <c r="AK27" s="111"/>
      <c r="AL27" s="108">
        <v>66</v>
      </c>
      <c r="AM27" s="111"/>
      <c r="AN27" s="111">
        <v>0</v>
      </c>
      <c r="AO27" s="108"/>
      <c r="AP27" s="111">
        <v>785</v>
      </c>
      <c r="AQ27" s="108"/>
      <c r="AR27" s="108">
        <v>15</v>
      </c>
      <c r="AS27" s="81" t="s">
        <v>132</v>
      </c>
      <c r="AT27" s="81"/>
      <c r="AU27" s="81" t="s">
        <v>115</v>
      </c>
      <c r="AV27" s="81"/>
    </row>
    <row r="28" spans="1:48" ht="20.399999999999999" x14ac:dyDescent="0.2">
      <c r="A28" s="309"/>
      <c r="B28" s="309"/>
      <c r="C28" s="309"/>
      <c r="D28" s="108">
        <v>223</v>
      </c>
      <c r="E28" s="108"/>
      <c r="F28" s="109" t="s">
        <v>87</v>
      </c>
      <c r="G28" s="108" t="s">
        <v>133</v>
      </c>
      <c r="H28" s="109" t="s">
        <v>112</v>
      </c>
      <c r="I28" s="108"/>
      <c r="J28" s="318">
        <v>300</v>
      </c>
      <c r="K28" s="108"/>
      <c r="L28" s="113" t="s">
        <v>113</v>
      </c>
      <c r="M28" s="108"/>
      <c r="N28" s="108" t="s">
        <v>56</v>
      </c>
      <c r="O28" s="108"/>
      <c r="P28" s="309"/>
      <c r="Q28" s="81">
        <v>905</v>
      </c>
      <c r="R28" s="108">
        <v>1913</v>
      </c>
      <c r="S28" s="108"/>
      <c r="T28" s="110">
        <v>0</v>
      </c>
      <c r="U28" s="108"/>
      <c r="V28" s="111">
        <v>371813</v>
      </c>
      <c r="W28" s="108"/>
      <c r="X28" s="108">
        <v>1971</v>
      </c>
      <c r="Y28" s="108"/>
      <c r="Z28" s="111">
        <v>0</v>
      </c>
      <c r="AA28" s="108"/>
      <c r="AB28" s="111">
        <v>405874.46</v>
      </c>
      <c r="AC28" s="108"/>
      <c r="AD28" s="111">
        <v>352616.32</v>
      </c>
      <c r="AE28" s="108"/>
      <c r="AF28" s="108">
        <v>2392</v>
      </c>
      <c r="AG28" s="108"/>
      <c r="AH28" s="111">
        <v>0</v>
      </c>
      <c r="AI28" s="108"/>
      <c r="AJ28" s="111">
        <v>409921</v>
      </c>
      <c r="AK28" s="111"/>
      <c r="AL28" s="108">
        <v>2947</v>
      </c>
      <c r="AM28" s="111"/>
      <c r="AN28" s="111">
        <v>0</v>
      </c>
      <c r="AO28" s="108"/>
      <c r="AP28" s="111">
        <v>404322</v>
      </c>
      <c r="AQ28" s="108"/>
      <c r="AR28" s="108">
        <v>3072</v>
      </c>
      <c r="AS28" s="81" t="s">
        <v>134</v>
      </c>
      <c r="AT28" s="81"/>
      <c r="AU28" s="81" t="s">
        <v>59</v>
      </c>
      <c r="AV28" s="81"/>
    </row>
    <row r="29" spans="1:48" ht="20.399999999999999" x14ac:dyDescent="0.2">
      <c r="A29" s="309"/>
      <c r="B29" s="309"/>
      <c r="C29" s="309"/>
      <c r="D29" s="108">
        <v>223</v>
      </c>
      <c r="E29" s="108"/>
      <c r="F29" s="109" t="s">
        <v>135</v>
      </c>
      <c r="G29" s="108"/>
      <c r="H29" s="109" t="s">
        <v>112</v>
      </c>
      <c r="I29" s="108"/>
      <c r="J29" s="318">
        <v>14</v>
      </c>
      <c r="K29" s="108"/>
      <c r="L29" s="113" t="s">
        <v>136</v>
      </c>
      <c r="M29" s="108"/>
      <c r="N29" s="108" t="s">
        <v>56</v>
      </c>
      <c r="O29" s="108"/>
      <c r="P29" s="309"/>
      <c r="Q29" s="81">
        <v>905</v>
      </c>
      <c r="R29" s="108">
        <v>306</v>
      </c>
      <c r="S29" s="108"/>
      <c r="T29" s="110">
        <v>0</v>
      </c>
      <c r="U29" s="108"/>
      <c r="V29" s="111">
        <v>343882.91</v>
      </c>
      <c r="W29" s="108"/>
      <c r="X29" s="108">
        <v>277</v>
      </c>
      <c r="Y29" s="108"/>
      <c r="Z29" s="111">
        <v>0</v>
      </c>
      <c r="AA29" s="108"/>
      <c r="AB29" s="111">
        <v>378364</v>
      </c>
      <c r="AC29" s="108"/>
      <c r="AD29" s="111">
        <v>392885.17</v>
      </c>
      <c r="AE29" s="108"/>
      <c r="AF29" s="108">
        <v>27375</v>
      </c>
      <c r="AG29" s="108"/>
      <c r="AH29" s="111">
        <v>0</v>
      </c>
      <c r="AI29" s="108"/>
      <c r="AJ29" s="111">
        <v>374181</v>
      </c>
      <c r="AK29" s="111"/>
      <c r="AL29" s="108">
        <v>29773</v>
      </c>
      <c r="AM29" s="111"/>
      <c r="AN29" s="111">
        <v>0</v>
      </c>
      <c r="AO29" s="108"/>
      <c r="AP29" s="111">
        <v>464870</v>
      </c>
      <c r="AQ29" s="108"/>
      <c r="AR29" s="108">
        <v>37292</v>
      </c>
      <c r="AS29" s="81" t="s">
        <v>134</v>
      </c>
      <c r="AT29" s="81"/>
      <c r="AU29" s="81" t="s">
        <v>59</v>
      </c>
      <c r="AV29" s="81"/>
    </row>
    <row r="30" spans="1:48" ht="20.399999999999999" x14ac:dyDescent="0.2">
      <c r="A30" s="309"/>
      <c r="B30" s="309"/>
      <c r="C30" s="309"/>
      <c r="D30" s="108">
        <v>223</v>
      </c>
      <c r="E30" s="108"/>
      <c r="F30" s="109" t="s">
        <v>137</v>
      </c>
      <c r="G30" s="108"/>
      <c r="H30" s="109" t="s">
        <v>112</v>
      </c>
      <c r="I30" s="108"/>
      <c r="J30" s="318">
        <v>15</v>
      </c>
      <c r="K30" s="108"/>
      <c r="L30" s="113" t="s">
        <v>136</v>
      </c>
      <c r="M30" s="108"/>
      <c r="N30" s="108" t="s">
        <v>56</v>
      </c>
      <c r="O30" s="108"/>
      <c r="P30" s="309"/>
      <c r="Q30" s="81">
        <v>905</v>
      </c>
      <c r="R30" s="108">
        <v>306</v>
      </c>
      <c r="S30" s="108"/>
      <c r="T30" s="110">
        <v>0</v>
      </c>
      <c r="U30" s="108"/>
      <c r="V30" s="111">
        <v>35033.15</v>
      </c>
      <c r="W30" s="108"/>
      <c r="X30" s="108">
        <v>277</v>
      </c>
      <c r="Y30" s="108"/>
      <c r="Z30" s="111">
        <v>0</v>
      </c>
      <c r="AA30" s="108"/>
      <c r="AB30" s="111">
        <v>50301</v>
      </c>
      <c r="AC30" s="108"/>
      <c r="AD30" s="111">
        <v>38109.47</v>
      </c>
      <c r="AE30" s="108"/>
      <c r="AF30" s="108">
        <v>27375</v>
      </c>
      <c r="AG30" s="108"/>
      <c r="AH30" s="111">
        <v>0</v>
      </c>
      <c r="AI30" s="108"/>
      <c r="AJ30" s="111">
        <v>30361</v>
      </c>
      <c r="AK30" s="111"/>
      <c r="AL30" s="108">
        <v>29773</v>
      </c>
      <c r="AM30" s="111"/>
      <c r="AN30" s="111">
        <v>0</v>
      </c>
      <c r="AO30" s="108"/>
      <c r="AP30" s="111">
        <v>72284</v>
      </c>
      <c r="AQ30" s="108"/>
      <c r="AR30" s="108">
        <v>37292</v>
      </c>
      <c r="AS30" s="81" t="s">
        <v>134</v>
      </c>
      <c r="AT30" s="81"/>
      <c r="AU30" s="81" t="s">
        <v>59</v>
      </c>
      <c r="AV30" s="81"/>
    </row>
    <row r="31" spans="1:48" ht="20.399999999999999" x14ac:dyDescent="0.2">
      <c r="A31" s="309"/>
      <c r="B31" s="309" t="s">
        <v>138</v>
      </c>
      <c r="C31" s="309"/>
      <c r="D31" s="108">
        <v>224</v>
      </c>
      <c r="E31" s="108"/>
      <c r="F31" s="109" t="s">
        <v>139</v>
      </c>
      <c r="G31" s="108"/>
      <c r="H31" s="109" t="s">
        <v>140</v>
      </c>
      <c r="I31" s="108"/>
      <c r="J31" s="318">
        <v>300</v>
      </c>
      <c r="K31" s="108"/>
      <c r="L31" s="113" t="s">
        <v>55</v>
      </c>
      <c r="M31" s="108"/>
      <c r="N31" s="108" t="s">
        <v>56</v>
      </c>
      <c r="O31" s="108"/>
      <c r="P31" s="309"/>
      <c r="Q31" s="81" t="s">
        <v>141</v>
      </c>
      <c r="R31" s="108">
        <v>400</v>
      </c>
      <c r="S31" s="108"/>
      <c r="T31" s="110">
        <v>0</v>
      </c>
      <c r="U31" s="108"/>
      <c r="V31" s="111">
        <v>119867</v>
      </c>
      <c r="W31" s="108"/>
      <c r="X31" s="108">
        <v>727</v>
      </c>
      <c r="Y31" s="108"/>
      <c r="Z31" s="111">
        <v>0</v>
      </c>
      <c r="AA31" s="108"/>
      <c r="AB31" s="111">
        <v>129449.61</v>
      </c>
      <c r="AC31" s="108"/>
      <c r="AD31" s="111">
        <v>128974.18</v>
      </c>
      <c r="AE31" s="108"/>
      <c r="AF31" s="108">
        <v>816</v>
      </c>
      <c r="AG31" s="108"/>
      <c r="AH31" s="111">
        <v>0</v>
      </c>
      <c r="AI31" s="108"/>
      <c r="AJ31" s="111">
        <v>125654.93</v>
      </c>
      <c r="AK31" s="111"/>
      <c r="AL31" s="108">
        <v>682</v>
      </c>
      <c r="AM31" s="111"/>
      <c r="AN31" s="111">
        <v>0</v>
      </c>
      <c r="AO31" s="108"/>
      <c r="AP31" s="111">
        <v>207452.99</v>
      </c>
      <c r="AQ31" s="108"/>
      <c r="AR31" s="108">
        <v>1050</v>
      </c>
      <c r="AS31" s="81" t="s">
        <v>142</v>
      </c>
      <c r="AT31" s="81"/>
      <c r="AU31" s="81" t="s">
        <v>143</v>
      </c>
      <c r="AV31" s="81"/>
    </row>
    <row r="32" spans="1:48" s="114" customFormat="1" ht="30.6" x14ac:dyDescent="0.2">
      <c r="A32" s="113"/>
      <c r="B32" s="309"/>
      <c r="C32" s="113"/>
      <c r="D32" s="108">
        <v>224</v>
      </c>
      <c r="E32" s="108"/>
      <c r="F32" s="109" t="s">
        <v>144</v>
      </c>
      <c r="G32" s="108"/>
      <c r="H32" s="109" t="s">
        <v>140</v>
      </c>
      <c r="I32" s="108"/>
      <c r="J32" s="318">
        <v>70</v>
      </c>
      <c r="K32" s="108"/>
      <c r="L32" s="113" t="s">
        <v>145</v>
      </c>
      <c r="M32" s="108"/>
      <c r="N32" s="108" t="s">
        <v>56</v>
      </c>
      <c r="O32" s="108"/>
      <c r="P32" s="113"/>
      <c r="Q32" s="95">
        <v>905</v>
      </c>
      <c r="R32" s="108">
        <v>20</v>
      </c>
      <c r="S32" s="108"/>
      <c r="T32" s="110">
        <v>0</v>
      </c>
      <c r="U32" s="108"/>
      <c r="V32" s="111">
        <v>1400</v>
      </c>
      <c r="W32" s="108"/>
      <c r="X32" s="108">
        <v>19</v>
      </c>
      <c r="Y32" s="108"/>
      <c r="Z32" s="111">
        <v>0</v>
      </c>
      <c r="AA32" s="108"/>
      <c r="AB32" s="111">
        <v>1330</v>
      </c>
      <c r="AC32" s="108"/>
      <c r="AD32" s="111" t="s">
        <v>690</v>
      </c>
      <c r="AE32" s="108"/>
      <c r="AF32" s="108"/>
      <c r="AG32" s="108"/>
      <c r="AH32" s="111">
        <v>0</v>
      </c>
      <c r="AI32" s="108"/>
      <c r="AJ32" s="111" t="s">
        <v>690</v>
      </c>
      <c r="AK32" s="111"/>
      <c r="AL32" s="108">
        <v>27</v>
      </c>
      <c r="AM32" s="111"/>
      <c r="AN32" s="111">
        <v>0</v>
      </c>
      <c r="AO32" s="108"/>
      <c r="AP32" s="111" t="s">
        <v>690</v>
      </c>
      <c r="AQ32" s="108"/>
      <c r="AR32" s="108">
        <v>35</v>
      </c>
      <c r="AS32" s="95" t="s">
        <v>146</v>
      </c>
      <c r="AT32" s="95"/>
      <c r="AU32" s="95"/>
      <c r="AV32" s="95"/>
    </row>
    <row r="33" spans="1:48" ht="20.399999999999999" x14ac:dyDescent="0.2">
      <c r="A33" s="309"/>
      <c r="B33" s="309"/>
      <c r="C33" s="309"/>
      <c r="D33" s="108">
        <v>224</v>
      </c>
      <c r="E33" s="108"/>
      <c r="F33" s="109" t="s">
        <v>144</v>
      </c>
      <c r="G33" s="108"/>
      <c r="H33" s="109" t="s">
        <v>140</v>
      </c>
      <c r="I33" s="108"/>
      <c r="J33" s="318">
        <v>20</v>
      </c>
      <c r="K33" s="108"/>
      <c r="L33" s="113" t="s">
        <v>147</v>
      </c>
      <c r="M33" s="108"/>
      <c r="N33" s="108" t="s">
        <v>56</v>
      </c>
      <c r="O33" s="108"/>
      <c r="P33" s="309"/>
      <c r="Q33" s="81">
        <v>905</v>
      </c>
      <c r="R33" s="108">
        <v>40</v>
      </c>
      <c r="S33" s="108"/>
      <c r="T33" s="110">
        <v>0</v>
      </c>
      <c r="U33" s="108"/>
      <c r="V33" s="111">
        <v>8446</v>
      </c>
      <c r="W33" s="108"/>
      <c r="X33" s="108">
        <v>55</v>
      </c>
      <c r="Y33" s="108"/>
      <c r="Z33" s="111">
        <v>0</v>
      </c>
      <c r="AA33" s="108"/>
      <c r="AB33" s="111">
        <v>14098</v>
      </c>
      <c r="AC33" s="108"/>
      <c r="AD33" s="111">
        <v>26732.080000000002</v>
      </c>
      <c r="AE33" s="108"/>
      <c r="AF33" s="108">
        <v>77</v>
      </c>
      <c r="AG33" s="108"/>
      <c r="AH33" s="111">
        <v>0</v>
      </c>
      <c r="AI33" s="108"/>
      <c r="AJ33" s="111">
        <v>30067.759999999998</v>
      </c>
      <c r="AK33" s="111"/>
      <c r="AL33" s="108">
        <v>145</v>
      </c>
      <c r="AM33" s="111"/>
      <c r="AN33" s="111">
        <v>0</v>
      </c>
      <c r="AO33" s="108"/>
      <c r="AP33" s="111">
        <v>31626.44</v>
      </c>
      <c r="AQ33" s="108"/>
      <c r="AR33" s="108">
        <v>162</v>
      </c>
      <c r="AS33" s="81" t="s">
        <v>148</v>
      </c>
      <c r="AT33" s="81"/>
      <c r="AU33" s="81"/>
      <c r="AV33" s="81"/>
    </row>
    <row r="34" spans="1:48" s="114" customFormat="1" ht="20.399999999999999" x14ac:dyDescent="0.2">
      <c r="A34" s="113"/>
      <c r="B34" s="309"/>
      <c r="C34" s="113"/>
      <c r="D34" s="108">
        <v>224</v>
      </c>
      <c r="E34" s="108"/>
      <c r="F34" s="109" t="s">
        <v>149</v>
      </c>
      <c r="G34" s="108"/>
      <c r="H34" s="109" t="s">
        <v>140</v>
      </c>
      <c r="I34" s="108"/>
      <c r="J34" s="318">
        <v>150</v>
      </c>
      <c r="K34" s="108"/>
      <c r="L34" s="109" t="s">
        <v>150</v>
      </c>
      <c r="M34" s="108"/>
      <c r="N34" s="108" t="s">
        <v>56</v>
      </c>
      <c r="O34" s="108"/>
      <c r="P34" s="113"/>
      <c r="Q34" s="95">
        <v>905</v>
      </c>
      <c r="R34" s="108">
        <v>22</v>
      </c>
      <c r="S34" s="108"/>
      <c r="T34" s="110">
        <v>0</v>
      </c>
      <c r="U34" s="108"/>
      <c r="V34" s="111">
        <v>3300</v>
      </c>
      <c r="W34" s="108"/>
      <c r="X34" s="108">
        <v>11</v>
      </c>
      <c r="Y34" s="108"/>
      <c r="Z34" s="111">
        <v>0</v>
      </c>
      <c r="AA34" s="108"/>
      <c r="AB34" s="111" t="s">
        <v>690</v>
      </c>
      <c r="AC34" s="108"/>
      <c r="AD34" s="111" t="s">
        <v>690</v>
      </c>
      <c r="AE34" s="108"/>
      <c r="AF34" s="108"/>
      <c r="AG34" s="108"/>
      <c r="AH34" s="111">
        <v>0</v>
      </c>
      <c r="AI34" s="108"/>
      <c r="AJ34" s="111" t="s">
        <v>690</v>
      </c>
      <c r="AK34" s="111"/>
      <c r="AL34" s="108">
        <v>90</v>
      </c>
      <c r="AM34" s="111"/>
      <c r="AN34" s="111">
        <v>0</v>
      </c>
      <c r="AO34" s="108"/>
      <c r="AP34" s="111" t="s">
        <v>690</v>
      </c>
      <c r="AQ34" s="108"/>
      <c r="AR34" s="108">
        <v>92</v>
      </c>
      <c r="AS34" s="95" t="s">
        <v>151</v>
      </c>
      <c r="AT34" s="95"/>
      <c r="AU34" s="95"/>
      <c r="AV34" s="95"/>
    </row>
    <row r="35" spans="1:48" s="114" customFormat="1" ht="20.399999999999999" x14ac:dyDescent="0.2">
      <c r="A35" s="113"/>
      <c r="B35" s="309"/>
      <c r="C35" s="113"/>
      <c r="D35" s="108">
        <v>224</v>
      </c>
      <c r="E35" s="108"/>
      <c r="F35" s="109" t="s">
        <v>152</v>
      </c>
      <c r="G35" s="108"/>
      <c r="H35" s="109" t="s">
        <v>140</v>
      </c>
      <c r="I35" s="108"/>
      <c r="J35" s="318">
        <v>300</v>
      </c>
      <c r="K35" s="108"/>
      <c r="L35" s="109" t="s">
        <v>55</v>
      </c>
      <c r="M35" s="108"/>
      <c r="N35" s="108" t="s">
        <v>56</v>
      </c>
      <c r="O35" s="108"/>
      <c r="P35" s="113"/>
      <c r="Q35" s="95">
        <v>905</v>
      </c>
      <c r="R35" s="108">
        <v>10</v>
      </c>
      <c r="S35" s="108"/>
      <c r="T35" s="110">
        <v>0</v>
      </c>
      <c r="U35" s="108"/>
      <c r="V35" s="111">
        <v>3010</v>
      </c>
      <c r="W35" s="108"/>
      <c r="X35" s="108">
        <v>29</v>
      </c>
      <c r="Y35" s="108"/>
      <c r="Z35" s="111">
        <v>0</v>
      </c>
      <c r="AA35" s="108"/>
      <c r="AB35" s="111">
        <v>4495</v>
      </c>
      <c r="AC35" s="108"/>
      <c r="AD35" s="111">
        <v>4832</v>
      </c>
      <c r="AE35" s="108"/>
      <c r="AF35" s="108">
        <v>33</v>
      </c>
      <c r="AG35" s="108"/>
      <c r="AH35" s="111">
        <v>0</v>
      </c>
      <c r="AI35" s="108"/>
      <c r="AJ35" s="111">
        <v>6252.21</v>
      </c>
      <c r="AK35" s="111"/>
      <c r="AL35" s="108">
        <v>35</v>
      </c>
      <c r="AM35" s="111"/>
      <c r="AN35" s="111">
        <v>0</v>
      </c>
      <c r="AO35" s="108"/>
      <c r="AP35" s="111">
        <v>2452</v>
      </c>
      <c r="AQ35" s="108"/>
      <c r="AR35" s="108">
        <v>26</v>
      </c>
      <c r="AS35" s="95" t="s">
        <v>153</v>
      </c>
      <c r="AT35" s="95"/>
      <c r="AU35" s="95"/>
      <c r="AV35" s="95"/>
    </row>
    <row r="36" spans="1:48" x14ac:dyDescent="0.2">
      <c r="A36" s="309"/>
      <c r="B36" s="309"/>
      <c r="C36" s="309"/>
      <c r="D36" s="108">
        <v>224</v>
      </c>
      <c r="E36" s="108"/>
      <c r="F36" s="109" t="s">
        <v>91</v>
      </c>
      <c r="G36" s="108"/>
      <c r="H36" s="109" t="s">
        <v>154</v>
      </c>
      <c r="I36" s="108"/>
      <c r="J36" s="318">
        <v>18</v>
      </c>
      <c r="K36" s="108"/>
      <c r="L36" s="109" t="s">
        <v>155</v>
      </c>
      <c r="M36" s="108"/>
      <c r="N36" s="108" t="s">
        <v>56</v>
      </c>
      <c r="O36" s="108"/>
      <c r="P36" s="309"/>
      <c r="Q36" s="81">
        <v>905</v>
      </c>
      <c r="R36" s="108">
        <v>150</v>
      </c>
      <c r="S36" s="108"/>
      <c r="T36" s="110">
        <v>0</v>
      </c>
      <c r="U36" s="108"/>
      <c r="V36" s="111">
        <v>364500</v>
      </c>
      <c r="W36" s="108"/>
      <c r="X36" s="108">
        <v>331</v>
      </c>
      <c r="Y36" s="108"/>
      <c r="Z36" s="111">
        <v>0</v>
      </c>
      <c r="AA36" s="108"/>
      <c r="AB36" s="111">
        <v>442424.41</v>
      </c>
      <c r="AC36" s="108"/>
      <c r="AD36" s="111">
        <v>445196.81</v>
      </c>
      <c r="AE36" s="108"/>
      <c r="AF36" s="108">
        <v>301</v>
      </c>
      <c r="AG36" s="108"/>
      <c r="AH36" s="111">
        <v>0</v>
      </c>
      <c r="AI36" s="108"/>
      <c r="AJ36" s="111">
        <v>463034.28</v>
      </c>
      <c r="AK36" s="111"/>
      <c r="AL36" s="108">
        <v>369</v>
      </c>
      <c r="AM36" s="111"/>
      <c r="AN36" s="111">
        <v>0</v>
      </c>
      <c r="AO36" s="108"/>
      <c r="AP36" s="111">
        <v>473208.99</v>
      </c>
      <c r="AQ36" s="108"/>
      <c r="AR36" s="108">
        <v>382</v>
      </c>
      <c r="AS36" s="81" t="s">
        <v>156</v>
      </c>
      <c r="AT36" s="81"/>
      <c r="AU36" s="81"/>
      <c r="AV36" s="81"/>
    </row>
    <row r="37" spans="1:48" s="114" customFormat="1" x14ac:dyDescent="0.2">
      <c r="A37" s="113"/>
      <c r="B37" s="309"/>
      <c r="C37" s="113"/>
      <c r="D37" s="108">
        <v>224</v>
      </c>
      <c r="E37" s="108"/>
      <c r="F37" s="109" t="s">
        <v>157</v>
      </c>
      <c r="G37" s="108"/>
      <c r="H37" s="109" t="s">
        <v>158</v>
      </c>
      <c r="I37" s="108"/>
      <c r="J37" s="318">
        <v>4</v>
      </c>
      <c r="K37" s="108"/>
      <c r="L37" s="109" t="s">
        <v>155</v>
      </c>
      <c r="M37" s="108"/>
      <c r="N37" s="108" t="s">
        <v>56</v>
      </c>
      <c r="O37" s="108"/>
      <c r="P37" s="113"/>
      <c r="Q37" s="95">
        <v>905</v>
      </c>
      <c r="R37" s="108">
        <v>20</v>
      </c>
      <c r="S37" s="108"/>
      <c r="T37" s="110">
        <v>0</v>
      </c>
      <c r="U37" s="108"/>
      <c r="V37" s="111">
        <v>2500</v>
      </c>
      <c r="W37" s="108"/>
      <c r="X37" s="108">
        <v>15</v>
      </c>
      <c r="Y37" s="108"/>
      <c r="Z37" s="111">
        <v>0</v>
      </c>
      <c r="AA37" s="108"/>
      <c r="AB37" s="111">
        <v>5400</v>
      </c>
      <c r="AC37" s="108"/>
      <c r="AD37" s="111">
        <v>46744.89</v>
      </c>
      <c r="AE37" s="108"/>
      <c r="AF37" s="108">
        <v>42</v>
      </c>
      <c r="AG37" s="108"/>
      <c r="AH37" s="111">
        <v>0</v>
      </c>
      <c r="AI37" s="108"/>
      <c r="AJ37" s="111">
        <v>51737.1</v>
      </c>
      <c r="AK37" s="111"/>
      <c r="AL37" s="108">
        <v>50</v>
      </c>
      <c r="AM37" s="111"/>
      <c r="AN37" s="111">
        <v>0</v>
      </c>
      <c r="AO37" s="108"/>
      <c r="AP37" s="111">
        <v>24499.37</v>
      </c>
      <c r="AQ37" s="108"/>
      <c r="AR37" s="108">
        <v>34</v>
      </c>
      <c r="AS37" s="95" t="s">
        <v>156</v>
      </c>
      <c r="AT37" s="95"/>
      <c r="AU37" s="95"/>
      <c r="AV37" s="95"/>
    </row>
    <row r="38" spans="1:48" ht="40.799999999999997" x14ac:dyDescent="0.2">
      <c r="A38" s="309"/>
      <c r="B38" s="309" t="s">
        <v>159</v>
      </c>
      <c r="C38" s="309"/>
      <c r="D38" s="108">
        <v>225</v>
      </c>
      <c r="E38" s="108"/>
      <c r="F38" s="109" t="s">
        <v>160</v>
      </c>
      <c r="G38" s="108"/>
      <c r="H38" s="109" t="s">
        <v>54</v>
      </c>
      <c r="I38" s="108"/>
      <c r="J38" s="318">
        <v>300</v>
      </c>
      <c r="K38" s="108"/>
      <c r="L38" s="109" t="s">
        <v>161</v>
      </c>
      <c r="M38" s="108"/>
      <c r="N38" s="108" t="s">
        <v>56</v>
      </c>
      <c r="O38" s="108"/>
      <c r="P38" s="309"/>
      <c r="Q38" s="81">
        <v>905</v>
      </c>
      <c r="R38" s="115">
        <v>16525</v>
      </c>
      <c r="S38" s="108"/>
      <c r="T38" s="110">
        <v>0</v>
      </c>
      <c r="U38" s="108">
        <v>1861543.95</v>
      </c>
      <c r="V38" s="111">
        <v>1861543.95</v>
      </c>
      <c r="W38" s="108"/>
      <c r="X38" s="108" t="s">
        <v>691</v>
      </c>
      <c r="Y38" s="108"/>
      <c r="Z38" s="111">
        <v>0</v>
      </c>
      <c r="AA38" s="108"/>
      <c r="AB38" s="111">
        <v>1878493</v>
      </c>
      <c r="AC38" s="108"/>
      <c r="AD38" s="111">
        <v>1907780</v>
      </c>
      <c r="AE38" s="108"/>
      <c r="AF38" s="108" t="s">
        <v>740</v>
      </c>
      <c r="AG38" s="108"/>
      <c r="AH38" s="111">
        <v>0</v>
      </c>
      <c r="AI38" s="108"/>
      <c r="AJ38" s="111">
        <v>1910172</v>
      </c>
      <c r="AK38" s="111"/>
      <c r="AL38" s="108">
        <v>18971</v>
      </c>
      <c r="AM38" s="111"/>
      <c r="AN38" s="111">
        <v>0</v>
      </c>
      <c r="AO38" s="108"/>
      <c r="AP38" s="111">
        <v>1972137</v>
      </c>
      <c r="AQ38" s="108"/>
      <c r="AR38" s="108">
        <v>20621</v>
      </c>
      <c r="AS38" s="81" t="s">
        <v>162</v>
      </c>
      <c r="AT38" s="81"/>
      <c r="AU38" s="81" t="s">
        <v>163</v>
      </c>
      <c r="AV38" s="81"/>
    </row>
    <row r="39" spans="1:48" ht="30.6" x14ac:dyDescent="0.2">
      <c r="A39" s="309"/>
      <c r="B39" s="309"/>
      <c r="C39" s="309"/>
      <c r="D39" s="116">
        <v>225</v>
      </c>
      <c r="E39" s="309"/>
      <c r="F39" s="117" t="s">
        <v>91</v>
      </c>
      <c r="G39" s="309"/>
      <c r="H39" s="117" t="s">
        <v>54</v>
      </c>
      <c r="I39" s="309"/>
      <c r="J39" s="318">
        <v>16</v>
      </c>
      <c r="K39" s="116"/>
      <c r="L39" s="117" t="s">
        <v>136</v>
      </c>
      <c r="M39" s="116"/>
      <c r="N39" s="116" t="s">
        <v>56</v>
      </c>
      <c r="O39" s="309"/>
      <c r="P39" s="112">
        <v>39995</v>
      </c>
      <c r="Q39" s="81">
        <v>905</v>
      </c>
      <c r="R39" s="116"/>
      <c r="S39" s="116"/>
      <c r="T39" s="116">
        <v>0</v>
      </c>
      <c r="U39" s="116">
        <v>770112</v>
      </c>
      <c r="V39" s="118">
        <v>770112</v>
      </c>
      <c r="W39" s="116"/>
      <c r="X39" s="108"/>
      <c r="Y39" s="116"/>
      <c r="Z39" s="111">
        <v>0</v>
      </c>
      <c r="AA39" s="116"/>
      <c r="AB39" s="111">
        <v>819087.43</v>
      </c>
      <c r="AC39" s="309"/>
      <c r="AD39" s="111">
        <v>1057003</v>
      </c>
      <c r="AE39" s="108"/>
      <c r="AF39" s="108"/>
      <c r="AG39" s="108"/>
      <c r="AH39" s="111">
        <v>0</v>
      </c>
      <c r="AI39" s="108"/>
      <c r="AJ39" s="111">
        <v>873362</v>
      </c>
      <c r="AK39" s="111"/>
      <c r="AL39" s="108"/>
      <c r="AM39" s="111"/>
      <c r="AN39" s="111">
        <v>0</v>
      </c>
      <c r="AO39" s="108"/>
      <c r="AP39" s="111">
        <v>1040023</v>
      </c>
      <c r="AQ39" s="108"/>
      <c r="AR39" s="108"/>
      <c r="AS39" s="81" t="s">
        <v>164</v>
      </c>
      <c r="AT39" s="81"/>
      <c r="AU39" s="81" t="s">
        <v>165</v>
      </c>
      <c r="AV39" s="81"/>
    </row>
    <row r="40" spans="1:48" ht="30.6" x14ac:dyDescent="0.2">
      <c r="A40" s="309"/>
      <c r="B40" s="309"/>
      <c r="C40" s="309"/>
      <c r="D40" s="116">
        <v>225</v>
      </c>
      <c r="E40" s="309"/>
      <c r="F40" s="117" t="s">
        <v>166</v>
      </c>
      <c r="G40" s="309"/>
      <c r="H40" s="117" t="s">
        <v>54</v>
      </c>
      <c r="I40" s="309"/>
      <c r="J40" s="318">
        <v>18</v>
      </c>
      <c r="K40" s="116"/>
      <c r="L40" s="117" t="s">
        <v>136</v>
      </c>
      <c r="M40" s="116"/>
      <c r="N40" s="116" t="s">
        <v>56</v>
      </c>
      <c r="O40" s="309"/>
      <c r="P40" s="112">
        <v>39995</v>
      </c>
      <c r="Q40" s="81">
        <v>905</v>
      </c>
      <c r="R40" s="116"/>
      <c r="S40" s="116"/>
      <c r="T40" s="116">
        <v>0</v>
      </c>
      <c r="U40" s="116">
        <v>182427</v>
      </c>
      <c r="V40" s="118">
        <v>182427</v>
      </c>
      <c r="W40" s="116"/>
      <c r="X40" s="108"/>
      <c r="Y40" s="116"/>
      <c r="Z40" s="111">
        <v>0</v>
      </c>
      <c r="AA40" s="116"/>
      <c r="AB40" s="111">
        <v>373567.57</v>
      </c>
      <c r="AC40" s="309"/>
      <c r="AD40" s="111">
        <v>208881</v>
      </c>
      <c r="AE40" s="108"/>
      <c r="AF40" s="108"/>
      <c r="AG40" s="108"/>
      <c r="AH40" s="111">
        <v>0</v>
      </c>
      <c r="AI40" s="108"/>
      <c r="AJ40" s="111">
        <v>199780</v>
      </c>
      <c r="AK40" s="111"/>
      <c r="AL40" s="108"/>
      <c r="AM40" s="111"/>
      <c r="AN40" s="111">
        <v>0</v>
      </c>
      <c r="AO40" s="108"/>
      <c r="AP40" s="111">
        <v>149266</v>
      </c>
      <c r="AQ40" s="108"/>
      <c r="AR40" s="108"/>
      <c r="AS40" s="81" t="s">
        <v>164</v>
      </c>
      <c r="AT40" s="81"/>
      <c r="AU40" s="81" t="s">
        <v>167</v>
      </c>
      <c r="AV40" s="81"/>
    </row>
    <row r="41" spans="1:48" ht="20.399999999999999" x14ac:dyDescent="0.2">
      <c r="A41" s="309"/>
      <c r="B41" s="309"/>
      <c r="C41" s="309"/>
      <c r="D41" s="116">
        <v>225</v>
      </c>
      <c r="E41" s="309"/>
      <c r="F41" s="117" t="s">
        <v>168</v>
      </c>
      <c r="G41" s="309"/>
      <c r="H41" s="117" t="s">
        <v>54</v>
      </c>
      <c r="I41" s="309"/>
      <c r="J41" s="318">
        <v>30</v>
      </c>
      <c r="K41" s="116"/>
      <c r="L41" s="117" t="s">
        <v>169</v>
      </c>
      <c r="M41" s="116"/>
      <c r="N41" s="116" t="s">
        <v>56</v>
      </c>
      <c r="O41" s="309"/>
      <c r="P41" s="112">
        <v>37438</v>
      </c>
      <c r="Q41" s="81">
        <v>905</v>
      </c>
      <c r="R41" s="116">
        <v>621</v>
      </c>
      <c r="S41" s="116"/>
      <c r="T41" s="116">
        <v>0</v>
      </c>
      <c r="U41" s="116">
        <v>17774</v>
      </c>
      <c r="V41" s="118">
        <v>17774</v>
      </c>
      <c r="W41" s="116"/>
      <c r="X41" s="108" t="s">
        <v>692</v>
      </c>
      <c r="Y41" s="116"/>
      <c r="Z41" s="111">
        <v>0</v>
      </c>
      <c r="AA41" s="116"/>
      <c r="AB41" s="111">
        <v>20372</v>
      </c>
      <c r="AC41" s="309"/>
      <c r="AD41" s="111">
        <v>20418</v>
      </c>
      <c r="AE41" s="108"/>
      <c r="AF41" s="108">
        <v>687</v>
      </c>
      <c r="AG41" s="108"/>
      <c r="AH41" s="111">
        <v>0</v>
      </c>
      <c r="AI41" s="108"/>
      <c r="AJ41" s="111">
        <v>20110</v>
      </c>
      <c r="AK41" s="111"/>
      <c r="AL41" s="108">
        <v>687</v>
      </c>
      <c r="AM41" s="111"/>
      <c r="AN41" s="111">
        <v>0</v>
      </c>
      <c r="AO41" s="108"/>
      <c r="AP41" s="111">
        <v>20390</v>
      </c>
      <c r="AQ41" s="108"/>
      <c r="AR41" s="108">
        <v>710</v>
      </c>
      <c r="AS41" s="81" t="s">
        <v>170</v>
      </c>
      <c r="AT41" s="81"/>
      <c r="AU41" s="81" t="s">
        <v>171</v>
      </c>
      <c r="AV41" s="81"/>
    </row>
    <row r="42" spans="1:48" ht="30.6" x14ac:dyDescent="0.2">
      <c r="A42" s="309"/>
      <c r="B42" s="309"/>
      <c r="C42" s="309"/>
      <c r="D42" s="116">
        <v>225</v>
      </c>
      <c r="E42" s="309"/>
      <c r="F42" s="117" t="s">
        <v>172</v>
      </c>
      <c r="G42" s="309"/>
      <c r="H42" s="117" t="s">
        <v>54</v>
      </c>
      <c r="I42" s="309"/>
      <c r="J42" s="318">
        <v>6</v>
      </c>
      <c r="K42" s="116"/>
      <c r="L42" s="117" t="s">
        <v>81</v>
      </c>
      <c r="M42" s="116"/>
      <c r="N42" s="116" t="s">
        <v>56</v>
      </c>
      <c r="O42" s="309"/>
      <c r="P42" s="112">
        <v>39995</v>
      </c>
      <c r="Q42" s="81">
        <v>905</v>
      </c>
      <c r="R42" s="116">
        <v>692</v>
      </c>
      <c r="S42" s="116"/>
      <c r="T42" s="116">
        <v>0</v>
      </c>
      <c r="U42" s="116">
        <v>4125</v>
      </c>
      <c r="V42" s="118">
        <v>4125</v>
      </c>
      <c r="W42" s="116"/>
      <c r="X42" s="108" t="s">
        <v>693</v>
      </c>
      <c r="Y42" s="116"/>
      <c r="Z42" s="111">
        <v>0</v>
      </c>
      <c r="AA42" s="116"/>
      <c r="AB42" s="111">
        <v>44249.82</v>
      </c>
      <c r="AC42" s="309"/>
      <c r="AD42" s="111">
        <v>57355</v>
      </c>
      <c r="AE42" s="108"/>
      <c r="AF42" s="108">
        <v>9319</v>
      </c>
      <c r="AG42" s="108"/>
      <c r="AH42" s="111">
        <v>0</v>
      </c>
      <c r="AI42" s="108"/>
      <c r="AJ42" s="111">
        <v>60019</v>
      </c>
      <c r="AK42" s="111"/>
      <c r="AL42" s="108">
        <v>10056</v>
      </c>
      <c r="AM42" s="111"/>
      <c r="AN42" s="111">
        <v>0</v>
      </c>
      <c r="AO42" s="108"/>
      <c r="AP42" s="111">
        <v>67379</v>
      </c>
      <c r="AQ42" s="108"/>
      <c r="AR42" s="108">
        <v>11353</v>
      </c>
      <c r="AS42" s="81" t="s">
        <v>173</v>
      </c>
      <c r="AT42" s="81"/>
      <c r="AU42" s="81" t="s">
        <v>171</v>
      </c>
      <c r="AV42" s="81"/>
    </row>
    <row r="43" spans="1:48" ht="20.399999999999999" x14ac:dyDescent="0.2">
      <c r="A43" s="309"/>
      <c r="B43" s="309"/>
      <c r="C43" s="309"/>
      <c r="D43" s="116">
        <v>225</v>
      </c>
      <c r="E43" s="309"/>
      <c r="F43" s="117" t="s">
        <v>174</v>
      </c>
      <c r="G43" s="309"/>
      <c r="H43" s="117" t="s">
        <v>54</v>
      </c>
      <c r="I43" s="309"/>
      <c r="J43" s="318">
        <v>20</v>
      </c>
      <c r="K43" s="116"/>
      <c r="L43" s="117" t="s">
        <v>175</v>
      </c>
      <c r="M43" s="116"/>
      <c r="N43" s="116" t="s">
        <v>56</v>
      </c>
      <c r="O43" s="309"/>
      <c r="P43" s="112">
        <v>39630</v>
      </c>
      <c r="Q43" s="81">
        <v>905</v>
      </c>
      <c r="R43" s="116">
        <v>281</v>
      </c>
      <c r="S43" s="116"/>
      <c r="T43" s="116">
        <v>0</v>
      </c>
      <c r="U43" s="116">
        <v>5454</v>
      </c>
      <c r="V43" s="118">
        <v>5454</v>
      </c>
      <c r="W43" s="116"/>
      <c r="X43" s="108" t="s">
        <v>694</v>
      </c>
      <c r="Y43" s="116"/>
      <c r="Z43" s="111">
        <v>0</v>
      </c>
      <c r="AA43" s="116"/>
      <c r="AB43" s="111">
        <v>4146.32</v>
      </c>
      <c r="AC43" s="309"/>
      <c r="AD43" s="111">
        <v>3151</v>
      </c>
      <c r="AE43" s="108"/>
      <c r="AF43" s="108">
        <v>247</v>
      </c>
      <c r="AG43" s="108"/>
      <c r="AH43" s="111">
        <v>0</v>
      </c>
      <c r="AI43" s="108"/>
      <c r="AJ43" s="111">
        <v>2771</v>
      </c>
      <c r="AK43" s="111"/>
      <c r="AL43" s="108">
        <v>217</v>
      </c>
      <c r="AM43" s="111"/>
      <c r="AN43" s="111">
        <v>0</v>
      </c>
      <c r="AO43" s="108"/>
      <c r="AP43" s="111">
        <v>3144</v>
      </c>
      <c r="AQ43" s="108"/>
      <c r="AR43" s="108">
        <v>249</v>
      </c>
      <c r="AS43" s="81" t="s">
        <v>176</v>
      </c>
      <c r="AT43" s="81"/>
      <c r="AU43" s="81" t="s">
        <v>171</v>
      </c>
      <c r="AV43" s="81"/>
    </row>
    <row r="44" spans="1:48" ht="20.399999999999999" x14ac:dyDescent="0.2">
      <c r="A44" s="309"/>
      <c r="B44" s="309"/>
      <c r="C44" s="309"/>
      <c r="D44" s="116">
        <v>225</v>
      </c>
      <c r="E44" s="309"/>
      <c r="F44" s="117" t="s">
        <v>177</v>
      </c>
      <c r="G44" s="309"/>
      <c r="H44" s="117" t="s">
        <v>54</v>
      </c>
      <c r="I44" s="309"/>
      <c r="J44" s="318">
        <v>0.75</v>
      </c>
      <c r="K44" s="116"/>
      <c r="L44" s="117" t="s">
        <v>175</v>
      </c>
      <c r="M44" s="116"/>
      <c r="N44" s="116" t="s">
        <v>56</v>
      </c>
      <c r="O44" s="309"/>
      <c r="P44" s="112">
        <v>39995</v>
      </c>
      <c r="Q44" s="81">
        <v>905</v>
      </c>
      <c r="R44" s="116">
        <v>130</v>
      </c>
      <c r="S44" s="116"/>
      <c r="T44" s="116">
        <v>0</v>
      </c>
      <c r="U44" s="116">
        <v>97</v>
      </c>
      <c r="V44" s="118">
        <v>97</v>
      </c>
      <c r="W44" s="116"/>
      <c r="X44" s="108" t="s">
        <v>695</v>
      </c>
      <c r="Y44" s="116"/>
      <c r="Z44" s="111">
        <v>0</v>
      </c>
      <c r="AA44" s="116"/>
      <c r="AB44" s="111">
        <v>67.25</v>
      </c>
      <c r="AC44" s="309"/>
      <c r="AD44" s="111">
        <v>130</v>
      </c>
      <c r="AE44" s="108"/>
      <c r="AF44" s="108">
        <v>173</v>
      </c>
      <c r="AG44" s="108"/>
      <c r="AH44" s="111">
        <v>0</v>
      </c>
      <c r="AI44" s="108"/>
      <c r="AJ44" s="111">
        <v>92</v>
      </c>
      <c r="AK44" s="111"/>
      <c r="AL44" s="108">
        <v>123</v>
      </c>
      <c r="AM44" s="111"/>
      <c r="AN44" s="111">
        <v>0</v>
      </c>
      <c r="AO44" s="108"/>
      <c r="AP44" s="111">
        <v>132</v>
      </c>
      <c r="AQ44" s="108"/>
      <c r="AR44" s="108">
        <v>176</v>
      </c>
      <c r="AS44" s="81" t="s">
        <v>178</v>
      </c>
      <c r="AT44" s="81"/>
      <c r="AU44" s="81" t="s">
        <v>171</v>
      </c>
      <c r="AV44" s="81"/>
    </row>
    <row r="45" spans="1:48" ht="30.6" x14ac:dyDescent="0.2">
      <c r="A45" s="309"/>
      <c r="B45" s="309"/>
      <c r="C45" s="309"/>
      <c r="D45" s="116">
        <v>225</v>
      </c>
      <c r="E45" s="309"/>
      <c r="F45" s="117" t="s">
        <v>179</v>
      </c>
      <c r="G45" s="309"/>
      <c r="H45" s="117" t="s">
        <v>54</v>
      </c>
      <c r="I45" s="309"/>
      <c r="J45" s="318">
        <v>7</v>
      </c>
      <c r="K45" s="116"/>
      <c r="L45" s="117" t="s">
        <v>175</v>
      </c>
      <c r="M45" s="116"/>
      <c r="N45" s="116" t="s">
        <v>56</v>
      </c>
      <c r="O45" s="309"/>
      <c r="P45" s="112">
        <v>39995</v>
      </c>
      <c r="Q45" s="81">
        <v>905</v>
      </c>
      <c r="R45" s="116">
        <v>408</v>
      </c>
      <c r="S45" s="116"/>
      <c r="T45" s="116">
        <v>0</v>
      </c>
      <c r="U45" s="116">
        <v>2835</v>
      </c>
      <c r="V45" s="118">
        <v>2835</v>
      </c>
      <c r="W45" s="116"/>
      <c r="X45" s="108" t="s">
        <v>696</v>
      </c>
      <c r="Y45" s="116"/>
      <c r="Z45" s="111">
        <v>0</v>
      </c>
      <c r="AA45" s="116"/>
      <c r="AB45" s="111">
        <v>3402.57</v>
      </c>
      <c r="AC45" s="309"/>
      <c r="AD45" s="111">
        <v>3270</v>
      </c>
      <c r="AE45" s="108"/>
      <c r="AF45" s="108">
        <v>502</v>
      </c>
      <c r="AG45" s="108"/>
      <c r="AH45" s="111">
        <v>0</v>
      </c>
      <c r="AI45" s="108"/>
      <c r="AJ45" s="111">
        <v>3541</v>
      </c>
      <c r="AK45" s="111"/>
      <c r="AL45" s="108">
        <v>516</v>
      </c>
      <c r="AM45" s="111"/>
      <c r="AN45" s="111">
        <v>0</v>
      </c>
      <c r="AO45" s="108"/>
      <c r="AP45" s="111">
        <v>3600</v>
      </c>
      <c r="AQ45" s="108"/>
      <c r="AR45" s="108">
        <v>522</v>
      </c>
      <c r="AS45" s="81" t="s">
        <v>180</v>
      </c>
      <c r="AT45" s="81"/>
      <c r="AU45" s="81" t="s">
        <v>171</v>
      </c>
      <c r="AV45" s="81"/>
    </row>
    <row r="46" spans="1:48" ht="20.399999999999999" x14ac:dyDescent="0.2">
      <c r="A46" s="309"/>
      <c r="B46" s="309"/>
      <c r="C46" s="309"/>
      <c r="D46" s="116">
        <v>225</v>
      </c>
      <c r="E46" s="309"/>
      <c r="F46" s="117" t="s">
        <v>181</v>
      </c>
      <c r="G46" s="309"/>
      <c r="H46" s="117" t="s">
        <v>54</v>
      </c>
      <c r="I46" s="309"/>
      <c r="J46" s="318">
        <v>35</v>
      </c>
      <c r="K46" s="116"/>
      <c r="L46" s="117" t="s">
        <v>169</v>
      </c>
      <c r="M46" s="116"/>
      <c r="N46" s="116" t="s">
        <v>56</v>
      </c>
      <c r="O46" s="309"/>
      <c r="P46" s="112">
        <v>37438</v>
      </c>
      <c r="Q46" s="81">
        <v>905</v>
      </c>
      <c r="R46" s="116">
        <v>33</v>
      </c>
      <c r="S46" s="116"/>
      <c r="T46" s="116">
        <v>0</v>
      </c>
      <c r="U46" s="116">
        <v>960</v>
      </c>
      <c r="V46" s="118">
        <v>960</v>
      </c>
      <c r="W46" s="116"/>
      <c r="X46" s="108" t="s">
        <v>697</v>
      </c>
      <c r="Y46" s="116"/>
      <c r="Z46" s="111">
        <v>0</v>
      </c>
      <c r="AA46" s="116"/>
      <c r="AB46" s="111">
        <v>1295</v>
      </c>
      <c r="AC46" s="309"/>
      <c r="AD46" s="111">
        <v>2560</v>
      </c>
      <c r="AE46" s="108"/>
      <c r="AF46" s="108" t="s">
        <v>731</v>
      </c>
      <c r="AG46" s="108"/>
      <c r="AH46" s="111">
        <v>0</v>
      </c>
      <c r="AI46" s="108"/>
      <c r="AJ46" s="111">
        <v>2124</v>
      </c>
      <c r="AK46" s="111"/>
      <c r="AL46" s="108">
        <v>64</v>
      </c>
      <c r="AM46" s="111"/>
      <c r="AN46" s="111">
        <v>0</v>
      </c>
      <c r="AO46" s="108"/>
      <c r="AP46" s="111">
        <v>1910</v>
      </c>
      <c r="AQ46" s="108"/>
      <c r="AR46" s="108">
        <v>60</v>
      </c>
      <c r="AS46" s="81" t="s">
        <v>182</v>
      </c>
      <c r="AT46" s="81"/>
      <c r="AU46" s="81" t="s">
        <v>171</v>
      </c>
      <c r="AV46" s="81"/>
    </row>
    <row r="47" spans="1:48" ht="20.399999999999999" x14ac:dyDescent="0.2">
      <c r="A47" s="309"/>
      <c r="B47" s="309"/>
      <c r="C47" s="309"/>
      <c r="D47" s="116">
        <v>225</v>
      </c>
      <c r="E47" s="309"/>
      <c r="F47" s="117" t="s">
        <v>183</v>
      </c>
      <c r="G47" s="309"/>
      <c r="H47" s="117" t="s">
        <v>54</v>
      </c>
      <c r="I47" s="309"/>
      <c r="J47" s="318">
        <v>20</v>
      </c>
      <c r="K47" s="116"/>
      <c r="L47" s="117" t="s">
        <v>81</v>
      </c>
      <c r="M47" s="116"/>
      <c r="N47" s="116" t="s">
        <v>56</v>
      </c>
      <c r="O47" s="309"/>
      <c r="P47" s="112">
        <v>38534</v>
      </c>
      <c r="Q47" s="81">
        <v>905</v>
      </c>
      <c r="R47" s="119">
        <v>7590</v>
      </c>
      <c r="S47" s="116"/>
      <c r="T47" s="116">
        <v>0</v>
      </c>
      <c r="U47" s="116">
        <v>151306</v>
      </c>
      <c r="V47" s="118">
        <v>151306</v>
      </c>
      <c r="W47" s="116"/>
      <c r="X47" s="108" t="s">
        <v>698</v>
      </c>
      <c r="Y47" s="116"/>
      <c r="Z47" s="111">
        <v>0</v>
      </c>
      <c r="AA47" s="116"/>
      <c r="AB47" s="111">
        <v>116764.3</v>
      </c>
      <c r="AC47" s="309"/>
      <c r="AD47" s="111">
        <v>135345</v>
      </c>
      <c r="AE47" s="108"/>
      <c r="AF47" s="108" t="s">
        <v>732</v>
      </c>
      <c r="AG47" s="108"/>
      <c r="AH47" s="111">
        <v>0</v>
      </c>
      <c r="AI47" s="108"/>
      <c r="AJ47" s="111">
        <v>147540</v>
      </c>
      <c r="AK47" s="111"/>
      <c r="AL47" s="108">
        <v>7532</v>
      </c>
      <c r="AM47" s="111"/>
      <c r="AN47" s="111">
        <v>0</v>
      </c>
      <c r="AO47" s="108"/>
      <c r="AP47" s="111">
        <v>180114</v>
      </c>
      <c r="AQ47" s="108"/>
      <c r="AR47" s="108">
        <v>8954</v>
      </c>
      <c r="AS47" s="81" t="s">
        <v>184</v>
      </c>
      <c r="AT47" s="81"/>
      <c r="AU47" s="81" t="s">
        <v>171</v>
      </c>
      <c r="AV47" s="81"/>
    </row>
    <row r="48" spans="1:48" ht="20.399999999999999" x14ac:dyDescent="0.2">
      <c r="A48" s="309"/>
      <c r="B48" s="309"/>
      <c r="C48" s="309"/>
      <c r="D48" s="116">
        <v>225</v>
      </c>
      <c r="E48" s="309"/>
      <c r="F48" s="117" t="s">
        <v>185</v>
      </c>
      <c r="G48" s="309"/>
      <c r="H48" s="117" t="s">
        <v>54</v>
      </c>
      <c r="I48" s="309"/>
      <c r="J48" s="318">
        <v>80</v>
      </c>
      <c r="K48" s="116"/>
      <c r="L48" s="117" t="s">
        <v>169</v>
      </c>
      <c r="M48" s="116"/>
      <c r="N48" s="116" t="s">
        <v>56</v>
      </c>
      <c r="O48" s="309"/>
      <c r="P48" s="112">
        <v>38534</v>
      </c>
      <c r="Q48" s="81">
        <v>905</v>
      </c>
      <c r="R48" s="116">
        <v>317</v>
      </c>
      <c r="S48" s="116"/>
      <c r="T48" s="116">
        <v>0</v>
      </c>
      <c r="U48" s="116">
        <v>24515</v>
      </c>
      <c r="V48" s="118">
        <v>24515</v>
      </c>
      <c r="W48" s="116"/>
      <c r="X48" s="108" t="s">
        <v>699</v>
      </c>
      <c r="Y48" s="116"/>
      <c r="Z48" s="111">
        <v>0</v>
      </c>
      <c r="AA48" s="116"/>
      <c r="AB48" s="111">
        <v>22153.91</v>
      </c>
      <c r="AC48" s="309"/>
      <c r="AD48" s="111">
        <v>29130</v>
      </c>
      <c r="AE48" s="108"/>
      <c r="AF48" s="108" t="s">
        <v>733</v>
      </c>
      <c r="AG48" s="108"/>
      <c r="AH48" s="111">
        <v>0</v>
      </c>
      <c r="AI48" s="108"/>
      <c r="AJ48" s="111">
        <v>33073</v>
      </c>
      <c r="AK48" s="111"/>
      <c r="AL48" s="108">
        <v>616</v>
      </c>
      <c r="AM48" s="111"/>
      <c r="AN48" s="111">
        <v>0</v>
      </c>
      <c r="AO48" s="108"/>
      <c r="AP48" s="111">
        <v>35565</v>
      </c>
      <c r="AQ48" s="108"/>
      <c r="AR48" s="108">
        <v>682</v>
      </c>
      <c r="AS48" s="81" t="s">
        <v>184</v>
      </c>
      <c r="AT48" s="81"/>
      <c r="AU48" s="81" t="s">
        <v>171</v>
      </c>
      <c r="AV48" s="81"/>
    </row>
    <row r="49" spans="1:48" ht="20.399999999999999" x14ac:dyDescent="0.2">
      <c r="A49" s="309"/>
      <c r="B49" s="309"/>
      <c r="C49" s="309"/>
      <c r="D49" s="116">
        <v>225</v>
      </c>
      <c r="E49" s="309"/>
      <c r="F49" s="117" t="s">
        <v>186</v>
      </c>
      <c r="G49" s="309"/>
      <c r="H49" s="117" t="s">
        <v>54</v>
      </c>
      <c r="I49" s="309"/>
      <c r="J49" s="318">
        <v>180</v>
      </c>
      <c r="K49" s="116"/>
      <c r="L49" s="117" t="s">
        <v>187</v>
      </c>
      <c r="M49" s="116"/>
      <c r="N49" s="116" t="s">
        <v>56</v>
      </c>
      <c r="O49" s="309"/>
      <c r="P49" s="112">
        <v>37438</v>
      </c>
      <c r="Q49" s="81">
        <v>905</v>
      </c>
      <c r="R49" s="116">
        <v>341</v>
      </c>
      <c r="S49" s="116"/>
      <c r="T49" s="116">
        <v>0</v>
      </c>
      <c r="U49" s="116">
        <v>23111</v>
      </c>
      <c r="V49" s="118">
        <v>23111</v>
      </c>
      <c r="W49" s="116"/>
      <c r="X49" s="108" t="s">
        <v>700</v>
      </c>
      <c r="Y49" s="116"/>
      <c r="Z49" s="111">
        <v>0</v>
      </c>
      <c r="AA49" s="116"/>
      <c r="AB49" s="111">
        <v>19350.97</v>
      </c>
      <c r="AC49" s="309"/>
      <c r="AD49" s="111">
        <v>20799</v>
      </c>
      <c r="AE49" s="108"/>
      <c r="AF49" s="108" t="s">
        <v>734</v>
      </c>
      <c r="AG49" s="108"/>
      <c r="AH49" s="111">
        <v>0</v>
      </c>
      <c r="AI49" s="108"/>
      <c r="AJ49" s="111">
        <v>19963</v>
      </c>
      <c r="AK49" s="111"/>
      <c r="AL49" s="108">
        <v>321</v>
      </c>
      <c r="AM49" s="111"/>
      <c r="AN49" s="111">
        <v>0</v>
      </c>
      <c r="AO49" s="108"/>
      <c r="AP49" s="111">
        <v>22540</v>
      </c>
      <c r="AQ49" s="108"/>
      <c r="AR49" s="108">
        <v>400</v>
      </c>
      <c r="AS49" s="81" t="s">
        <v>188</v>
      </c>
      <c r="AT49" s="81"/>
      <c r="AU49" s="81" t="s">
        <v>171</v>
      </c>
      <c r="AV49" s="81"/>
    </row>
    <row r="50" spans="1:48" ht="20.399999999999999" x14ac:dyDescent="0.2">
      <c r="A50" s="309"/>
      <c r="B50" s="309"/>
      <c r="C50" s="309"/>
      <c r="D50" s="116">
        <v>225</v>
      </c>
      <c r="E50" s="309"/>
      <c r="F50" s="117" t="s">
        <v>189</v>
      </c>
      <c r="G50" s="309"/>
      <c r="H50" s="117" t="s">
        <v>54</v>
      </c>
      <c r="I50" s="309"/>
      <c r="J50" s="318">
        <v>10</v>
      </c>
      <c r="K50" s="116"/>
      <c r="L50" s="117" t="s">
        <v>81</v>
      </c>
      <c r="M50" s="116"/>
      <c r="N50" s="116" t="s">
        <v>56</v>
      </c>
      <c r="O50" s="309"/>
      <c r="P50" s="112">
        <v>39630</v>
      </c>
      <c r="Q50" s="81">
        <v>905</v>
      </c>
      <c r="R50" s="119">
        <v>2578</v>
      </c>
      <c r="S50" s="116"/>
      <c r="T50" s="116">
        <v>0</v>
      </c>
      <c r="U50" s="116">
        <v>26959</v>
      </c>
      <c r="V50" s="118">
        <v>26959</v>
      </c>
      <c r="W50" s="116"/>
      <c r="X50" s="108" t="s">
        <v>701</v>
      </c>
      <c r="Y50" s="116"/>
      <c r="Z50" s="111">
        <v>0</v>
      </c>
      <c r="AA50" s="116"/>
      <c r="AB50" s="111">
        <v>24092</v>
      </c>
      <c r="AC50" s="309"/>
      <c r="AD50" s="111">
        <v>29791.03</v>
      </c>
      <c r="AE50" s="108"/>
      <c r="AF50" s="108" t="s">
        <v>735</v>
      </c>
      <c r="AG50" s="108"/>
      <c r="AH50" s="111">
        <v>0</v>
      </c>
      <c r="AI50" s="108"/>
      <c r="AJ50" s="111">
        <v>33984</v>
      </c>
      <c r="AK50" s="111"/>
      <c r="AL50" s="108">
        <v>3063</v>
      </c>
      <c r="AM50" s="111"/>
      <c r="AN50" s="111">
        <v>0</v>
      </c>
      <c r="AO50" s="108"/>
      <c r="AP50" s="111">
        <v>30264</v>
      </c>
      <c r="AQ50" s="108"/>
      <c r="AR50" s="108">
        <v>3104</v>
      </c>
      <c r="AS50" s="81" t="s">
        <v>188</v>
      </c>
      <c r="AT50" s="81"/>
      <c r="AU50" s="81" t="s">
        <v>171</v>
      </c>
      <c r="AV50" s="81"/>
    </row>
    <row r="51" spans="1:48" ht="20.399999999999999" x14ac:dyDescent="0.2">
      <c r="A51" s="309"/>
      <c r="B51" s="309"/>
      <c r="C51" s="309"/>
      <c r="D51" s="116">
        <v>225</v>
      </c>
      <c r="E51" s="309"/>
      <c r="F51" s="117" t="s">
        <v>190</v>
      </c>
      <c r="G51" s="309"/>
      <c r="H51" s="117" t="s">
        <v>54</v>
      </c>
      <c r="I51" s="309"/>
      <c r="J51" s="318">
        <v>40</v>
      </c>
      <c r="K51" s="116"/>
      <c r="L51" s="117" t="s">
        <v>818</v>
      </c>
      <c r="M51" s="116"/>
      <c r="N51" s="116" t="s">
        <v>56</v>
      </c>
      <c r="O51" s="309"/>
      <c r="P51" s="112">
        <v>39630</v>
      </c>
      <c r="Q51" s="81">
        <v>905</v>
      </c>
      <c r="R51" s="116">
        <v>60</v>
      </c>
      <c r="S51" s="116"/>
      <c r="T51" s="116">
        <v>0</v>
      </c>
      <c r="U51" s="116">
        <v>1080</v>
      </c>
      <c r="V51" s="118">
        <v>1080</v>
      </c>
      <c r="W51" s="116"/>
      <c r="X51" s="108" t="s">
        <v>702</v>
      </c>
      <c r="Y51" s="116"/>
      <c r="Z51" s="111">
        <v>0</v>
      </c>
      <c r="AA51" s="116"/>
      <c r="AB51" s="111">
        <v>2535</v>
      </c>
      <c r="AC51" s="309"/>
      <c r="AD51" s="111">
        <v>3286</v>
      </c>
      <c r="AE51" s="108"/>
      <c r="AF51" s="108" t="s">
        <v>736</v>
      </c>
      <c r="AG51" s="108"/>
      <c r="AH51" s="111">
        <v>0</v>
      </c>
      <c r="AI51" s="108"/>
      <c r="AJ51" s="111">
        <v>1406</v>
      </c>
      <c r="AK51" s="111"/>
      <c r="AL51" s="108">
        <v>109</v>
      </c>
      <c r="AM51" s="111"/>
      <c r="AN51" s="111">
        <v>0</v>
      </c>
      <c r="AO51" s="108"/>
      <c r="AP51" s="111">
        <v>6627</v>
      </c>
      <c r="AQ51" s="108"/>
      <c r="AR51" s="108">
        <v>115</v>
      </c>
      <c r="AS51" s="81" t="s">
        <v>188</v>
      </c>
      <c r="AT51" s="81"/>
      <c r="AU51" s="81" t="s">
        <v>171</v>
      </c>
      <c r="AV51" s="81"/>
    </row>
    <row r="52" spans="1:48" ht="20.399999999999999" x14ac:dyDescent="0.2">
      <c r="A52" s="309"/>
      <c r="B52" s="309"/>
      <c r="C52" s="309"/>
      <c r="D52" s="116">
        <v>225</v>
      </c>
      <c r="E52" s="309"/>
      <c r="F52" s="117" t="s">
        <v>192</v>
      </c>
      <c r="G52" s="309"/>
      <c r="H52" s="117" t="s">
        <v>54</v>
      </c>
      <c r="I52" s="309"/>
      <c r="J52" s="318">
        <v>350</v>
      </c>
      <c r="K52" s="116"/>
      <c r="L52" s="117" t="s">
        <v>169</v>
      </c>
      <c r="M52" s="116"/>
      <c r="N52" s="116" t="s">
        <v>56</v>
      </c>
      <c r="O52" s="309"/>
      <c r="P52" s="112">
        <v>37438</v>
      </c>
      <c r="Q52" s="81">
        <v>905</v>
      </c>
      <c r="R52" s="116">
        <v>110</v>
      </c>
      <c r="S52" s="116"/>
      <c r="T52" s="116">
        <v>0</v>
      </c>
      <c r="U52" s="116">
        <v>7744</v>
      </c>
      <c r="V52" s="118">
        <v>7744</v>
      </c>
      <c r="W52" s="116"/>
      <c r="X52" s="108" t="s">
        <v>703</v>
      </c>
      <c r="Y52" s="116"/>
      <c r="Z52" s="111">
        <v>0</v>
      </c>
      <c r="AA52" s="116"/>
      <c r="AB52" s="111">
        <v>5794.18</v>
      </c>
      <c r="AC52" s="309"/>
      <c r="AD52" s="111">
        <v>8438</v>
      </c>
      <c r="AE52" s="108"/>
      <c r="AF52" s="108" t="s">
        <v>737</v>
      </c>
      <c r="AG52" s="108"/>
      <c r="AH52" s="111">
        <v>0</v>
      </c>
      <c r="AI52" s="108"/>
      <c r="AJ52" s="111">
        <v>9566</v>
      </c>
      <c r="AK52" s="111"/>
      <c r="AL52" s="108">
        <v>189</v>
      </c>
      <c r="AM52" s="111"/>
      <c r="AN52" s="111">
        <v>0</v>
      </c>
      <c r="AO52" s="108"/>
      <c r="AP52" s="111">
        <v>13019</v>
      </c>
      <c r="AQ52" s="108"/>
      <c r="AR52" s="108">
        <v>157</v>
      </c>
      <c r="AS52" s="81" t="s">
        <v>188</v>
      </c>
      <c r="AT52" s="81"/>
      <c r="AU52" s="81" t="s">
        <v>171</v>
      </c>
      <c r="AV52" s="81"/>
    </row>
    <row r="53" spans="1:48" ht="20.399999999999999" x14ac:dyDescent="0.2">
      <c r="A53" s="309"/>
      <c r="B53" s="309"/>
      <c r="C53" s="309"/>
      <c r="D53" s="116">
        <v>225</v>
      </c>
      <c r="E53" s="309"/>
      <c r="F53" s="117" t="s">
        <v>193</v>
      </c>
      <c r="G53" s="309"/>
      <c r="H53" s="117" t="s">
        <v>194</v>
      </c>
      <c r="I53" s="309"/>
      <c r="J53" s="318">
        <v>30</v>
      </c>
      <c r="K53" s="116"/>
      <c r="L53" s="117" t="s">
        <v>169</v>
      </c>
      <c r="M53" s="116"/>
      <c r="N53" s="116" t="s">
        <v>56</v>
      </c>
      <c r="O53" s="309"/>
      <c r="P53" s="112">
        <v>36342</v>
      </c>
      <c r="Q53" s="81">
        <v>905</v>
      </c>
      <c r="R53" s="116">
        <v>345</v>
      </c>
      <c r="S53" s="116"/>
      <c r="T53" s="116">
        <v>0</v>
      </c>
      <c r="U53" s="116">
        <v>9810</v>
      </c>
      <c r="V53" s="118">
        <v>9810</v>
      </c>
      <c r="W53" s="116"/>
      <c r="X53" s="108" t="s">
        <v>704</v>
      </c>
      <c r="Y53" s="116"/>
      <c r="Z53" s="111">
        <v>0</v>
      </c>
      <c r="AA53" s="116"/>
      <c r="AB53" s="111">
        <v>8897.73</v>
      </c>
      <c r="AC53" s="309"/>
      <c r="AD53" s="111">
        <v>12097</v>
      </c>
      <c r="AE53" s="108"/>
      <c r="AF53" s="108" t="s">
        <v>738</v>
      </c>
      <c r="AG53" s="108"/>
      <c r="AH53" s="111">
        <v>0</v>
      </c>
      <c r="AI53" s="108"/>
      <c r="AJ53" s="111">
        <v>11523</v>
      </c>
      <c r="AK53" s="111"/>
      <c r="AL53" s="108">
        <v>353</v>
      </c>
      <c r="AM53" s="111"/>
      <c r="AN53" s="111">
        <v>0</v>
      </c>
      <c r="AO53" s="108"/>
      <c r="AP53" s="111">
        <v>3385</v>
      </c>
      <c r="AQ53" s="108"/>
      <c r="AR53" s="108">
        <v>116</v>
      </c>
      <c r="AS53" s="81" t="s">
        <v>195</v>
      </c>
      <c r="AT53" s="81"/>
      <c r="AU53" s="81" t="s">
        <v>171</v>
      </c>
      <c r="AV53" s="81"/>
    </row>
    <row r="54" spans="1:48" ht="20.399999999999999" x14ac:dyDescent="0.2">
      <c r="A54" s="309"/>
      <c r="B54" s="309"/>
      <c r="C54" s="309"/>
      <c r="D54" s="116">
        <v>225</v>
      </c>
      <c r="E54" s="309"/>
      <c r="F54" s="117" t="s">
        <v>196</v>
      </c>
      <c r="G54" s="309"/>
      <c r="H54" s="117" t="s">
        <v>54</v>
      </c>
      <c r="I54" s="309"/>
      <c r="J54" s="318">
        <v>20</v>
      </c>
      <c r="K54" s="116"/>
      <c r="L54" s="117" t="s">
        <v>191</v>
      </c>
      <c r="M54" s="116"/>
      <c r="N54" s="116" t="s">
        <v>56</v>
      </c>
      <c r="O54" s="309"/>
      <c r="P54" s="112">
        <v>37438</v>
      </c>
      <c r="Q54" s="81">
        <v>905</v>
      </c>
      <c r="R54" s="116">
        <v>51</v>
      </c>
      <c r="S54" s="116"/>
      <c r="T54" s="116">
        <v>0</v>
      </c>
      <c r="U54" s="116">
        <v>971</v>
      </c>
      <c r="V54" s="118">
        <v>971</v>
      </c>
      <c r="W54" s="116"/>
      <c r="X54" s="108" t="s">
        <v>705</v>
      </c>
      <c r="Y54" s="116"/>
      <c r="Z54" s="111">
        <v>0</v>
      </c>
      <c r="AA54" s="116"/>
      <c r="AB54" s="111">
        <v>560</v>
      </c>
      <c r="AC54" s="309"/>
      <c r="AD54" s="111">
        <v>325</v>
      </c>
      <c r="AE54" s="108"/>
      <c r="AF54" s="108" t="s">
        <v>739</v>
      </c>
      <c r="AG54" s="108"/>
      <c r="AH54" s="111">
        <v>0</v>
      </c>
      <c r="AI54" s="108"/>
      <c r="AJ54" s="111">
        <v>587</v>
      </c>
      <c r="AK54" s="111"/>
      <c r="AL54" s="108">
        <v>31</v>
      </c>
      <c r="AM54" s="111"/>
      <c r="AN54" s="111">
        <v>0</v>
      </c>
      <c r="AO54" s="108"/>
      <c r="AP54" s="111">
        <v>840</v>
      </c>
      <c r="AQ54" s="108"/>
      <c r="AR54" s="108">
        <v>42</v>
      </c>
      <c r="AS54" s="81" t="s">
        <v>197</v>
      </c>
      <c r="AT54" s="81"/>
      <c r="AU54" s="81" t="s">
        <v>171</v>
      </c>
      <c r="AV54" s="81"/>
    </row>
    <row r="55" spans="1:48" ht="20.399999999999999" x14ac:dyDescent="0.2">
      <c r="A55" s="309"/>
      <c r="B55" s="309" t="s">
        <v>198</v>
      </c>
      <c r="C55" s="309"/>
      <c r="D55" s="116">
        <v>226</v>
      </c>
      <c r="E55" s="309"/>
      <c r="F55" s="117" t="s">
        <v>199</v>
      </c>
      <c r="G55" s="309"/>
      <c r="H55" s="117" t="s">
        <v>54</v>
      </c>
      <c r="I55" s="309"/>
      <c r="J55" s="318">
        <v>300</v>
      </c>
      <c r="K55" s="116"/>
      <c r="L55" s="117" t="s">
        <v>200</v>
      </c>
      <c r="M55" s="116"/>
      <c r="N55" s="116" t="s">
        <v>56</v>
      </c>
      <c r="O55" s="309"/>
      <c r="P55" s="112">
        <v>38899</v>
      </c>
      <c r="Q55" s="81">
        <v>905</v>
      </c>
      <c r="R55" s="119">
        <v>4235</v>
      </c>
      <c r="S55" s="116"/>
      <c r="T55" s="116">
        <v>0</v>
      </c>
      <c r="U55" s="116"/>
      <c r="V55" s="118">
        <v>653318</v>
      </c>
      <c r="W55" s="116"/>
      <c r="X55" s="108">
        <v>4181</v>
      </c>
      <c r="Y55" s="116"/>
      <c r="Z55" s="111">
        <v>0</v>
      </c>
      <c r="AA55" s="116"/>
      <c r="AB55" s="111">
        <v>667839.54</v>
      </c>
      <c r="AC55" s="309"/>
      <c r="AD55" s="321">
        <v>685305</v>
      </c>
      <c r="AE55" s="322"/>
      <c r="AF55" s="323">
        <v>3249</v>
      </c>
      <c r="AG55" s="108"/>
      <c r="AH55" s="111">
        <v>0</v>
      </c>
      <c r="AI55" s="108"/>
      <c r="AJ55" s="321">
        <v>680609</v>
      </c>
      <c r="AK55" s="321"/>
      <c r="AL55" s="115">
        <v>3143</v>
      </c>
      <c r="AM55" s="321"/>
      <c r="AN55" s="111">
        <v>0</v>
      </c>
      <c r="AO55" s="108"/>
      <c r="AP55" s="321">
        <v>653528</v>
      </c>
      <c r="AQ55" s="108"/>
      <c r="AR55" s="108" t="s">
        <v>804</v>
      </c>
      <c r="AS55" s="81" t="s">
        <v>201</v>
      </c>
      <c r="AT55" s="81"/>
      <c r="AU55" s="324" t="s">
        <v>819</v>
      </c>
      <c r="AV55" s="81"/>
    </row>
    <row r="56" spans="1:48" ht="20.399999999999999" x14ac:dyDescent="0.2">
      <c r="A56" s="309"/>
      <c r="B56" s="309"/>
      <c r="C56" s="309"/>
      <c r="D56" s="116">
        <v>226</v>
      </c>
      <c r="E56" s="309"/>
      <c r="F56" s="117" t="s">
        <v>820</v>
      </c>
      <c r="G56" s="309"/>
      <c r="H56" s="117" t="s">
        <v>54</v>
      </c>
      <c r="I56" s="309"/>
      <c r="J56" s="318">
        <v>500</v>
      </c>
      <c r="K56" s="116"/>
      <c r="L56" s="117" t="s">
        <v>202</v>
      </c>
      <c r="M56" s="116"/>
      <c r="N56" s="116" t="s">
        <v>56</v>
      </c>
      <c r="O56" s="309"/>
      <c r="P56" s="112">
        <v>39264</v>
      </c>
      <c r="Q56" s="81">
        <v>905</v>
      </c>
      <c r="R56" s="116">
        <v>119</v>
      </c>
      <c r="S56" s="116"/>
      <c r="T56" s="116">
        <v>0</v>
      </c>
      <c r="U56" s="116"/>
      <c r="V56" s="118">
        <v>15105</v>
      </c>
      <c r="W56" s="116"/>
      <c r="X56" s="108">
        <v>141</v>
      </c>
      <c r="Y56" s="116"/>
      <c r="Z56" s="111">
        <v>0</v>
      </c>
      <c r="AA56" s="116"/>
      <c r="AB56" s="111">
        <v>21819.599999999999</v>
      </c>
      <c r="AC56" s="309"/>
      <c r="AD56" s="321">
        <v>16551</v>
      </c>
      <c r="AE56" s="322"/>
      <c r="AF56" s="323">
        <v>60</v>
      </c>
      <c r="AG56" s="108"/>
      <c r="AH56" s="111">
        <v>0</v>
      </c>
      <c r="AI56" s="108"/>
      <c r="AJ56" s="321">
        <v>22583</v>
      </c>
      <c r="AK56" s="321"/>
      <c r="AL56" s="108">
        <v>44</v>
      </c>
      <c r="AM56" s="321"/>
      <c r="AN56" s="111">
        <v>0</v>
      </c>
      <c r="AO56" s="108"/>
      <c r="AP56" s="321">
        <v>24709</v>
      </c>
      <c r="AQ56" s="108"/>
      <c r="AR56" s="108" t="s">
        <v>805</v>
      </c>
      <c r="AS56" s="81" t="s">
        <v>203</v>
      </c>
      <c r="AT56" s="81"/>
      <c r="AU56" s="324" t="s">
        <v>819</v>
      </c>
      <c r="AV56" s="81"/>
    </row>
    <row r="57" spans="1:48" ht="20.399999999999999" x14ac:dyDescent="0.2">
      <c r="A57" s="309"/>
      <c r="B57" s="309"/>
      <c r="C57" s="309"/>
      <c r="D57" s="116">
        <v>226</v>
      </c>
      <c r="E57" s="309"/>
      <c r="F57" s="117" t="s">
        <v>204</v>
      </c>
      <c r="G57" s="309"/>
      <c r="H57" s="117" t="s">
        <v>54</v>
      </c>
      <c r="I57" s="309"/>
      <c r="J57" s="318">
        <v>100</v>
      </c>
      <c r="K57" s="116"/>
      <c r="L57" s="117" t="s">
        <v>169</v>
      </c>
      <c r="M57" s="116"/>
      <c r="N57" s="116" t="s">
        <v>56</v>
      </c>
      <c r="O57" s="309"/>
      <c r="P57" s="112">
        <v>38899</v>
      </c>
      <c r="Q57" s="81">
        <v>905</v>
      </c>
      <c r="R57" s="116">
        <v>412</v>
      </c>
      <c r="S57" s="116"/>
      <c r="T57" s="116">
        <v>0</v>
      </c>
      <c r="U57" s="116"/>
      <c r="V57" s="118">
        <v>39795</v>
      </c>
      <c r="W57" s="116"/>
      <c r="X57" s="108">
        <v>398</v>
      </c>
      <c r="Y57" s="116"/>
      <c r="Z57" s="111">
        <v>0</v>
      </c>
      <c r="AA57" s="116"/>
      <c r="AB57" s="111">
        <v>39800</v>
      </c>
      <c r="AC57" s="309"/>
      <c r="AD57" s="321">
        <v>36950</v>
      </c>
      <c r="AE57" s="322"/>
      <c r="AF57" s="323">
        <v>358</v>
      </c>
      <c r="AG57" s="108"/>
      <c r="AH57" s="111">
        <v>0</v>
      </c>
      <c r="AI57" s="108"/>
      <c r="AJ57" s="321">
        <v>35625</v>
      </c>
      <c r="AK57" s="321"/>
      <c r="AL57" s="108">
        <v>355</v>
      </c>
      <c r="AM57" s="321"/>
      <c r="AN57" s="111">
        <v>0</v>
      </c>
      <c r="AO57" s="108"/>
      <c r="AP57" s="321">
        <v>29350</v>
      </c>
      <c r="AQ57" s="108"/>
      <c r="AR57" s="108" t="s">
        <v>806</v>
      </c>
      <c r="AS57" s="81" t="s">
        <v>203</v>
      </c>
      <c r="AT57" s="81"/>
      <c r="AU57" s="324" t="s">
        <v>819</v>
      </c>
      <c r="AV57" s="81"/>
    </row>
    <row r="58" spans="1:48" ht="40.799999999999997" x14ac:dyDescent="0.2">
      <c r="A58" s="309"/>
      <c r="B58" s="309"/>
      <c r="C58" s="309"/>
      <c r="D58" s="116"/>
      <c r="E58" s="309"/>
      <c r="F58" s="117" t="s">
        <v>807</v>
      </c>
      <c r="G58" s="309"/>
      <c r="H58" s="117" t="s">
        <v>54</v>
      </c>
      <c r="I58" s="309"/>
      <c r="J58" s="318">
        <v>500</v>
      </c>
      <c r="K58" s="116"/>
      <c r="L58" s="117"/>
      <c r="M58" s="116"/>
      <c r="N58" s="116"/>
      <c r="O58" s="309"/>
      <c r="P58" s="112"/>
      <c r="Q58" s="81"/>
      <c r="R58" s="116"/>
      <c r="S58" s="116"/>
      <c r="T58" s="116"/>
      <c r="U58" s="116"/>
      <c r="V58" s="118"/>
      <c r="W58" s="116"/>
      <c r="X58" s="108"/>
      <c r="Y58" s="116"/>
      <c r="Z58" s="111"/>
      <c r="AA58" s="116"/>
      <c r="AB58" s="111"/>
      <c r="AC58" s="309"/>
      <c r="AD58" s="321">
        <v>0</v>
      </c>
      <c r="AE58" s="322"/>
      <c r="AF58" s="323">
        <v>0</v>
      </c>
      <c r="AG58" s="108"/>
      <c r="AH58" s="111">
        <v>0</v>
      </c>
      <c r="AI58" s="108"/>
      <c r="AJ58" s="321">
        <v>85025</v>
      </c>
      <c r="AK58" s="321"/>
      <c r="AL58" s="108">
        <v>375</v>
      </c>
      <c r="AM58" s="321"/>
      <c r="AN58" s="111"/>
      <c r="AO58" s="108"/>
      <c r="AP58" s="321">
        <v>95654</v>
      </c>
      <c r="AQ58" s="108"/>
      <c r="AR58" s="108" t="s">
        <v>808</v>
      </c>
      <c r="AS58" s="81" t="s">
        <v>184</v>
      </c>
      <c r="AT58" s="81"/>
      <c r="AU58" s="81" t="s">
        <v>821</v>
      </c>
      <c r="AV58" s="81"/>
    </row>
    <row r="59" spans="1:48" ht="20.399999999999999" x14ac:dyDescent="0.2">
      <c r="A59" s="309"/>
      <c r="B59" s="309"/>
      <c r="C59" s="309"/>
      <c r="D59" s="116">
        <v>226</v>
      </c>
      <c r="E59" s="309"/>
      <c r="F59" s="117" t="s">
        <v>205</v>
      </c>
      <c r="G59" s="309"/>
      <c r="H59" s="117" t="s">
        <v>54</v>
      </c>
      <c r="I59" s="309"/>
      <c r="J59" s="318">
        <v>35</v>
      </c>
      <c r="K59" s="116"/>
      <c r="L59" s="117" t="s">
        <v>169</v>
      </c>
      <c r="M59" s="116"/>
      <c r="N59" s="116" t="s">
        <v>56</v>
      </c>
      <c r="O59" s="309"/>
      <c r="P59" s="309"/>
      <c r="Q59" s="81">
        <v>905</v>
      </c>
      <c r="R59" s="116">
        <v>31</v>
      </c>
      <c r="S59" s="116"/>
      <c r="T59" s="116">
        <v>0</v>
      </c>
      <c r="U59" s="116"/>
      <c r="V59" s="118">
        <v>685</v>
      </c>
      <c r="W59" s="116"/>
      <c r="X59" s="108">
        <v>8</v>
      </c>
      <c r="Y59" s="116"/>
      <c r="Z59" s="111">
        <v>0</v>
      </c>
      <c r="AA59" s="116"/>
      <c r="AB59" s="111">
        <v>326</v>
      </c>
      <c r="AC59" s="309"/>
      <c r="AD59" s="321">
        <v>159</v>
      </c>
      <c r="AE59" s="322"/>
      <c r="AF59" s="323">
        <v>54</v>
      </c>
      <c r="AG59" s="108"/>
      <c r="AH59" s="111">
        <v>0</v>
      </c>
      <c r="AI59" s="108"/>
      <c r="AJ59" s="321">
        <v>170</v>
      </c>
      <c r="AK59" s="321"/>
      <c r="AL59" s="108">
        <v>41</v>
      </c>
      <c r="AM59" s="321"/>
      <c r="AN59" s="111">
        <v>0</v>
      </c>
      <c r="AO59" s="108"/>
      <c r="AP59" s="321">
        <v>335</v>
      </c>
      <c r="AQ59" s="108"/>
      <c r="AR59" s="108" t="s">
        <v>809</v>
      </c>
      <c r="AS59" s="81" t="s">
        <v>206</v>
      </c>
      <c r="AT59" s="81"/>
      <c r="AU59" s="324" t="s">
        <v>819</v>
      </c>
      <c r="AV59" s="81"/>
    </row>
    <row r="60" spans="1:48" x14ac:dyDescent="0.2">
      <c r="A60" s="309"/>
      <c r="B60" s="309"/>
      <c r="C60" s="309"/>
      <c r="D60" s="116">
        <v>226</v>
      </c>
      <c r="E60" s="309"/>
      <c r="F60" s="117" t="s">
        <v>207</v>
      </c>
      <c r="G60" s="309"/>
      <c r="H60" s="117" t="s">
        <v>54</v>
      </c>
      <c r="I60" s="309"/>
      <c r="J60" s="318">
        <v>18</v>
      </c>
      <c r="K60" s="116"/>
      <c r="L60" s="117" t="s">
        <v>136</v>
      </c>
      <c r="M60" s="116"/>
      <c r="N60" s="116" t="s">
        <v>56</v>
      </c>
      <c r="O60" s="309"/>
      <c r="P60" s="112">
        <v>39630</v>
      </c>
      <c r="Q60" s="81">
        <v>905</v>
      </c>
      <c r="R60" s="116">
        <v>411</v>
      </c>
      <c r="S60" s="116"/>
      <c r="T60" s="116">
        <v>0</v>
      </c>
      <c r="U60" s="116"/>
      <c r="V60" s="118">
        <v>669505</v>
      </c>
      <c r="W60" s="116"/>
      <c r="X60" s="108">
        <v>472</v>
      </c>
      <c r="Y60" s="116"/>
      <c r="Z60" s="111">
        <v>0</v>
      </c>
      <c r="AA60" s="116"/>
      <c r="AB60" s="111">
        <v>936245.21</v>
      </c>
      <c r="AC60" s="309"/>
      <c r="AD60" s="321">
        <v>839193</v>
      </c>
      <c r="AE60" s="322"/>
      <c r="AF60" s="323">
        <v>4441</v>
      </c>
      <c r="AG60" s="108"/>
      <c r="AH60" s="111">
        <v>0</v>
      </c>
      <c r="AI60" s="108"/>
      <c r="AJ60" s="321">
        <v>827947</v>
      </c>
      <c r="AK60" s="321"/>
      <c r="AL60" s="108">
        <v>466</v>
      </c>
      <c r="AM60" s="321"/>
      <c r="AN60" s="111">
        <v>0</v>
      </c>
      <c r="AO60" s="108"/>
      <c r="AP60" s="321">
        <v>852960</v>
      </c>
      <c r="AQ60" s="108"/>
      <c r="AR60" s="108">
        <v>452</v>
      </c>
      <c r="AS60" s="81" t="s">
        <v>203</v>
      </c>
      <c r="AT60" s="81"/>
      <c r="AU60" s="81"/>
      <c r="AV60" s="81"/>
    </row>
    <row r="61" spans="1:48" x14ac:dyDescent="0.2">
      <c r="A61" s="309"/>
      <c r="B61" s="309"/>
      <c r="C61" s="309"/>
      <c r="D61" s="116">
        <v>226</v>
      </c>
      <c r="E61" s="309"/>
      <c r="F61" s="117" t="s">
        <v>822</v>
      </c>
      <c r="G61" s="309"/>
      <c r="H61" s="117" t="s">
        <v>54</v>
      </c>
      <c r="I61" s="309"/>
      <c r="J61" s="318">
        <v>24</v>
      </c>
      <c r="K61" s="116"/>
      <c r="L61" s="117" t="s">
        <v>136</v>
      </c>
      <c r="M61" s="116"/>
      <c r="N61" s="116" t="s">
        <v>56</v>
      </c>
      <c r="O61" s="309"/>
      <c r="P61" s="112">
        <v>39630</v>
      </c>
      <c r="Q61" s="81">
        <v>905</v>
      </c>
      <c r="R61" s="116">
        <v>171</v>
      </c>
      <c r="S61" s="116"/>
      <c r="T61" s="116">
        <v>0</v>
      </c>
      <c r="U61" s="116"/>
      <c r="V61" s="118">
        <v>284240</v>
      </c>
      <c r="W61" s="116"/>
      <c r="X61" s="108">
        <v>81</v>
      </c>
      <c r="Y61" s="116"/>
      <c r="Z61" s="111">
        <v>0</v>
      </c>
      <c r="AA61" s="116"/>
      <c r="AB61" s="111">
        <v>151119.37</v>
      </c>
      <c r="AC61" s="309"/>
      <c r="AD61" s="321">
        <v>118322</v>
      </c>
      <c r="AE61" s="322"/>
      <c r="AF61" s="323">
        <v>283</v>
      </c>
      <c r="AG61" s="108"/>
      <c r="AH61" s="111">
        <v>0</v>
      </c>
      <c r="AI61" s="108"/>
      <c r="AJ61" s="321">
        <v>167978</v>
      </c>
      <c r="AK61" s="321"/>
      <c r="AL61" s="108">
        <v>52</v>
      </c>
      <c r="AM61" s="321"/>
      <c r="AN61" s="111">
        <v>0</v>
      </c>
      <c r="AO61" s="108"/>
      <c r="AP61" s="321">
        <v>123735</v>
      </c>
      <c r="AQ61" s="108"/>
      <c r="AR61" s="108">
        <v>42</v>
      </c>
      <c r="AS61" s="81" t="s">
        <v>203</v>
      </c>
      <c r="AT61" s="81"/>
      <c r="AU61" s="81"/>
      <c r="AV61" s="81"/>
    </row>
    <row r="62" spans="1:48" ht="20.399999999999999" x14ac:dyDescent="0.2">
      <c r="A62" s="309"/>
      <c r="B62" s="309"/>
      <c r="C62" s="309"/>
      <c r="D62" s="116">
        <v>226</v>
      </c>
      <c r="E62" s="309"/>
      <c r="F62" s="117" t="s">
        <v>208</v>
      </c>
      <c r="G62" s="309"/>
      <c r="H62" s="117" t="s">
        <v>54</v>
      </c>
      <c r="I62" s="309"/>
      <c r="J62" s="318">
        <v>35</v>
      </c>
      <c r="K62" s="116"/>
      <c r="L62" s="117" t="s">
        <v>169</v>
      </c>
      <c r="M62" s="116"/>
      <c r="N62" s="116" t="s">
        <v>56</v>
      </c>
      <c r="O62" s="309"/>
      <c r="P62" s="112">
        <v>39995</v>
      </c>
      <c r="Q62" s="81">
        <v>905</v>
      </c>
      <c r="R62" s="116">
        <v>385</v>
      </c>
      <c r="S62" s="116"/>
      <c r="T62" s="116">
        <v>0</v>
      </c>
      <c r="U62" s="116"/>
      <c r="V62" s="118">
        <v>10995</v>
      </c>
      <c r="W62" s="116"/>
      <c r="X62" s="108">
        <v>419</v>
      </c>
      <c r="Y62" s="116"/>
      <c r="Z62" s="111">
        <v>0</v>
      </c>
      <c r="AA62" s="116"/>
      <c r="AB62" s="111">
        <v>14131.88</v>
      </c>
      <c r="AC62" s="309"/>
      <c r="AD62" s="321">
        <v>13853</v>
      </c>
      <c r="AE62" s="322"/>
      <c r="AF62" s="323">
        <v>396</v>
      </c>
      <c r="AG62" s="108"/>
      <c r="AH62" s="111">
        <v>0</v>
      </c>
      <c r="AI62" s="108"/>
      <c r="AJ62" s="321">
        <v>14882</v>
      </c>
      <c r="AK62" s="321"/>
      <c r="AL62" s="108">
        <v>427</v>
      </c>
      <c r="AM62" s="321"/>
      <c r="AN62" s="111">
        <v>0</v>
      </c>
      <c r="AO62" s="108"/>
      <c r="AP62" s="321">
        <v>13934</v>
      </c>
      <c r="AQ62" s="108"/>
      <c r="AR62" s="108">
        <v>388</v>
      </c>
      <c r="AS62" s="81" t="s">
        <v>203</v>
      </c>
      <c r="AT62" s="81"/>
      <c r="AU62" s="81"/>
      <c r="AV62" s="81"/>
    </row>
    <row r="63" spans="1:48" ht="20.399999999999999" x14ac:dyDescent="0.2">
      <c r="A63" s="309"/>
      <c r="B63" s="309"/>
      <c r="C63" s="309"/>
      <c r="D63" s="116">
        <v>226</v>
      </c>
      <c r="E63" s="309"/>
      <c r="F63" s="117" t="s">
        <v>209</v>
      </c>
      <c r="G63" s="309"/>
      <c r="H63" s="117" t="s">
        <v>54</v>
      </c>
      <c r="I63" s="309"/>
      <c r="J63" s="318">
        <v>15</v>
      </c>
      <c r="K63" s="116"/>
      <c r="L63" s="117" t="s">
        <v>169</v>
      </c>
      <c r="M63" s="116"/>
      <c r="N63" s="116" t="s">
        <v>56</v>
      </c>
      <c r="O63" s="309"/>
      <c r="P63" s="309"/>
      <c r="Q63" s="81">
        <v>905</v>
      </c>
      <c r="R63" s="116">
        <v>162</v>
      </c>
      <c r="S63" s="116"/>
      <c r="T63" s="116">
        <v>0</v>
      </c>
      <c r="U63" s="116"/>
      <c r="V63" s="118">
        <v>2315</v>
      </c>
      <c r="W63" s="116"/>
      <c r="X63" s="108">
        <v>0</v>
      </c>
      <c r="Y63" s="116"/>
      <c r="Z63" s="111">
        <v>0</v>
      </c>
      <c r="AA63" s="116"/>
      <c r="AB63" s="111">
        <v>0</v>
      </c>
      <c r="AC63" s="309"/>
      <c r="AD63" s="325" t="s">
        <v>367</v>
      </c>
      <c r="AE63" s="322"/>
      <c r="AF63" s="322" t="s">
        <v>367</v>
      </c>
      <c r="AG63" s="108"/>
      <c r="AH63" s="111">
        <v>0</v>
      </c>
      <c r="AI63" s="108"/>
      <c r="AJ63" s="321" t="s">
        <v>367</v>
      </c>
      <c r="AK63" s="321"/>
      <c r="AL63" s="108" t="s">
        <v>367</v>
      </c>
      <c r="AM63" s="321"/>
      <c r="AN63" s="111">
        <v>0</v>
      </c>
      <c r="AO63" s="108"/>
      <c r="AP63" s="325" t="s">
        <v>367</v>
      </c>
      <c r="AQ63" s="108"/>
      <c r="AR63" s="108" t="s">
        <v>367</v>
      </c>
      <c r="AS63" s="81" t="s">
        <v>203</v>
      </c>
      <c r="AT63" s="81"/>
      <c r="AU63" s="81"/>
      <c r="AV63" s="81"/>
    </row>
    <row r="64" spans="1:48" x14ac:dyDescent="0.2">
      <c r="A64" s="309"/>
      <c r="B64" s="309"/>
      <c r="C64" s="309"/>
      <c r="D64" s="116">
        <v>226</v>
      </c>
      <c r="E64" s="309"/>
      <c r="F64" s="117" t="s">
        <v>210</v>
      </c>
      <c r="G64" s="309"/>
      <c r="H64" s="117" t="s">
        <v>54</v>
      </c>
      <c r="I64" s="309"/>
      <c r="J64" s="318">
        <v>35</v>
      </c>
      <c r="K64" s="116"/>
      <c r="L64" s="117" t="s">
        <v>545</v>
      </c>
      <c r="M64" s="116"/>
      <c r="N64" s="116" t="s">
        <v>56</v>
      </c>
      <c r="O64" s="309"/>
      <c r="P64" s="309"/>
      <c r="Q64" s="81">
        <v>905</v>
      </c>
      <c r="R64" s="116">
        <v>118</v>
      </c>
      <c r="S64" s="116"/>
      <c r="T64" s="116">
        <v>0</v>
      </c>
      <c r="U64" s="116"/>
      <c r="V64" s="118">
        <v>30542.35</v>
      </c>
      <c r="W64" s="116"/>
      <c r="X64" s="108">
        <v>924</v>
      </c>
      <c r="Y64" s="116"/>
      <c r="Z64" s="111">
        <v>0</v>
      </c>
      <c r="AA64" s="116"/>
      <c r="AB64" s="111">
        <v>29364.22</v>
      </c>
      <c r="AC64" s="309"/>
      <c r="AD64" s="321">
        <v>29484</v>
      </c>
      <c r="AE64" s="323"/>
      <c r="AF64" s="323">
        <v>924</v>
      </c>
      <c r="AG64" s="108"/>
      <c r="AH64" s="111">
        <v>0</v>
      </c>
      <c r="AI64" s="108"/>
      <c r="AJ64" s="321">
        <v>27481</v>
      </c>
      <c r="AK64" s="321"/>
      <c r="AL64" s="108">
        <v>880</v>
      </c>
      <c r="AM64" s="321"/>
      <c r="AN64" s="111">
        <v>0</v>
      </c>
      <c r="AO64" s="108"/>
      <c r="AP64" s="321">
        <v>32490</v>
      </c>
      <c r="AQ64" s="108"/>
      <c r="AR64" s="108">
        <v>974</v>
      </c>
      <c r="AS64" s="81" t="s">
        <v>203</v>
      </c>
      <c r="AT64" s="81"/>
      <c r="AU64" s="81"/>
      <c r="AV64" s="81"/>
    </row>
    <row r="65" spans="1:48" x14ac:dyDescent="0.2">
      <c r="A65" s="309"/>
      <c r="B65" s="309" t="s">
        <v>211</v>
      </c>
      <c r="C65" s="309"/>
      <c r="D65" s="116">
        <v>227</v>
      </c>
      <c r="E65" s="309"/>
      <c r="F65" s="117" t="s">
        <v>160</v>
      </c>
      <c r="G65" s="309"/>
      <c r="H65" s="117" t="s">
        <v>54</v>
      </c>
      <c r="I65" s="309"/>
      <c r="J65" s="318">
        <v>300</v>
      </c>
      <c r="K65" s="116"/>
      <c r="L65" s="117" t="s">
        <v>200</v>
      </c>
      <c r="M65" s="116"/>
      <c r="N65" s="116" t="s">
        <v>56</v>
      </c>
      <c r="O65" s="309"/>
      <c r="P65" s="309"/>
      <c r="Q65" s="81">
        <v>905</v>
      </c>
      <c r="R65" s="116" t="s">
        <v>51</v>
      </c>
      <c r="S65" s="116"/>
      <c r="T65" s="116">
        <v>0</v>
      </c>
      <c r="U65" s="116">
        <v>202111</v>
      </c>
      <c r="V65" s="118">
        <v>202111</v>
      </c>
      <c r="W65" s="116"/>
      <c r="X65" s="108">
        <v>2760</v>
      </c>
      <c r="Y65" s="116"/>
      <c r="Z65" s="111">
        <v>0</v>
      </c>
      <c r="AA65" s="116"/>
      <c r="AB65" s="111">
        <v>189448</v>
      </c>
      <c r="AC65" s="309"/>
      <c r="AD65" s="111">
        <v>197206</v>
      </c>
      <c r="AE65" s="108"/>
      <c r="AF65" s="108">
        <v>1428</v>
      </c>
      <c r="AG65" s="108"/>
      <c r="AH65" s="111">
        <v>0</v>
      </c>
      <c r="AI65" s="108"/>
      <c r="AJ65" s="111">
        <v>196420</v>
      </c>
      <c r="AK65" s="111"/>
      <c r="AL65" s="108">
        <v>1146</v>
      </c>
      <c r="AM65" s="111"/>
      <c r="AN65" s="111">
        <v>0</v>
      </c>
      <c r="AO65" s="108"/>
      <c r="AP65" s="111">
        <v>206583</v>
      </c>
      <c r="AQ65" s="108"/>
      <c r="AR65" s="108">
        <v>1267</v>
      </c>
      <c r="AS65" s="81" t="s">
        <v>212</v>
      </c>
      <c r="AT65" s="81"/>
      <c r="AU65" s="81"/>
      <c r="AV65" s="81"/>
    </row>
    <row r="66" spans="1:48" x14ac:dyDescent="0.2">
      <c r="A66" s="309"/>
      <c r="B66" s="309"/>
      <c r="C66" s="309"/>
      <c r="D66" s="116">
        <v>227</v>
      </c>
      <c r="E66" s="309"/>
      <c r="F66" s="117" t="s">
        <v>91</v>
      </c>
      <c r="G66" s="309"/>
      <c r="H66" s="117" t="s">
        <v>54</v>
      </c>
      <c r="I66" s="309"/>
      <c r="J66" s="318">
        <v>17</v>
      </c>
      <c r="K66" s="116"/>
      <c r="L66" s="117" t="s">
        <v>136</v>
      </c>
      <c r="M66" s="116"/>
      <c r="N66" s="116" t="s">
        <v>56</v>
      </c>
      <c r="O66" s="309"/>
      <c r="P66" s="309"/>
      <c r="Q66" s="81">
        <v>905</v>
      </c>
      <c r="R66" s="116" t="s">
        <v>51</v>
      </c>
      <c r="S66" s="116"/>
      <c r="T66" s="116">
        <v>0</v>
      </c>
      <c r="U66" s="116">
        <v>440835</v>
      </c>
      <c r="V66" s="118">
        <v>440835</v>
      </c>
      <c r="W66" s="116"/>
      <c r="X66" s="108">
        <v>252</v>
      </c>
      <c r="Y66" s="116"/>
      <c r="Z66" s="111">
        <v>0</v>
      </c>
      <c r="AA66" s="116"/>
      <c r="AB66" s="111">
        <v>484475</v>
      </c>
      <c r="AC66" s="309"/>
      <c r="AD66" s="111">
        <v>448086</v>
      </c>
      <c r="AE66" s="108"/>
      <c r="AF66" s="108"/>
      <c r="AG66" s="108"/>
      <c r="AH66" s="111">
        <v>0</v>
      </c>
      <c r="AI66" s="108"/>
      <c r="AJ66" s="111">
        <v>470132</v>
      </c>
      <c r="AK66" s="111"/>
      <c r="AL66" s="108">
        <v>330</v>
      </c>
      <c r="AM66" s="111"/>
      <c r="AN66" s="111">
        <v>0</v>
      </c>
      <c r="AO66" s="108"/>
      <c r="AP66" s="111">
        <v>536175</v>
      </c>
      <c r="AQ66" s="108"/>
      <c r="AR66" s="108">
        <v>377</v>
      </c>
      <c r="AS66" s="81" t="s">
        <v>212</v>
      </c>
      <c r="AT66" s="81"/>
      <c r="AU66" s="81"/>
      <c r="AV66" s="81"/>
    </row>
    <row r="67" spans="1:48" x14ac:dyDescent="0.2">
      <c r="A67" s="309"/>
      <c r="B67" s="309"/>
      <c r="C67" s="309"/>
      <c r="D67" s="116">
        <v>227</v>
      </c>
      <c r="E67" s="309"/>
      <c r="F67" s="117" t="s">
        <v>213</v>
      </c>
      <c r="G67" s="309"/>
      <c r="H67" s="117" t="s">
        <v>54</v>
      </c>
      <c r="I67" s="309"/>
      <c r="J67" s="318">
        <v>26</v>
      </c>
      <c r="K67" s="116"/>
      <c r="L67" s="117" t="s">
        <v>136</v>
      </c>
      <c r="M67" s="116"/>
      <c r="N67" s="116" t="s">
        <v>56</v>
      </c>
      <c r="O67" s="309"/>
      <c r="P67" s="309"/>
      <c r="Q67" s="81">
        <v>905</v>
      </c>
      <c r="R67" s="116" t="s">
        <v>51</v>
      </c>
      <c r="S67" s="116"/>
      <c r="T67" s="116">
        <v>0</v>
      </c>
      <c r="U67" s="116">
        <v>132733</v>
      </c>
      <c r="V67" s="118">
        <v>132733</v>
      </c>
      <c r="W67" s="116"/>
      <c r="X67" s="108">
        <v>90</v>
      </c>
      <c r="Y67" s="116"/>
      <c r="Z67" s="111">
        <v>0</v>
      </c>
      <c r="AA67" s="116"/>
      <c r="AB67" s="111">
        <v>188692</v>
      </c>
      <c r="AC67" s="309"/>
      <c r="AD67" s="111">
        <v>169177</v>
      </c>
      <c r="AE67" s="108"/>
      <c r="AF67" s="108"/>
      <c r="AG67" s="108"/>
      <c r="AH67" s="111">
        <v>0</v>
      </c>
      <c r="AI67" s="108"/>
      <c r="AJ67" s="111">
        <v>161174</v>
      </c>
      <c r="AK67" s="111"/>
      <c r="AL67" s="108">
        <v>39</v>
      </c>
      <c r="AM67" s="111"/>
      <c r="AN67" s="111">
        <v>0</v>
      </c>
      <c r="AO67" s="108"/>
      <c r="AP67" s="111">
        <v>127607</v>
      </c>
      <c r="AQ67" s="108"/>
      <c r="AR67" s="108">
        <v>55</v>
      </c>
      <c r="AS67" s="81" t="s">
        <v>212</v>
      </c>
      <c r="AT67" s="81"/>
      <c r="AU67" s="81"/>
      <c r="AV67" s="81"/>
    </row>
    <row r="68" spans="1:48" x14ac:dyDescent="0.2">
      <c r="A68" s="309"/>
      <c r="B68" s="309"/>
      <c r="C68" s="309"/>
      <c r="D68" s="116">
        <v>227</v>
      </c>
      <c r="E68" s="309"/>
      <c r="F68" s="117" t="s">
        <v>214</v>
      </c>
      <c r="G68" s="309"/>
      <c r="H68" s="117" t="s">
        <v>54</v>
      </c>
      <c r="I68" s="309"/>
      <c r="J68" s="318">
        <v>15</v>
      </c>
      <c r="K68" s="116"/>
      <c r="L68" s="117" t="s">
        <v>215</v>
      </c>
      <c r="M68" s="116"/>
      <c r="N68" s="116" t="s">
        <v>56</v>
      </c>
      <c r="O68" s="309"/>
      <c r="P68" s="309"/>
      <c r="Q68" s="81">
        <v>905</v>
      </c>
      <c r="R68" s="116"/>
      <c r="S68" s="116"/>
      <c r="T68" s="116">
        <v>0</v>
      </c>
      <c r="U68" s="116">
        <v>76430</v>
      </c>
      <c r="V68" s="118">
        <v>76430</v>
      </c>
      <c r="W68" s="116"/>
      <c r="X68" s="108">
        <v>366</v>
      </c>
      <c r="Y68" s="116"/>
      <c r="Z68" s="111">
        <v>0</v>
      </c>
      <c r="AA68" s="116"/>
      <c r="AB68" s="111">
        <v>75667</v>
      </c>
      <c r="AC68" s="309"/>
      <c r="AD68" s="111">
        <v>86251</v>
      </c>
      <c r="AE68" s="108"/>
      <c r="AF68" s="108">
        <v>255</v>
      </c>
      <c r="AG68" s="108"/>
      <c r="AH68" s="111">
        <v>0</v>
      </c>
      <c r="AI68" s="108"/>
      <c r="AJ68" s="111">
        <v>68534</v>
      </c>
      <c r="AK68" s="111"/>
      <c r="AL68" s="108">
        <v>351</v>
      </c>
      <c r="AM68" s="111"/>
      <c r="AN68" s="111">
        <v>0</v>
      </c>
      <c r="AO68" s="108"/>
      <c r="AP68" s="111">
        <v>67346</v>
      </c>
      <c r="AQ68" s="108"/>
      <c r="AR68" s="108">
        <v>320</v>
      </c>
      <c r="AS68" s="81" t="s">
        <v>216</v>
      </c>
      <c r="AT68" s="81"/>
      <c r="AU68" s="81"/>
      <c r="AV68" s="81"/>
    </row>
    <row r="69" spans="1:48" x14ac:dyDescent="0.2">
      <c r="A69" s="309" t="s">
        <v>51</v>
      </c>
      <c r="B69" s="309" t="s">
        <v>217</v>
      </c>
      <c r="C69" s="309"/>
      <c r="D69" s="116">
        <v>228</v>
      </c>
      <c r="E69" s="309"/>
      <c r="F69" s="117" t="s">
        <v>218</v>
      </c>
      <c r="G69" s="309"/>
      <c r="H69" s="117" t="s">
        <v>112</v>
      </c>
      <c r="I69" s="309"/>
      <c r="J69" s="318">
        <v>300</v>
      </c>
      <c r="K69" s="116"/>
      <c r="L69" s="117" t="s">
        <v>200</v>
      </c>
      <c r="M69" s="116"/>
      <c r="N69" s="116" t="s">
        <v>56</v>
      </c>
      <c r="O69" s="309"/>
      <c r="P69" s="112">
        <v>38899</v>
      </c>
      <c r="Q69" s="81">
        <v>905</v>
      </c>
      <c r="R69" s="116" t="s">
        <v>546</v>
      </c>
      <c r="S69" s="116"/>
      <c r="T69" s="116">
        <v>0</v>
      </c>
      <c r="U69" s="116"/>
      <c r="V69" s="118">
        <v>274340.53000000003</v>
      </c>
      <c r="W69" s="116"/>
      <c r="X69" s="108">
        <v>5014</v>
      </c>
      <c r="Y69" s="116"/>
      <c r="Z69" s="111">
        <v>0</v>
      </c>
      <c r="AA69" s="116"/>
      <c r="AB69" s="111">
        <v>242360</v>
      </c>
      <c r="AC69" s="309"/>
      <c r="AD69" s="111">
        <v>307898</v>
      </c>
      <c r="AE69" s="108"/>
      <c r="AF69" s="108">
        <v>6380</v>
      </c>
      <c r="AG69" s="108"/>
      <c r="AH69" s="111">
        <v>0</v>
      </c>
      <c r="AI69" s="108"/>
      <c r="AJ69" s="111">
        <v>305009</v>
      </c>
      <c r="AK69" s="111"/>
      <c r="AL69" s="108">
        <v>2014</v>
      </c>
      <c r="AM69" s="111"/>
      <c r="AN69" s="111">
        <v>0</v>
      </c>
      <c r="AO69" s="108"/>
      <c r="AP69" s="111">
        <v>315906</v>
      </c>
      <c r="AQ69" s="108"/>
      <c r="AR69" s="108">
        <v>2098</v>
      </c>
      <c r="AS69" s="81" t="s">
        <v>219</v>
      </c>
      <c r="AT69" s="81"/>
      <c r="AU69" s="81" t="s">
        <v>220</v>
      </c>
      <c r="AV69" s="81"/>
    </row>
    <row r="70" spans="1:48" x14ac:dyDescent="0.2">
      <c r="A70" s="309"/>
      <c r="B70" s="309"/>
      <c r="C70" s="309"/>
      <c r="D70" s="116">
        <v>228</v>
      </c>
      <c r="E70" s="309"/>
      <c r="F70" s="117" t="s">
        <v>221</v>
      </c>
      <c r="G70" s="309"/>
      <c r="H70" s="117" t="s">
        <v>112</v>
      </c>
      <c r="I70" s="309"/>
      <c r="J70" s="318">
        <v>18</v>
      </c>
      <c r="K70" s="116"/>
      <c r="L70" s="117" t="s">
        <v>222</v>
      </c>
      <c r="M70" s="116"/>
      <c r="N70" s="116" t="s">
        <v>56</v>
      </c>
      <c r="O70" s="309"/>
      <c r="P70" s="112">
        <v>39630</v>
      </c>
      <c r="Q70" s="81">
        <v>905</v>
      </c>
      <c r="R70" s="116">
        <v>50</v>
      </c>
      <c r="S70" s="116"/>
      <c r="T70" s="116">
        <v>0</v>
      </c>
      <c r="U70" s="116"/>
      <c r="V70" s="118">
        <v>68523.33</v>
      </c>
      <c r="W70" s="116"/>
      <c r="X70" s="108">
        <v>55</v>
      </c>
      <c r="Y70" s="116"/>
      <c r="Z70" s="111">
        <v>0</v>
      </c>
      <c r="AA70" s="116"/>
      <c r="AB70" s="111">
        <v>62321</v>
      </c>
      <c r="AC70" s="309"/>
      <c r="AD70" s="111">
        <v>49016.26</v>
      </c>
      <c r="AE70" s="108"/>
      <c r="AF70" s="108"/>
      <c r="AG70" s="108"/>
      <c r="AH70" s="111">
        <v>0</v>
      </c>
      <c r="AI70" s="108"/>
      <c r="AJ70" s="111">
        <v>35266</v>
      </c>
      <c r="AK70" s="111"/>
      <c r="AL70" s="108">
        <v>26</v>
      </c>
      <c r="AM70" s="111"/>
      <c r="AN70" s="111">
        <v>0</v>
      </c>
      <c r="AO70" s="108"/>
      <c r="AP70" s="111">
        <v>26194.3</v>
      </c>
      <c r="AQ70" s="108"/>
      <c r="AR70" s="108">
        <v>14</v>
      </c>
      <c r="AS70" s="81" t="s">
        <v>219</v>
      </c>
      <c r="AT70" s="81"/>
      <c r="AU70" s="81"/>
      <c r="AV70" s="81"/>
    </row>
    <row r="71" spans="1:48" x14ac:dyDescent="0.2">
      <c r="A71" s="309"/>
      <c r="B71" s="309"/>
      <c r="C71" s="309"/>
      <c r="D71" s="116">
        <v>228</v>
      </c>
      <c r="E71" s="309"/>
      <c r="F71" s="117" t="s">
        <v>223</v>
      </c>
      <c r="G71" s="309"/>
      <c r="H71" s="117" t="s">
        <v>112</v>
      </c>
      <c r="I71" s="309"/>
      <c r="J71" s="318">
        <v>15</v>
      </c>
      <c r="K71" s="116"/>
      <c r="L71" s="117" t="s">
        <v>222</v>
      </c>
      <c r="M71" s="116"/>
      <c r="N71" s="116" t="s">
        <v>56</v>
      </c>
      <c r="O71" s="309"/>
      <c r="P71" s="112">
        <v>39630</v>
      </c>
      <c r="Q71" s="81">
        <v>905</v>
      </c>
      <c r="R71" s="116">
        <v>374</v>
      </c>
      <c r="S71" s="116"/>
      <c r="T71" s="116">
        <v>0</v>
      </c>
      <c r="U71" s="116"/>
      <c r="V71" s="118">
        <v>287185.39</v>
      </c>
      <c r="W71" s="116"/>
      <c r="X71" s="108">
        <v>337</v>
      </c>
      <c r="Y71" s="116"/>
      <c r="Z71" s="111">
        <v>0</v>
      </c>
      <c r="AA71" s="116"/>
      <c r="AB71" s="111">
        <v>289675</v>
      </c>
      <c r="AC71" s="309"/>
      <c r="AD71" s="111">
        <v>329039</v>
      </c>
      <c r="AE71" s="108"/>
      <c r="AF71" s="108"/>
      <c r="AG71" s="108"/>
      <c r="AH71" s="111">
        <v>0</v>
      </c>
      <c r="AI71" s="108"/>
      <c r="AJ71" s="111">
        <v>391819</v>
      </c>
      <c r="AK71" s="111"/>
      <c r="AL71" s="108">
        <v>337</v>
      </c>
      <c r="AM71" s="111"/>
      <c r="AN71" s="111">
        <v>0</v>
      </c>
      <c r="AO71" s="108"/>
      <c r="AP71" s="111">
        <v>525750</v>
      </c>
      <c r="AQ71" s="108"/>
      <c r="AR71" s="108">
        <v>332</v>
      </c>
      <c r="AS71" s="81" t="s">
        <v>219</v>
      </c>
      <c r="AT71" s="81"/>
      <c r="AU71" s="81"/>
      <c r="AV71" s="81"/>
    </row>
    <row r="72" spans="1:48" x14ac:dyDescent="0.2">
      <c r="A72" s="309"/>
      <c r="B72" s="309"/>
      <c r="C72" s="309"/>
      <c r="D72" s="116">
        <v>228</v>
      </c>
      <c r="E72" s="309"/>
      <c r="F72" s="117" t="s">
        <v>224</v>
      </c>
      <c r="G72" s="309"/>
      <c r="H72" s="117" t="s">
        <v>112</v>
      </c>
      <c r="I72" s="309"/>
      <c r="J72" s="318">
        <v>8</v>
      </c>
      <c r="K72" s="116"/>
      <c r="L72" s="117" t="s">
        <v>222</v>
      </c>
      <c r="M72" s="116"/>
      <c r="N72" s="116" t="s">
        <v>56</v>
      </c>
      <c r="O72" s="309"/>
      <c r="P72" s="112">
        <v>39630</v>
      </c>
      <c r="Q72" s="81">
        <v>905</v>
      </c>
      <c r="R72" s="116">
        <v>17</v>
      </c>
      <c r="S72" s="116"/>
      <c r="T72" s="116">
        <v>0</v>
      </c>
      <c r="U72" s="116"/>
      <c r="V72" s="118">
        <v>17763.349999999999</v>
      </c>
      <c r="W72" s="116"/>
      <c r="X72" s="108">
        <v>52</v>
      </c>
      <c r="Y72" s="116"/>
      <c r="Z72" s="111">
        <v>0</v>
      </c>
      <c r="AA72" s="116"/>
      <c r="AB72" s="111">
        <v>16084</v>
      </c>
      <c r="AC72" s="309"/>
      <c r="AD72" s="111">
        <v>9796</v>
      </c>
      <c r="AE72" s="108"/>
      <c r="AF72" s="108"/>
      <c r="AG72" s="108"/>
      <c r="AH72" s="111">
        <v>0</v>
      </c>
      <c r="AI72" s="108"/>
      <c r="AJ72" s="111">
        <v>24417</v>
      </c>
      <c r="AK72" s="111"/>
      <c r="AL72" s="108">
        <v>11</v>
      </c>
      <c r="AM72" s="111"/>
      <c r="AN72" s="111">
        <v>0</v>
      </c>
      <c r="AO72" s="108"/>
      <c r="AP72" s="111">
        <v>566</v>
      </c>
      <c r="AQ72" s="108"/>
      <c r="AR72" s="108">
        <v>6</v>
      </c>
      <c r="AS72" s="81" t="s">
        <v>219</v>
      </c>
      <c r="AT72" s="81"/>
      <c r="AU72" s="81"/>
      <c r="AV72" s="81"/>
    </row>
    <row r="73" spans="1:48" x14ac:dyDescent="0.2">
      <c r="A73" s="309"/>
      <c r="B73" s="309"/>
      <c r="C73" s="309"/>
      <c r="D73" s="116">
        <v>228</v>
      </c>
      <c r="E73" s="309"/>
      <c r="F73" s="117" t="s">
        <v>181</v>
      </c>
      <c r="G73" s="309"/>
      <c r="H73" s="117" t="s">
        <v>112</v>
      </c>
      <c r="I73" s="309"/>
      <c r="J73" s="318">
        <v>25</v>
      </c>
      <c r="K73" s="116"/>
      <c r="L73" s="117" t="s">
        <v>225</v>
      </c>
      <c r="M73" s="116"/>
      <c r="N73" s="116" t="s">
        <v>56</v>
      </c>
      <c r="O73" s="309"/>
      <c r="P73" s="309"/>
      <c r="Q73" s="81">
        <v>905</v>
      </c>
      <c r="R73" s="116">
        <v>21</v>
      </c>
      <c r="S73" s="116"/>
      <c r="T73" s="116">
        <v>0</v>
      </c>
      <c r="U73" s="116"/>
      <c r="V73" s="118">
        <v>2045</v>
      </c>
      <c r="W73" s="116"/>
      <c r="X73" s="108">
        <v>27</v>
      </c>
      <c r="Y73" s="116"/>
      <c r="Z73" s="111">
        <v>0</v>
      </c>
      <c r="AA73" s="116"/>
      <c r="AB73" s="111">
        <v>2640</v>
      </c>
      <c r="AC73" s="309"/>
      <c r="AD73" s="111">
        <v>3542</v>
      </c>
      <c r="AE73" s="108"/>
      <c r="AF73" s="108">
        <v>20</v>
      </c>
      <c r="AG73" s="108"/>
      <c r="AH73" s="111">
        <v>0</v>
      </c>
      <c r="AI73" s="108"/>
      <c r="AJ73" s="111">
        <v>2908</v>
      </c>
      <c r="AK73" s="111"/>
      <c r="AL73" s="108">
        <v>23</v>
      </c>
      <c r="AM73" s="111"/>
      <c r="AN73" s="111">
        <v>0</v>
      </c>
      <c r="AO73" s="108"/>
      <c r="AP73" s="111">
        <v>2153</v>
      </c>
      <c r="AQ73" s="108"/>
      <c r="AR73" s="108">
        <v>36</v>
      </c>
      <c r="AS73" s="81" t="s">
        <v>219</v>
      </c>
      <c r="AT73" s="81"/>
      <c r="AU73" s="81"/>
      <c r="AV73" s="81"/>
    </row>
    <row r="74" spans="1:48" x14ac:dyDescent="0.2">
      <c r="A74" s="309"/>
      <c r="B74" s="309"/>
      <c r="C74" s="309"/>
      <c r="D74" s="116">
        <v>228</v>
      </c>
      <c r="E74" s="309"/>
      <c r="F74" s="117" t="s">
        <v>226</v>
      </c>
      <c r="G74" s="309"/>
      <c r="H74" s="117" t="s">
        <v>112</v>
      </c>
      <c r="I74" s="309"/>
      <c r="J74" s="318">
        <v>55</v>
      </c>
      <c r="K74" s="116"/>
      <c r="L74" s="117" t="s">
        <v>225</v>
      </c>
      <c r="M74" s="116"/>
      <c r="N74" s="116" t="s">
        <v>56</v>
      </c>
      <c r="O74" s="309"/>
      <c r="P74" s="309"/>
      <c r="Q74" s="81">
        <v>905</v>
      </c>
      <c r="R74" s="116">
        <v>34</v>
      </c>
      <c r="S74" s="116"/>
      <c r="T74" s="116">
        <v>0</v>
      </c>
      <c r="U74" s="116"/>
      <c r="V74" s="118">
        <v>3255</v>
      </c>
      <c r="W74" s="116"/>
      <c r="X74" s="108">
        <v>142</v>
      </c>
      <c r="Y74" s="116"/>
      <c r="Z74" s="111">
        <v>0</v>
      </c>
      <c r="AA74" s="116"/>
      <c r="AB74" s="111">
        <v>5275</v>
      </c>
      <c r="AC74" s="309"/>
      <c r="AD74" s="111">
        <v>5008</v>
      </c>
      <c r="AE74" s="108"/>
      <c r="AF74" s="108">
        <v>51</v>
      </c>
      <c r="AG74" s="108"/>
      <c r="AH74" s="111">
        <v>0</v>
      </c>
      <c r="AI74" s="108"/>
      <c r="AJ74" s="111">
        <v>3820</v>
      </c>
      <c r="AK74" s="111"/>
      <c r="AL74" s="108">
        <v>38</v>
      </c>
      <c r="AM74" s="111"/>
      <c r="AN74" s="111">
        <v>0</v>
      </c>
      <c r="AO74" s="108"/>
      <c r="AP74" s="111">
        <v>2238</v>
      </c>
      <c r="AQ74" s="108"/>
      <c r="AR74" s="108">
        <v>27</v>
      </c>
      <c r="AS74" s="81" t="s">
        <v>219</v>
      </c>
      <c r="AT74" s="81"/>
      <c r="AU74" s="81"/>
      <c r="AV74" s="81"/>
    </row>
    <row r="75" spans="1:48" x14ac:dyDescent="0.2">
      <c r="A75" s="309"/>
      <c r="B75" s="309"/>
      <c r="C75" s="309"/>
      <c r="D75" s="116">
        <v>228</v>
      </c>
      <c r="E75" s="309"/>
      <c r="F75" s="117" t="s">
        <v>227</v>
      </c>
      <c r="G75" s="309"/>
      <c r="H75" s="117" t="s">
        <v>112</v>
      </c>
      <c r="I75" s="309"/>
      <c r="J75" s="318">
        <v>1250</v>
      </c>
      <c r="K75" s="116"/>
      <c r="L75" s="117" t="s">
        <v>228</v>
      </c>
      <c r="M75" s="116"/>
      <c r="N75" s="116" t="s">
        <v>56</v>
      </c>
      <c r="O75" s="309"/>
      <c r="P75" s="309"/>
      <c r="Q75" s="81">
        <v>905</v>
      </c>
      <c r="R75" s="116" t="s">
        <v>229</v>
      </c>
      <c r="S75" s="116"/>
      <c r="T75" s="116">
        <v>0</v>
      </c>
      <c r="U75" s="116"/>
      <c r="V75" s="118">
        <v>33020.5</v>
      </c>
      <c r="W75" s="116"/>
      <c r="X75" s="108">
        <v>846</v>
      </c>
      <c r="Y75" s="116"/>
      <c r="Z75" s="111">
        <v>0</v>
      </c>
      <c r="AA75" s="116"/>
      <c r="AB75" s="111">
        <v>46142</v>
      </c>
      <c r="AC75" s="309"/>
      <c r="AD75" s="111">
        <v>49525</v>
      </c>
      <c r="AE75" s="108"/>
      <c r="AF75" s="108" t="s">
        <v>741</v>
      </c>
      <c r="AG75" s="108"/>
      <c r="AH75" s="111">
        <v>0</v>
      </c>
      <c r="AI75" s="108"/>
      <c r="AJ75" s="111">
        <v>55513</v>
      </c>
      <c r="AK75" s="111"/>
      <c r="AL75" s="108">
        <v>146</v>
      </c>
      <c r="AM75" s="111"/>
      <c r="AN75" s="111">
        <v>0</v>
      </c>
      <c r="AO75" s="108"/>
      <c r="AP75" s="111">
        <v>49984</v>
      </c>
      <c r="AQ75" s="108">
        <v>0</v>
      </c>
      <c r="AR75" s="108">
        <v>160</v>
      </c>
      <c r="AS75" s="81" t="s">
        <v>219</v>
      </c>
      <c r="AT75" s="81"/>
      <c r="AU75" s="81"/>
      <c r="AV75" s="81"/>
    </row>
    <row r="76" spans="1:48" x14ac:dyDescent="0.2">
      <c r="A76" s="309"/>
      <c r="B76" s="309"/>
      <c r="C76" s="309"/>
      <c r="D76" s="116">
        <v>228</v>
      </c>
      <c r="E76" s="309"/>
      <c r="F76" s="117" t="s">
        <v>230</v>
      </c>
      <c r="G76" s="309"/>
      <c r="H76" s="117" t="s">
        <v>112</v>
      </c>
      <c r="I76" s="309"/>
      <c r="J76" s="318">
        <v>340</v>
      </c>
      <c r="K76" s="116"/>
      <c r="L76" s="117" t="s">
        <v>231</v>
      </c>
      <c r="M76" s="116"/>
      <c r="N76" s="116" t="s">
        <v>56</v>
      </c>
      <c r="O76" s="309"/>
      <c r="P76" s="309"/>
      <c r="Q76" s="81">
        <v>905</v>
      </c>
      <c r="R76" s="116" t="s">
        <v>232</v>
      </c>
      <c r="S76" s="116"/>
      <c r="T76" s="116">
        <v>0</v>
      </c>
      <c r="U76" s="116"/>
      <c r="V76" s="118">
        <v>60225.86</v>
      </c>
      <c r="W76" s="116"/>
      <c r="X76" s="108">
        <v>1665</v>
      </c>
      <c r="Y76" s="116"/>
      <c r="Z76" s="111">
        <v>0</v>
      </c>
      <c r="AA76" s="116"/>
      <c r="AB76" s="111">
        <v>56728</v>
      </c>
      <c r="AC76" s="309"/>
      <c r="AD76" s="111">
        <v>45340</v>
      </c>
      <c r="AE76" s="108"/>
      <c r="AF76" s="108" t="s">
        <v>742</v>
      </c>
      <c r="AG76" s="108"/>
      <c r="AH76" s="111">
        <v>0</v>
      </c>
      <c r="AI76" s="108"/>
      <c r="AJ76" s="111">
        <v>10582</v>
      </c>
      <c r="AK76" s="111"/>
      <c r="AL76" s="108">
        <v>58</v>
      </c>
      <c r="AM76" s="111"/>
      <c r="AN76" s="111">
        <v>0</v>
      </c>
      <c r="AO76" s="108"/>
      <c r="AP76" s="111">
        <v>3721</v>
      </c>
      <c r="AQ76" s="108"/>
      <c r="AR76" s="108">
        <v>22</v>
      </c>
      <c r="AS76" s="81" t="s">
        <v>219</v>
      </c>
      <c r="AT76" s="81"/>
      <c r="AU76" s="81"/>
      <c r="AV76" s="81"/>
    </row>
    <row r="77" spans="1:48" x14ac:dyDescent="0.2">
      <c r="A77" s="309"/>
      <c r="B77" s="309"/>
      <c r="C77" s="309"/>
      <c r="D77" s="116">
        <v>228</v>
      </c>
      <c r="E77" s="309"/>
      <c r="F77" s="117" t="s">
        <v>233</v>
      </c>
      <c r="G77" s="309"/>
      <c r="H77" s="117" t="s">
        <v>112</v>
      </c>
      <c r="I77" s="309"/>
      <c r="J77" s="318">
        <v>500</v>
      </c>
      <c r="K77" s="116"/>
      <c r="L77" s="117" t="s">
        <v>234</v>
      </c>
      <c r="M77" s="116"/>
      <c r="N77" s="116" t="s">
        <v>56</v>
      </c>
      <c r="O77" s="309"/>
      <c r="P77" s="309"/>
      <c r="Q77" s="81">
        <v>905</v>
      </c>
      <c r="R77" s="116" t="s">
        <v>235</v>
      </c>
      <c r="S77" s="116"/>
      <c r="T77" s="116">
        <v>0</v>
      </c>
      <c r="U77" s="116"/>
      <c r="V77" s="118">
        <v>21384</v>
      </c>
      <c r="W77" s="116"/>
      <c r="X77" s="108">
        <v>596</v>
      </c>
      <c r="Y77" s="116"/>
      <c r="Z77" s="111">
        <v>0</v>
      </c>
      <c r="AA77" s="116"/>
      <c r="AB77" s="111">
        <v>19275</v>
      </c>
      <c r="AC77" s="309"/>
      <c r="AD77" s="111">
        <v>25957</v>
      </c>
      <c r="AE77" s="108"/>
      <c r="AF77" s="108" t="s">
        <v>743</v>
      </c>
      <c r="AG77" s="108"/>
      <c r="AH77" s="111">
        <v>0</v>
      </c>
      <c r="AI77" s="108"/>
      <c r="AJ77" s="111">
        <v>46463</v>
      </c>
      <c r="AK77" s="111"/>
      <c r="AL77" s="108">
        <v>206</v>
      </c>
      <c r="AM77" s="111"/>
      <c r="AN77" s="111">
        <v>0</v>
      </c>
      <c r="AO77" s="108"/>
      <c r="AP77" s="111">
        <v>56788</v>
      </c>
      <c r="AQ77" s="108"/>
      <c r="AR77" s="108">
        <v>258</v>
      </c>
      <c r="AS77" s="81" t="s">
        <v>219</v>
      </c>
      <c r="AT77" s="81"/>
      <c r="AU77" s="81"/>
      <c r="AV77" s="81"/>
    </row>
    <row r="78" spans="1:48" x14ac:dyDescent="0.2">
      <c r="A78" s="309"/>
      <c r="B78" s="309"/>
      <c r="C78" s="309"/>
      <c r="D78" s="116">
        <v>228</v>
      </c>
      <c r="E78" s="309"/>
      <c r="F78" s="117" t="s">
        <v>236</v>
      </c>
      <c r="G78" s="309"/>
      <c r="H78" s="117" t="s">
        <v>112</v>
      </c>
      <c r="I78" s="309"/>
      <c r="J78" s="318">
        <v>340</v>
      </c>
      <c r="K78" s="116"/>
      <c r="L78" s="117" t="s">
        <v>231</v>
      </c>
      <c r="M78" s="116"/>
      <c r="N78" s="116" t="s">
        <v>56</v>
      </c>
      <c r="O78" s="309"/>
      <c r="P78" s="309"/>
      <c r="Q78" s="81">
        <v>905</v>
      </c>
      <c r="R78" s="116" t="s">
        <v>237</v>
      </c>
      <c r="S78" s="116"/>
      <c r="T78" s="116">
        <v>0</v>
      </c>
      <c r="U78" s="116"/>
      <c r="V78" s="118">
        <v>13359</v>
      </c>
      <c r="W78" s="116"/>
      <c r="X78" s="108">
        <v>435</v>
      </c>
      <c r="Y78" s="116"/>
      <c r="Z78" s="111">
        <v>0</v>
      </c>
      <c r="AA78" s="116"/>
      <c r="AB78" s="111">
        <v>11414</v>
      </c>
      <c r="AC78" s="309"/>
      <c r="AD78" s="111">
        <v>6355</v>
      </c>
      <c r="AE78" s="108"/>
      <c r="AF78" s="108" t="s">
        <v>744</v>
      </c>
      <c r="AG78" s="108"/>
      <c r="AH78" s="111">
        <v>0</v>
      </c>
      <c r="AI78" s="108"/>
      <c r="AJ78" s="111">
        <v>9499</v>
      </c>
      <c r="AK78" s="111"/>
      <c r="AL78" s="108">
        <v>42</v>
      </c>
      <c r="AM78" s="111"/>
      <c r="AN78" s="111">
        <v>0</v>
      </c>
      <c r="AO78" s="108"/>
      <c r="AP78" s="111">
        <v>7339</v>
      </c>
      <c r="AQ78" s="108"/>
      <c r="AR78" s="108">
        <v>31</v>
      </c>
      <c r="AS78" s="81" t="s">
        <v>219</v>
      </c>
      <c r="AT78" s="81"/>
      <c r="AU78" s="81"/>
      <c r="AV78" s="81"/>
    </row>
    <row r="79" spans="1:48" x14ac:dyDescent="0.2">
      <c r="A79" s="309"/>
      <c r="B79" s="309"/>
      <c r="C79" s="309"/>
      <c r="D79" s="116">
        <v>228</v>
      </c>
      <c r="E79" s="309"/>
      <c r="F79" s="117" t="s">
        <v>238</v>
      </c>
      <c r="G79" s="309"/>
      <c r="H79" s="117" t="s">
        <v>112</v>
      </c>
      <c r="I79" s="309"/>
      <c r="J79" s="318">
        <v>160</v>
      </c>
      <c r="K79" s="116"/>
      <c r="L79" s="117" t="s">
        <v>231</v>
      </c>
      <c r="M79" s="116"/>
      <c r="N79" s="116" t="s">
        <v>56</v>
      </c>
      <c r="O79" s="309"/>
      <c r="P79" s="309"/>
      <c r="Q79" s="81">
        <v>905</v>
      </c>
      <c r="R79" s="116" t="s">
        <v>239</v>
      </c>
      <c r="S79" s="116"/>
      <c r="T79" s="116">
        <v>0</v>
      </c>
      <c r="U79" s="116"/>
      <c r="V79" s="118">
        <v>2523</v>
      </c>
      <c r="W79" s="116"/>
      <c r="X79" s="108">
        <v>14</v>
      </c>
      <c r="Y79" s="116"/>
      <c r="Z79" s="111">
        <v>0</v>
      </c>
      <c r="AA79" s="116"/>
      <c r="AB79" s="111">
        <v>1830</v>
      </c>
      <c r="AC79" s="309"/>
      <c r="AD79" s="111">
        <v>580</v>
      </c>
      <c r="AE79" s="108"/>
      <c r="AF79" s="108" t="s">
        <v>745</v>
      </c>
      <c r="AG79" s="108"/>
      <c r="AH79" s="111">
        <v>0</v>
      </c>
      <c r="AI79" s="108"/>
      <c r="AJ79" s="111">
        <v>0</v>
      </c>
      <c r="AK79" s="111"/>
      <c r="AL79" s="108">
        <v>0</v>
      </c>
      <c r="AM79" s="111"/>
      <c r="AN79" s="111">
        <v>0</v>
      </c>
      <c r="AO79" s="108"/>
      <c r="AP79" s="111">
        <v>0</v>
      </c>
      <c r="AQ79" s="108"/>
      <c r="AR79" s="108">
        <v>0</v>
      </c>
      <c r="AS79" s="81" t="s">
        <v>219</v>
      </c>
      <c r="AT79" s="81"/>
      <c r="AU79" s="81"/>
      <c r="AV79" s="81"/>
    </row>
    <row r="80" spans="1:48" x14ac:dyDescent="0.2">
      <c r="A80" s="309"/>
      <c r="B80" s="309"/>
      <c r="C80" s="309"/>
      <c r="D80" s="116">
        <v>228</v>
      </c>
      <c r="E80" s="309"/>
      <c r="F80" s="117" t="s">
        <v>240</v>
      </c>
      <c r="G80" s="309"/>
      <c r="H80" s="117" t="s">
        <v>112</v>
      </c>
      <c r="I80" s="309"/>
      <c r="J80" s="318">
        <v>1.25</v>
      </c>
      <c r="K80" s="116"/>
      <c r="L80" s="117" t="s">
        <v>241</v>
      </c>
      <c r="M80" s="116"/>
      <c r="N80" s="116" t="s">
        <v>56</v>
      </c>
      <c r="O80" s="309"/>
      <c r="P80" s="309"/>
      <c r="Q80" s="81">
        <v>905</v>
      </c>
      <c r="R80" s="116" t="s">
        <v>242</v>
      </c>
      <c r="S80" s="116"/>
      <c r="T80" s="116">
        <v>0</v>
      </c>
      <c r="U80" s="116"/>
      <c r="V80" s="118">
        <v>8773.26</v>
      </c>
      <c r="W80" s="116"/>
      <c r="X80" s="108">
        <v>271</v>
      </c>
      <c r="Y80" s="116"/>
      <c r="Z80" s="111">
        <v>0</v>
      </c>
      <c r="AA80" s="116"/>
      <c r="AB80" s="111">
        <v>5393</v>
      </c>
      <c r="AC80" s="309"/>
      <c r="AD80" s="111">
        <v>9966.9</v>
      </c>
      <c r="AE80" s="108"/>
      <c r="AF80" s="108" t="s">
        <v>746</v>
      </c>
      <c r="AG80" s="108"/>
      <c r="AH80" s="111">
        <v>0</v>
      </c>
      <c r="AI80" s="108"/>
      <c r="AJ80" s="111">
        <v>5468.23</v>
      </c>
      <c r="AK80" s="111"/>
      <c r="AL80" s="108" t="s">
        <v>741</v>
      </c>
      <c r="AM80" s="111"/>
      <c r="AN80" s="111">
        <v>0</v>
      </c>
      <c r="AO80" s="108"/>
      <c r="AP80" s="111">
        <v>4639.4799999999996</v>
      </c>
      <c r="AQ80" s="108"/>
      <c r="AR80" s="108" t="s">
        <v>810</v>
      </c>
      <c r="AS80" s="81" t="s">
        <v>219</v>
      </c>
      <c r="AT80" s="81"/>
      <c r="AU80" s="81"/>
      <c r="AV80" s="81"/>
    </row>
    <row r="81" spans="1:48" x14ac:dyDescent="0.2">
      <c r="A81" s="309"/>
      <c r="B81" s="309"/>
      <c r="C81" s="309"/>
      <c r="D81" s="116">
        <v>228</v>
      </c>
      <c r="E81" s="309"/>
      <c r="F81" s="117" t="s">
        <v>243</v>
      </c>
      <c r="G81" s="309"/>
      <c r="H81" s="117" t="s">
        <v>112</v>
      </c>
      <c r="I81" s="309"/>
      <c r="J81" s="318">
        <v>40</v>
      </c>
      <c r="K81" s="116"/>
      <c r="L81" s="117" t="s">
        <v>244</v>
      </c>
      <c r="M81" s="116"/>
      <c r="N81" s="116" t="s">
        <v>56</v>
      </c>
      <c r="O81" s="309"/>
      <c r="P81" s="309"/>
      <c r="Q81" s="81">
        <v>905</v>
      </c>
      <c r="R81" s="116" t="s">
        <v>245</v>
      </c>
      <c r="S81" s="116"/>
      <c r="T81" s="116">
        <v>0</v>
      </c>
      <c r="U81" s="116"/>
      <c r="V81" s="118">
        <v>7616.3</v>
      </c>
      <c r="W81" s="116"/>
      <c r="X81" s="108">
        <v>417</v>
      </c>
      <c r="Y81" s="116"/>
      <c r="Z81" s="111">
        <v>0</v>
      </c>
      <c r="AA81" s="116"/>
      <c r="AB81" s="111">
        <v>7215</v>
      </c>
      <c r="AC81" s="309"/>
      <c r="AD81" s="111">
        <v>11818</v>
      </c>
      <c r="AE81" s="108"/>
      <c r="AF81" s="108" t="s">
        <v>747</v>
      </c>
      <c r="AG81" s="108"/>
      <c r="AH81" s="111">
        <v>0</v>
      </c>
      <c r="AI81" s="108"/>
      <c r="AJ81" s="111">
        <v>15285</v>
      </c>
      <c r="AK81" s="111"/>
      <c r="AL81" s="108" t="s">
        <v>811</v>
      </c>
      <c r="AM81" s="111"/>
      <c r="AN81" s="111">
        <v>0</v>
      </c>
      <c r="AO81" s="108"/>
      <c r="AP81" s="111">
        <v>18902</v>
      </c>
      <c r="AQ81" s="108"/>
      <c r="AR81" s="108" t="s">
        <v>812</v>
      </c>
      <c r="AS81" s="81" t="s">
        <v>219</v>
      </c>
      <c r="AT81" s="81"/>
      <c r="AU81" s="81"/>
      <c r="AV81" s="81"/>
    </row>
    <row r="82" spans="1:48" ht="20.399999999999999" x14ac:dyDescent="0.2">
      <c r="A82" s="309"/>
      <c r="B82" s="309" t="s">
        <v>246</v>
      </c>
      <c r="C82" s="309"/>
      <c r="D82" s="116">
        <v>238</v>
      </c>
      <c r="E82" s="309"/>
      <c r="F82" s="117" t="s">
        <v>247</v>
      </c>
      <c r="G82" s="309"/>
      <c r="H82" s="117" t="s">
        <v>54</v>
      </c>
      <c r="I82" s="309"/>
      <c r="J82" s="318">
        <v>100</v>
      </c>
      <c r="K82" s="116"/>
      <c r="L82" s="117" t="s">
        <v>42</v>
      </c>
      <c r="M82" s="116"/>
      <c r="N82" s="116" t="s">
        <v>249</v>
      </c>
      <c r="O82" s="309"/>
      <c r="P82" s="309">
        <v>2004</v>
      </c>
      <c r="Q82" s="81" t="s">
        <v>250</v>
      </c>
      <c r="R82" s="116" t="s">
        <v>248</v>
      </c>
      <c r="S82" s="116"/>
      <c r="T82" s="116">
        <v>0</v>
      </c>
      <c r="U82" s="116"/>
      <c r="V82" s="118">
        <v>56440</v>
      </c>
      <c r="W82" s="116"/>
      <c r="X82" s="108"/>
      <c r="Y82" s="116"/>
      <c r="Z82" s="111">
        <v>0</v>
      </c>
      <c r="AA82" s="116"/>
      <c r="AB82" s="111">
        <v>51900</v>
      </c>
      <c r="AC82" s="309"/>
      <c r="AD82" s="111">
        <v>66700</v>
      </c>
      <c r="AE82" s="108"/>
      <c r="AF82" s="108">
        <v>667</v>
      </c>
      <c r="AG82" s="108"/>
      <c r="AH82" s="111">
        <v>0</v>
      </c>
      <c r="AI82" s="108"/>
      <c r="AJ82" s="111">
        <v>71600</v>
      </c>
      <c r="AK82" s="111"/>
      <c r="AL82" s="108">
        <v>716</v>
      </c>
      <c r="AM82" s="111"/>
      <c r="AN82" s="111">
        <v>0</v>
      </c>
      <c r="AO82" s="108"/>
      <c r="AP82" s="111">
        <v>65800</v>
      </c>
      <c r="AQ82" s="108"/>
      <c r="AR82" s="108">
        <v>658</v>
      </c>
      <c r="AS82" s="81" t="s">
        <v>251</v>
      </c>
      <c r="AT82" s="81"/>
      <c r="AU82" s="81"/>
      <c r="AV82" s="81"/>
    </row>
    <row r="83" spans="1:48" ht="30.6" x14ac:dyDescent="0.2">
      <c r="A83" s="309"/>
      <c r="B83" s="309" t="s">
        <v>252</v>
      </c>
      <c r="C83" s="309"/>
      <c r="D83" s="116">
        <v>242</v>
      </c>
      <c r="E83" s="309"/>
      <c r="F83" s="117" t="s">
        <v>253</v>
      </c>
      <c r="G83" s="309"/>
      <c r="H83" s="117" t="s">
        <v>54</v>
      </c>
      <c r="I83" s="309"/>
      <c r="J83" s="318" t="s">
        <v>254</v>
      </c>
      <c r="K83" s="116"/>
      <c r="L83" s="117"/>
      <c r="M83" s="116"/>
      <c r="N83" s="116" t="s">
        <v>56</v>
      </c>
      <c r="O83" s="309"/>
      <c r="P83" s="309"/>
      <c r="Q83" s="81">
        <v>904.10799999999995</v>
      </c>
      <c r="R83" s="119">
        <v>1060</v>
      </c>
      <c r="S83" s="116"/>
      <c r="T83" s="116">
        <v>0</v>
      </c>
      <c r="U83" s="116"/>
      <c r="V83" s="118">
        <v>45404</v>
      </c>
      <c r="W83" s="116"/>
      <c r="X83" s="108">
        <v>971</v>
      </c>
      <c r="Y83" s="116"/>
      <c r="Z83" s="111">
        <v>0</v>
      </c>
      <c r="AA83" s="116"/>
      <c r="AB83" s="111">
        <v>44976</v>
      </c>
      <c r="AC83" s="309"/>
      <c r="AD83" s="111">
        <v>45920.71</v>
      </c>
      <c r="AE83" s="108"/>
      <c r="AF83" s="108">
        <v>962</v>
      </c>
      <c r="AG83" s="108"/>
      <c r="AH83" s="111">
        <v>0</v>
      </c>
      <c r="AI83" s="108"/>
      <c r="AJ83" s="111">
        <v>41135</v>
      </c>
      <c r="AK83" s="111"/>
      <c r="AL83" s="108">
        <v>1905</v>
      </c>
      <c r="AM83" s="111"/>
      <c r="AN83" s="111">
        <v>0</v>
      </c>
      <c r="AO83" s="108"/>
      <c r="AP83" s="111">
        <v>38755</v>
      </c>
      <c r="AQ83" s="108"/>
      <c r="AR83" s="108">
        <v>1594</v>
      </c>
      <c r="AS83" s="81" t="s">
        <v>713</v>
      </c>
      <c r="AT83" s="81"/>
      <c r="AU83" s="81" t="s">
        <v>255</v>
      </c>
      <c r="AV83" s="81"/>
    </row>
    <row r="84" spans="1:48" x14ac:dyDescent="0.2">
      <c r="A84" s="309"/>
      <c r="B84" s="309"/>
      <c r="C84" s="309"/>
      <c r="D84" s="116">
        <v>242</v>
      </c>
      <c r="E84" s="309"/>
      <c r="F84" s="117" t="s">
        <v>256</v>
      </c>
      <c r="G84" s="309"/>
      <c r="H84" s="117" t="s">
        <v>257</v>
      </c>
      <c r="I84" s="309"/>
      <c r="J84" s="318">
        <v>400</v>
      </c>
      <c r="K84" s="116"/>
      <c r="L84" s="117" t="s">
        <v>258</v>
      </c>
      <c r="M84" s="116"/>
      <c r="N84" s="116" t="s">
        <v>56</v>
      </c>
      <c r="O84" s="309"/>
      <c r="P84" s="309">
        <v>2010</v>
      </c>
      <c r="Q84" s="81">
        <v>904</v>
      </c>
      <c r="R84" s="116">
        <v>1</v>
      </c>
      <c r="S84" s="116"/>
      <c r="T84" s="116">
        <v>0</v>
      </c>
      <c r="U84" s="116"/>
      <c r="V84" s="118">
        <v>4800</v>
      </c>
      <c r="W84" s="116"/>
      <c r="X84" s="108">
        <v>1</v>
      </c>
      <c r="Y84" s="116"/>
      <c r="Z84" s="111">
        <v>0</v>
      </c>
      <c r="AA84" s="116"/>
      <c r="AB84" s="111">
        <v>5521</v>
      </c>
      <c r="AC84" s="309"/>
      <c r="AD84" s="111">
        <v>6000</v>
      </c>
      <c r="AE84" s="108"/>
      <c r="AF84" s="108">
        <v>1</v>
      </c>
      <c r="AG84" s="108"/>
      <c r="AH84" s="111">
        <v>0</v>
      </c>
      <c r="AI84" s="108"/>
      <c r="AJ84" s="111">
        <v>6000</v>
      </c>
      <c r="AK84" s="111"/>
      <c r="AL84" s="108">
        <v>1</v>
      </c>
      <c r="AM84" s="111"/>
      <c r="AN84" s="111">
        <v>0</v>
      </c>
      <c r="AO84" s="108"/>
      <c r="AP84" s="111">
        <v>4985</v>
      </c>
      <c r="AQ84" s="108"/>
      <c r="AR84" s="108">
        <v>1</v>
      </c>
      <c r="AS84" s="81" t="s">
        <v>816</v>
      </c>
      <c r="AT84" s="81"/>
      <c r="AU84" s="81" t="s">
        <v>259</v>
      </c>
      <c r="AV84" s="81"/>
    </row>
    <row r="85" spans="1:48" x14ac:dyDescent="0.2">
      <c r="A85" s="309"/>
      <c r="B85" s="309"/>
      <c r="C85" s="309"/>
      <c r="D85" s="116">
        <v>242</v>
      </c>
      <c r="E85" s="309"/>
      <c r="F85" s="117" t="s">
        <v>137</v>
      </c>
      <c r="G85" s="309"/>
      <c r="H85" s="117" t="s">
        <v>260</v>
      </c>
      <c r="I85" s="309"/>
      <c r="J85" s="318">
        <v>8500</v>
      </c>
      <c r="K85" s="116"/>
      <c r="L85" s="117" t="s">
        <v>258</v>
      </c>
      <c r="M85" s="116"/>
      <c r="N85" s="116" t="s">
        <v>56</v>
      </c>
      <c r="O85" s="309"/>
      <c r="P85" s="309">
        <v>2010</v>
      </c>
      <c r="Q85" s="81" t="s">
        <v>84</v>
      </c>
      <c r="R85" s="116">
        <v>2</v>
      </c>
      <c r="S85" s="116"/>
      <c r="T85" s="116">
        <v>0</v>
      </c>
      <c r="U85" s="116"/>
      <c r="V85" s="118">
        <v>106790.51</v>
      </c>
      <c r="W85" s="116"/>
      <c r="X85" s="108">
        <v>2</v>
      </c>
      <c r="Y85" s="116"/>
      <c r="Z85" s="111">
        <v>0</v>
      </c>
      <c r="AA85" s="116"/>
      <c r="AB85" s="111">
        <v>113837</v>
      </c>
      <c r="AC85" s="309"/>
      <c r="AD85" s="111">
        <v>142944</v>
      </c>
      <c r="AE85" s="108"/>
      <c r="AF85" s="108">
        <v>47648</v>
      </c>
      <c r="AG85" s="108"/>
      <c r="AH85" s="111">
        <v>0</v>
      </c>
      <c r="AI85" s="108"/>
      <c r="AJ85" s="111">
        <v>152699</v>
      </c>
      <c r="AK85" s="111"/>
      <c r="AL85" s="108">
        <v>53478</v>
      </c>
      <c r="AM85" s="111"/>
      <c r="AN85" s="111">
        <v>0</v>
      </c>
      <c r="AO85" s="108"/>
      <c r="AP85" s="111">
        <v>132699</v>
      </c>
      <c r="AQ85" s="108"/>
      <c r="AR85" s="108">
        <v>46717</v>
      </c>
      <c r="AS85" s="81" t="s">
        <v>816</v>
      </c>
      <c r="AT85" s="81"/>
      <c r="AU85" s="81" t="s">
        <v>261</v>
      </c>
      <c r="AV85" s="81"/>
    </row>
    <row r="86" spans="1:48" x14ac:dyDescent="0.2">
      <c r="A86" s="309"/>
      <c r="B86" s="309"/>
      <c r="C86" s="309"/>
      <c r="D86" s="116">
        <v>242</v>
      </c>
      <c r="E86" s="309"/>
      <c r="F86" s="117" t="s">
        <v>262</v>
      </c>
      <c r="G86" s="309"/>
      <c r="H86" s="117" t="s">
        <v>263</v>
      </c>
      <c r="I86" s="309"/>
      <c r="J86" s="318">
        <v>2</v>
      </c>
      <c r="K86" s="116"/>
      <c r="L86" s="117" t="s">
        <v>264</v>
      </c>
      <c r="M86" s="116"/>
      <c r="N86" s="116" t="s">
        <v>56</v>
      </c>
      <c r="O86" s="309"/>
      <c r="P86" s="309">
        <v>2010</v>
      </c>
      <c r="Q86" s="81">
        <v>904</v>
      </c>
      <c r="R86" s="116">
        <v>595</v>
      </c>
      <c r="S86" s="116"/>
      <c r="T86" s="116">
        <v>0</v>
      </c>
      <c r="U86" s="116"/>
      <c r="V86" s="118">
        <v>1190</v>
      </c>
      <c r="W86" s="116"/>
      <c r="X86" s="108">
        <v>295</v>
      </c>
      <c r="Y86" s="116"/>
      <c r="Z86" s="111">
        <v>0</v>
      </c>
      <c r="AA86" s="116"/>
      <c r="AB86" s="111">
        <v>590</v>
      </c>
      <c r="AC86" s="309"/>
      <c r="AD86" s="111">
        <v>882</v>
      </c>
      <c r="AE86" s="108"/>
      <c r="AF86" s="108">
        <v>441</v>
      </c>
      <c r="AG86" s="108"/>
      <c r="AH86" s="111">
        <v>0</v>
      </c>
      <c r="AI86" s="108"/>
      <c r="AJ86" s="111">
        <v>156</v>
      </c>
      <c r="AK86" s="111"/>
      <c r="AL86" s="108">
        <v>78</v>
      </c>
      <c r="AM86" s="111"/>
      <c r="AN86" s="111">
        <v>0</v>
      </c>
      <c r="AO86" s="108"/>
      <c r="AP86" s="111">
        <v>86</v>
      </c>
      <c r="AQ86" s="108"/>
      <c r="AR86" s="108">
        <v>43</v>
      </c>
      <c r="AS86" s="81" t="s">
        <v>265</v>
      </c>
      <c r="AT86" s="81"/>
      <c r="AU86" s="81" t="s">
        <v>266</v>
      </c>
      <c r="AV86" s="81"/>
    </row>
    <row r="87" spans="1:48" x14ac:dyDescent="0.2">
      <c r="A87" s="309"/>
      <c r="B87" s="309"/>
      <c r="C87" s="309"/>
      <c r="D87" s="116">
        <v>242</v>
      </c>
      <c r="E87" s="309"/>
      <c r="F87" s="117" t="s">
        <v>267</v>
      </c>
      <c r="G87" s="309"/>
      <c r="H87" s="117" t="s">
        <v>54</v>
      </c>
      <c r="I87" s="309"/>
      <c r="J87" s="318">
        <v>3</v>
      </c>
      <c r="K87" s="116"/>
      <c r="L87" s="117" t="s">
        <v>268</v>
      </c>
      <c r="M87" s="116"/>
      <c r="N87" s="116" t="s">
        <v>56</v>
      </c>
      <c r="O87" s="309"/>
      <c r="P87" s="309"/>
      <c r="Q87" s="81">
        <v>904</v>
      </c>
      <c r="R87" s="116">
        <v>1060</v>
      </c>
      <c r="S87" s="116"/>
      <c r="T87" s="116">
        <v>0</v>
      </c>
      <c r="U87" s="116"/>
      <c r="V87" s="118">
        <v>3837</v>
      </c>
      <c r="W87" s="116"/>
      <c r="X87" s="108">
        <v>971</v>
      </c>
      <c r="Y87" s="116"/>
      <c r="Z87" s="111">
        <v>0</v>
      </c>
      <c r="AA87" s="116"/>
      <c r="AB87" s="111">
        <v>3081</v>
      </c>
      <c r="AC87" s="309"/>
      <c r="AD87" s="111">
        <v>3468</v>
      </c>
      <c r="AE87" s="108"/>
      <c r="AF87" s="108">
        <v>1156</v>
      </c>
      <c r="AG87" s="108"/>
      <c r="AH87" s="111">
        <v>0</v>
      </c>
      <c r="AI87" s="108"/>
      <c r="AJ87" s="111">
        <v>3120</v>
      </c>
      <c r="AK87" s="111"/>
      <c r="AL87" s="108">
        <v>1040</v>
      </c>
      <c r="AM87" s="111"/>
      <c r="AN87" s="111">
        <v>0</v>
      </c>
      <c r="AO87" s="108"/>
      <c r="AP87" s="111">
        <v>2421</v>
      </c>
      <c r="AQ87" s="108"/>
      <c r="AR87" s="108">
        <v>807</v>
      </c>
      <c r="AS87" s="81"/>
      <c r="AT87" s="81"/>
      <c r="AU87" s="81"/>
      <c r="AV87" s="81"/>
    </row>
    <row r="88" spans="1:48" ht="20.399999999999999" x14ac:dyDescent="0.2">
      <c r="A88" s="309"/>
      <c r="B88" s="309"/>
      <c r="C88" s="309"/>
      <c r="D88" s="116">
        <v>242</v>
      </c>
      <c r="E88" s="309"/>
      <c r="F88" s="117" t="s">
        <v>269</v>
      </c>
      <c r="G88" s="309"/>
      <c r="H88" s="117" t="s">
        <v>270</v>
      </c>
      <c r="I88" s="309"/>
      <c r="J88" s="318" t="s">
        <v>271</v>
      </c>
      <c r="K88" s="116"/>
      <c r="L88" s="117" t="s">
        <v>272</v>
      </c>
      <c r="M88" s="116"/>
      <c r="N88" s="116" t="s">
        <v>56</v>
      </c>
      <c r="O88" s="309"/>
      <c r="P88" s="309"/>
      <c r="Q88" s="81">
        <v>904</v>
      </c>
      <c r="R88" s="116"/>
      <c r="S88" s="116"/>
      <c r="T88" s="116">
        <v>0</v>
      </c>
      <c r="U88" s="116"/>
      <c r="V88" s="118">
        <v>3262</v>
      </c>
      <c r="W88" s="116"/>
      <c r="X88" s="108"/>
      <c r="Y88" s="116"/>
      <c r="Z88" s="111">
        <v>0</v>
      </c>
      <c r="AA88" s="116"/>
      <c r="AB88" s="111">
        <v>2932</v>
      </c>
      <c r="AC88" s="309"/>
      <c r="AD88" s="111">
        <v>3724</v>
      </c>
      <c r="AE88" s="108"/>
      <c r="AF88" s="108">
        <v>24830</v>
      </c>
      <c r="AG88" s="108"/>
      <c r="AH88" s="111">
        <v>0</v>
      </c>
      <c r="AI88" s="108"/>
      <c r="AJ88" s="111">
        <v>3096</v>
      </c>
      <c r="AK88" s="111"/>
      <c r="AL88" s="108">
        <v>20640</v>
      </c>
      <c r="AM88" s="111"/>
      <c r="AN88" s="111">
        <v>0</v>
      </c>
      <c r="AO88" s="108"/>
      <c r="AP88" s="111">
        <v>3936</v>
      </c>
      <c r="AQ88" s="108"/>
      <c r="AR88" s="108">
        <v>26240</v>
      </c>
      <c r="AS88" s="81"/>
      <c r="AT88" s="81"/>
      <c r="AU88" s="81"/>
      <c r="AV88" s="81"/>
    </row>
    <row r="89" spans="1:48" x14ac:dyDescent="0.2">
      <c r="A89" s="309"/>
      <c r="B89" s="309"/>
      <c r="C89" s="309"/>
      <c r="D89" s="116">
        <v>242</v>
      </c>
      <c r="E89" s="309"/>
      <c r="F89" s="117" t="s">
        <v>273</v>
      </c>
      <c r="G89" s="309"/>
      <c r="H89" s="117" t="s">
        <v>54</v>
      </c>
      <c r="I89" s="309"/>
      <c r="J89" s="318">
        <v>5</v>
      </c>
      <c r="K89" s="116"/>
      <c r="L89" s="117" t="s">
        <v>274</v>
      </c>
      <c r="M89" s="116"/>
      <c r="N89" s="116" t="s">
        <v>56</v>
      </c>
      <c r="O89" s="309"/>
      <c r="P89" s="309"/>
      <c r="Q89" s="81">
        <v>904</v>
      </c>
      <c r="R89" s="116">
        <v>750</v>
      </c>
      <c r="S89" s="116"/>
      <c r="T89" s="116">
        <v>0</v>
      </c>
      <c r="U89" s="116"/>
      <c r="V89" s="118">
        <v>3749</v>
      </c>
      <c r="W89" s="116"/>
      <c r="X89" s="108">
        <v>971</v>
      </c>
      <c r="Y89" s="116"/>
      <c r="Z89" s="111">
        <v>0</v>
      </c>
      <c r="AA89" s="116"/>
      <c r="AB89" s="111">
        <v>947</v>
      </c>
      <c r="AC89" s="309"/>
      <c r="AD89" s="111">
        <v>3135</v>
      </c>
      <c r="AE89" s="108"/>
      <c r="AF89" s="108">
        <v>627</v>
      </c>
      <c r="AG89" s="108"/>
      <c r="AH89" s="111">
        <v>0</v>
      </c>
      <c r="AI89" s="108"/>
      <c r="AJ89" s="111">
        <v>1960</v>
      </c>
      <c r="AK89" s="111"/>
      <c r="AL89" s="108">
        <v>392</v>
      </c>
      <c r="AM89" s="111"/>
      <c r="AN89" s="111">
        <v>0</v>
      </c>
      <c r="AO89" s="108"/>
      <c r="AP89" s="111">
        <v>796</v>
      </c>
      <c r="AQ89" s="108"/>
      <c r="AR89" s="108">
        <v>159</v>
      </c>
      <c r="AS89" s="81" t="s">
        <v>816</v>
      </c>
      <c r="AT89" s="81"/>
      <c r="AU89" s="81"/>
      <c r="AV89" s="81"/>
    </row>
    <row r="90" spans="1:48" ht="30.6" x14ac:dyDescent="0.2">
      <c r="A90" s="309"/>
      <c r="B90" s="309" t="s">
        <v>275</v>
      </c>
      <c r="C90" s="309"/>
      <c r="D90" s="116">
        <v>243</v>
      </c>
      <c r="E90" s="309"/>
      <c r="F90" s="117" t="s">
        <v>253</v>
      </c>
      <c r="G90" s="309"/>
      <c r="H90" s="117" t="s">
        <v>54</v>
      </c>
      <c r="I90" s="309"/>
      <c r="J90" s="318" t="s">
        <v>254</v>
      </c>
      <c r="K90" s="116"/>
      <c r="L90" s="117" t="s">
        <v>276</v>
      </c>
      <c r="M90" s="116"/>
      <c r="N90" s="116" t="s">
        <v>56</v>
      </c>
      <c r="O90" s="309"/>
      <c r="P90" s="309"/>
      <c r="Q90" s="81">
        <v>904.10799999999995</v>
      </c>
      <c r="R90" s="119">
        <v>1111</v>
      </c>
      <c r="S90" s="116"/>
      <c r="T90" s="116">
        <v>0</v>
      </c>
      <c r="U90" s="116"/>
      <c r="V90" s="118">
        <v>58478.34</v>
      </c>
      <c r="W90" s="116"/>
      <c r="X90" s="108">
        <v>1212</v>
      </c>
      <c r="Y90" s="116"/>
      <c r="Z90" s="111">
        <v>0</v>
      </c>
      <c r="AA90" s="116"/>
      <c r="AB90" s="111">
        <v>65340.34</v>
      </c>
      <c r="AC90" s="309"/>
      <c r="AD90" s="111">
        <v>63855</v>
      </c>
      <c r="AE90" s="108"/>
      <c r="AF90" s="108"/>
      <c r="AG90" s="108"/>
      <c r="AH90" s="111">
        <v>0</v>
      </c>
      <c r="AI90" s="326"/>
      <c r="AJ90" s="327">
        <v>59778</v>
      </c>
      <c r="AK90" s="327"/>
      <c r="AL90" s="328">
        <v>1838</v>
      </c>
      <c r="AM90" s="327"/>
      <c r="AN90" s="111">
        <v>0</v>
      </c>
      <c r="AO90" s="108"/>
      <c r="AP90" s="111">
        <v>64681</v>
      </c>
      <c r="AQ90" s="108"/>
      <c r="AR90" s="328">
        <v>1964</v>
      </c>
      <c r="AS90" s="81" t="s">
        <v>713</v>
      </c>
      <c r="AT90" s="81"/>
      <c r="AU90" s="81" t="s">
        <v>255</v>
      </c>
      <c r="AV90" s="81"/>
    </row>
    <row r="91" spans="1:48" x14ac:dyDescent="0.2">
      <c r="A91" s="309"/>
      <c r="B91" s="309"/>
      <c r="C91" s="309"/>
      <c r="D91" s="116">
        <v>243</v>
      </c>
      <c r="E91" s="309"/>
      <c r="F91" s="117" t="s">
        <v>277</v>
      </c>
      <c r="G91" s="309"/>
      <c r="H91" s="117" t="s">
        <v>278</v>
      </c>
      <c r="I91" s="309"/>
      <c r="J91" s="318">
        <v>0.25</v>
      </c>
      <c r="K91" s="116"/>
      <c r="L91" s="117" t="s">
        <v>279</v>
      </c>
      <c r="M91" s="116"/>
      <c r="N91" s="116" t="s">
        <v>56</v>
      </c>
      <c r="O91" s="309"/>
      <c r="P91" s="309"/>
      <c r="Q91" s="81">
        <v>904</v>
      </c>
      <c r="R91" s="119">
        <v>2802</v>
      </c>
      <c r="S91" s="116"/>
      <c r="T91" s="116">
        <v>0</v>
      </c>
      <c r="U91" s="116"/>
      <c r="V91" s="118">
        <v>700.5</v>
      </c>
      <c r="W91" s="116"/>
      <c r="X91" s="108">
        <v>3667</v>
      </c>
      <c r="Y91" s="116"/>
      <c r="Z91" s="111">
        <v>0</v>
      </c>
      <c r="AA91" s="116"/>
      <c r="AB91" s="111">
        <v>916</v>
      </c>
      <c r="AC91" s="309"/>
      <c r="AD91" s="111">
        <v>791</v>
      </c>
      <c r="AE91" s="108"/>
      <c r="AF91" s="108">
        <v>3164</v>
      </c>
      <c r="AG91" s="108"/>
      <c r="AH91" s="111">
        <v>0</v>
      </c>
      <c r="AI91" s="108"/>
      <c r="AJ91" s="111">
        <v>789</v>
      </c>
      <c r="AK91" s="111"/>
      <c r="AL91" s="108">
        <v>3156</v>
      </c>
      <c r="AM91" s="111"/>
      <c r="AN91" s="111">
        <v>0</v>
      </c>
      <c r="AO91" s="108"/>
      <c r="AP91" s="111">
        <v>762</v>
      </c>
      <c r="AQ91" s="108"/>
      <c r="AR91" s="108">
        <v>3048</v>
      </c>
      <c r="AS91" s="81" t="s">
        <v>816</v>
      </c>
      <c r="AT91" s="81"/>
      <c r="AU91" s="81" t="s">
        <v>280</v>
      </c>
      <c r="AV91" s="81"/>
    </row>
    <row r="92" spans="1:48" x14ac:dyDescent="0.2">
      <c r="A92" s="309"/>
      <c r="B92" s="309"/>
      <c r="C92" s="309"/>
      <c r="D92" s="116">
        <v>243</v>
      </c>
      <c r="E92" s="309"/>
      <c r="F92" s="117" t="s">
        <v>256</v>
      </c>
      <c r="G92" s="309"/>
      <c r="H92" s="117" t="s">
        <v>257</v>
      </c>
      <c r="I92" s="309"/>
      <c r="J92" s="318" t="s">
        <v>281</v>
      </c>
      <c r="K92" s="116"/>
      <c r="L92" s="117" t="s">
        <v>282</v>
      </c>
      <c r="M92" s="116"/>
      <c r="N92" s="116" t="s">
        <v>56</v>
      </c>
      <c r="O92" s="309"/>
      <c r="P92" s="309">
        <v>2010</v>
      </c>
      <c r="Q92" s="81">
        <v>904</v>
      </c>
      <c r="R92" s="116">
        <v>5</v>
      </c>
      <c r="S92" s="116"/>
      <c r="T92" s="116">
        <v>0</v>
      </c>
      <c r="U92" s="116"/>
      <c r="V92" s="118">
        <v>25432.22</v>
      </c>
      <c r="W92" s="116"/>
      <c r="X92" s="108">
        <v>5</v>
      </c>
      <c r="Y92" s="116"/>
      <c r="Z92" s="111">
        <v>0</v>
      </c>
      <c r="AA92" s="116"/>
      <c r="AB92" s="111">
        <v>26202</v>
      </c>
      <c r="AC92" s="309"/>
      <c r="AD92" s="111">
        <v>27456</v>
      </c>
      <c r="AE92" s="108"/>
      <c r="AF92" s="108">
        <v>5</v>
      </c>
      <c r="AG92" s="108"/>
      <c r="AH92" s="111">
        <v>0</v>
      </c>
      <c r="AI92" s="108"/>
      <c r="AJ92" s="111">
        <v>26810</v>
      </c>
      <c r="AK92" s="111"/>
      <c r="AL92" s="108">
        <v>5</v>
      </c>
      <c r="AM92" s="111"/>
      <c r="AN92" s="111">
        <v>0</v>
      </c>
      <c r="AO92" s="108"/>
      <c r="AP92" s="111">
        <v>28614</v>
      </c>
      <c r="AQ92" s="108"/>
      <c r="AR92" s="108">
        <v>5</v>
      </c>
      <c r="AS92" s="81" t="s">
        <v>816</v>
      </c>
      <c r="AT92" s="81"/>
      <c r="AU92" s="81" t="s">
        <v>259</v>
      </c>
      <c r="AV92" s="81"/>
    </row>
    <row r="93" spans="1:48" x14ac:dyDescent="0.2">
      <c r="A93" s="309"/>
      <c r="B93" s="309"/>
      <c r="C93" s="309"/>
      <c r="D93" s="116">
        <v>243</v>
      </c>
      <c r="E93" s="309"/>
      <c r="F93" s="117" t="s">
        <v>283</v>
      </c>
      <c r="G93" s="309"/>
      <c r="H93" s="117" t="s">
        <v>284</v>
      </c>
      <c r="I93" s="309"/>
      <c r="J93" s="318">
        <v>36</v>
      </c>
      <c r="K93" s="116"/>
      <c r="L93" s="117" t="s">
        <v>285</v>
      </c>
      <c r="M93" s="116"/>
      <c r="N93" s="116" t="s">
        <v>56</v>
      </c>
      <c r="O93" s="309"/>
      <c r="P93" s="309"/>
      <c r="Q93" s="81">
        <v>904</v>
      </c>
      <c r="R93" s="116">
        <v>1</v>
      </c>
      <c r="S93" s="116"/>
      <c r="T93" s="116">
        <v>0</v>
      </c>
      <c r="U93" s="116"/>
      <c r="V93" s="118">
        <v>144</v>
      </c>
      <c r="W93" s="116"/>
      <c r="X93" s="108">
        <v>1</v>
      </c>
      <c r="Y93" s="116"/>
      <c r="Z93" s="111">
        <v>0</v>
      </c>
      <c r="AA93" s="116"/>
      <c r="AB93" s="111">
        <v>72</v>
      </c>
      <c r="AC93" s="309"/>
      <c r="AD93" s="111">
        <v>0</v>
      </c>
      <c r="AE93" s="108"/>
      <c r="AF93" s="108">
        <v>0</v>
      </c>
      <c r="AG93" s="108"/>
      <c r="AH93" s="111">
        <v>0</v>
      </c>
      <c r="AI93" s="108"/>
      <c r="AJ93" s="111">
        <v>0</v>
      </c>
      <c r="AK93" s="111"/>
      <c r="AL93" s="328"/>
      <c r="AM93" s="111"/>
      <c r="AN93" s="111">
        <v>0</v>
      </c>
      <c r="AO93" s="108"/>
      <c r="AP93" s="111">
        <v>0</v>
      </c>
      <c r="AQ93" s="108"/>
      <c r="AR93" s="328"/>
      <c r="AS93" s="81" t="s">
        <v>265</v>
      </c>
      <c r="AT93" s="81"/>
      <c r="AU93" s="81" t="s">
        <v>266</v>
      </c>
      <c r="AV93" s="81"/>
    </row>
    <row r="94" spans="1:48" x14ac:dyDescent="0.2">
      <c r="A94" s="309"/>
      <c r="B94" s="309"/>
      <c r="C94" s="309"/>
      <c r="D94" s="116">
        <v>243</v>
      </c>
      <c r="E94" s="309"/>
      <c r="F94" s="117" t="s">
        <v>262</v>
      </c>
      <c r="G94" s="309"/>
      <c r="H94" s="117" t="s">
        <v>54</v>
      </c>
      <c r="I94" s="309"/>
      <c r="J94" s="318">
        <v>2</v>
      </c>
      <c r="K94" s="116"/>
      <c r="L94" s="117" t="s">
        <v>264</v>
      </c>
      <c r="M94" s="116"/>
      <c r="N94" s="116" t="s">
        <v>56</v>
      </c>
      <c r="O94" s="309"/>
      <c r="P94" s="309"/>
      <c r="Q94" s="81">
        <v>904</v>
      </c>
      <c r="R94" s="116"/>
      <c r="S94" s="116"/>
      <c r="T94" s="116"/>
      <c r="U94" s="116"/>
      <c r="V94" s="118"/>
      <c r="W94" s="116"/>
      <c r="X94" s="108">
        <v>123</v>
      </c>
      <c r="Y94" s="116"/>
      <c r="Z94" s="111">
        <v>0</v>
      </c>
      <c r="AA94" s="116"/>
      <c r="AB94" s="111">
        <v>0</v>
      </c>
      <c r="AC94" s="309"/>
      <c r="AD94" s="111">
        <v>222</v>
      </c>
      <c r="AE94" s="108"/>
      <c r="AF94" s="108">
        <v>111</v>
      </c>
      <c r="AG94" s="108"/>
      <c r="AH94" s="111">
        <v>0</v>
      </c>
      <c r="AI94" s="108"/>
      <c r="AJ94" s="111">
        <v>174</v>
      </c>
      <c r="AK94" s="111"/>
      <c r="AL94" s="328">
        <v>87</v>
      </c>
      <c r="AM94" s="111"/>
      <c r="AN94" s="111">
        <v>0</v>
      </c>
      <c r="AO94" s="108"/>
      <c r="AP94" s="111">
        <v>172</v>
      </c>
      <c r="AQ94" s="108"/>
      <c r="AR94" s="328">
        <v>86</v>
      </c>
      <c r="AS94" s="81" t="s">
        <v>265</v>
      </c>
      <c r="AT94" s="81"/>
      <c r="AU94" s="81"/>
      <c r="AV94" s="81"/>
    </row>
    <row r="95" spans="1:48" x14ac:dyDescent="0.2">
      <c r="A95" s="309"/>
      <c r="B95" s="309"/>
      <c r="C95" s="309"/>
      <c r="D95" s="116">
        <v>243</v>
      </c>
      <c r="E95" s="309"/>
      <c r="F95" s="117" t="s">
        <v>262</v>
      </c>
      <c r="G95" s="309"/>
      <c r="H95" s="117" t="s">
        <v>263</v>
      </c>
      <c r="I95" s="309"/>
      <c r="J95" s="318">
        <v>2</v>
      </c>
      <c r="K95" s="116"/>
      <c r="L95" s="117" t="s">
        <v>264</v>
      </c>
      <c r="M95" s="116"/>
      <c r="N95" s="116" t="s">
        <v>56</v>
      </c>
      <c r="O95" s="309"/>
      <c r="P95" s="309"/>
      <c r="Q95" s="81">
        <v>904</v>
      </c>
      <c r="R95" s="116">
        <v>571</v>
      </c>
      <c r="S95" s="116"/>
      <c r="T95" s="116">
        <v>0</v>
      </c>
      <c r="U95" s="116"/>
      <c r="V95" s="118">
        <v>1142</v>
      </c>
      <c r="W95" s="116"/>
      <c r="X95" s="108">
        <v>123</v>
      </c>
      <c r="Y95" s="116"/>
      <c r="Z95" s="111">
        <v>0</v>
      </c>
      <c r="AA95" s="116"/>
      <c r="AB95" s="111">
        <v>0</v>
      </c>
      <c r="AC95" s="309"/>
      <c r="AD95" s="111">
        <v>1194</v>
      </c>
      <c r="AE95" s="108"/>
      <c r="AF95" s="108">
        <v>597</v>
      </c>
      <c r="AG95" s="108"/>
      <c r="AH95" s="111">
        <v>0</v>
      </c>
      <c r="AI95" s="108"/>
      <c r="AJ95" s="111">
        <v>988</v>
      </c>
      <c r="AK95" s="111"/>
      <c r="AL95" s="328">
        <v>494</v>
      </c>
      <c r="AM95" s="111"/>
      <c r="AN95" s="111">
        <v>0</v>
      </c>
      <c r="AO95" s="108"/>
      <c r="AP95" s="111">
        <v>910</v>
      </c>
      <c r="AQ95" s="108"/>
      <c r="AR95" s="328">
        <v>455</v>
      </c>
      <c r="AS95" s="81" t="s">
        <v>265</v>
      </c>
      <c r="AT95" s="81"/>
      <c r="AU95" s="81" t="s">
        <v>266</v>
      </c>
      <c r="AV95" s="81"/>
    </row>
    <row r="96" spans="1:48" ht="20.399999999999999" x14ac:dyDescent="0.2">
      <c r="A96" s="309"/>
      <c r="B96" s="309"/>
      <c r="C96" s="309"/>
      <c r="D96" s="116">
        <v>243</v>
      </c>
      <c r="E96" s="309"/>
      <c r="F96" s="117" t="s">
        <v>267</v>
      </c>
      <c r="G96" s="309"/>
      <c r="H96" s="117" t="s">
        <v>54</v>
      </c>
      <c r="I96" s="309"/>
      <c r="J96" s="318" t="s">
        <v>268</v>
      </c>
      <c r="K96" s="116"/>
      <c r="L96" s="117"/>
      <c r="M96" s="116"/>
      <c r="N96" s="116" t="s">
        <v>56</v>
      </c>
      <c r="O96" s="309"/>
      <c r="P96" s="309"/>
      <c r="Q96" s="81">
        <v>904</v>
      </c>
      <c r="R96" s="119">
        <v>2512</v>
      </c>
      <c r="S96" s="116"/>
      <c r="T96" s="116"/>
      <c r="U96" s="116"/>
      <c r="V96" s="118">
        <v>7536</v>
      </c>
      <c r="W96" s="116"/>
      <c r="X96" s="108">
        <v>2513</v>
      </c>
      <c r="Y96" s="116"/>
      <c r="Z96" s="111">
        <v>0</v>
      </c>
      <c r="AA96" s="116"/>
      <c r="AB96" s="111">
        <v>7541.71</v>
      </c>
      <c r="AC96" s="309"/>
      <c r="AD96" s="111">
        <v>5801</v>
      </c>
      <c r="AE96" s="108"/>
      <c r="AF96" s="108">
        <v>1933</v>
      </c>
      <c r="AG96" s="108"/>
      <c r="AH96" s="111">
        <v>0</v>
      </c>
      <c r="AI96" s="108"/>
      <c r="AJ96" s="111">
        <v>4499</v>
      </c>
      <c r="AK96" s="111"/>
      <c r="AL96" s="328">
        <v>1499.6666666666667</v>
      </c>
      <c r="AM96" s="111"/>
      <c r="AN96" s="111">
        <v>0</v>
      </c>
      <c r="AO96" s="108"/>
      <c r="AP96" s="111">
        <v>4309</v>
      </c>
      <c r="AQ96" s="108"/>
      <c r="AR96" s="328">
        <v>1436.3333333333333</v>
      </c>
      <c r="AS96" s="81" t="s">
        <v>816</v>
      </c>
      <c r="AT96" s="81"/>
      <c r="AU96" s="81"/>
      <c r="AV96" s="81"/>
    </row>
    <row r="97" spans="1:48" ht="20.399999999999999" x14ac:dyDescent="0.2">
      <c r="A97" s="309"/>
      <c r="B97" s="309"/>
      <c r="C97" s="309"/>
      <c r="D97" s="116">
        <v>243</v>
      </c>
      <c r="E97" s="309"/>
      <c r="F97" s="117" t="s">
        <v>269</v>
      </c>
      <c r="G97" s="309"/>
      <c r="H97" s="117" t="s">
        <v>270</v>
      </c>
      <c r="I97" s="309"/>
      <c r="J97" s="318" t="s">
        <v>271</v>
      </c>
      <c r="K97" s="116"/>
      <c r="L97" s="117" t="s">
        <v>272</v>
      </c>
      <c r="M97" s="116"/>
      <c r="N97" s="116" t="s">
        <v>56</v>
      </c>
      <c r="O97" s="309"/>
      <c r="P97" s="309"/>
      <c r="Q97" s="81">
        <v>904</v>
      </c>
      <c r="R97" s="116"/>
      <c r="S97" s="116"/>
      <c r="T97" s="116">
        <v>0</v>
      </c>
      <c r="U97" s="116"/>
      <c r="V97" s="118">
        <v>3618.05</v>
      </c>
      <c r="W97" s="116"/>
      <c r="X97" s="108"/>
      <c r="Y97" s="116"/>
      <c r="Z97" s="111">
        <v>0</v>
      </c>
      <c r="AA97" s="116"/>
      <c r="AB97" s="111">
        <v>3853.5</v>
      </c>
      <c r="AC97" s="309"/>
      <c r="AD97" s="111">
        <v>3388</v>
      </c>
      <c r="AE97" s="108"/>
      <c r="AF97" s="108"/>
      <c r="AG97" s="108"/>
      <c r="AH97" s="111">
        <v>0</v>
      </c>
      <c r="AI97" s="108"/>
      <c r="AJ97" s="111">
        <v>2528</v>
      </c>
      <c r="AK97" s="111"/>
      <c r="AL97" s="328">
        <v>16853.333333333336</v>
      </c>
      <c r="AM97" s="111"/>
      <c r="AN97" s="111">
        <v>0</v>
      </c>
      <c r="AO97" s="108"/>
      <c r="AP97" s="111">
        <v>3384</v>
      </c>
      <c r="AQ97" s="108"/>
      <c r="AR97" s="328">
        <v>22560</v>
      </c>
      <c r="AS97" s="81" t="s">
        <v>816</v>
      </c>
      <c r="AT97" s="81"/>
      <c r="AU97" s="81"/>
      <c r="AV97" s="81"/>
    </row>
    <row r="98" spans="1:48" x14ac:dyDescent="0.2">
      <c r="A98" s="309"/>
      <c r="B98" s="309"/>
      <c r="C98" s="309"/>
      <c r="D98" s="116">
        <v>243</v>
      </c>
      <c r="E98" s="309"/>
      <c r="F98" s="117" t="s">
        <v>273</v>
      </c>
      <c r="G98" s="309"/>
      <c r="H98" s="117" t="s">
        <v>54</v>
      </c>
      <c r="I98" s="309"/>
      <c r="J98" s="318">
        <v>5</v>
      </c>
      <c r="K98" s="116"/>
      <c r="L98" s="117" t="s">
        <v>274</v>
      </c>
      <c r="M98" s="116"/>
      <c r="N98" s="116" t="s">
        <v>56</v>
      </c>
      <c r="O98" s="309"/>
      <c r="P98" s="309"/>
      <c r="Q98" s="81">
        <v>904</v>
      </c>
      <c r="R98" s="116">
        <v>827</v>
      </c>
      <c r="S98" s="116"/>
      <c r="T98" s="116">
        <v>0</v>
      </c>
      <c r="U98" s="116">
        <v>827</v>
      </c>
      <c r="V98" s="118">
        <v>4135.6899999999996</v>
      </c>
      <c r="W98" s="116"/>
      <c r="X98" s="108">
        <v>986</v>
      </c>
      <c r="Y98" s="116"/>
      <c r="Z98" s="111">
        <v>0</v>
      </c>
      <c r="AA98" s="116"/>
      <c r="AB98" s="111">
        <v>4933</v>
      </c>
      <c r="AC98" s="309"/>
      <c r="AD98" s="111">
        <v>4681</v>
      </c>
      <c r="AE98" s="108"/>
      <c r="AF98" s="108">
        <v>936</v>
      </c>
      <c r="AG98" s="108"/>
      <c r="AH98" s="111">
        <v>0</v>
      </c>
      <c r="AI98" s="329"/>
      <c r="AJ98" s="330">
        <v>4035</v>
      </c>
      <c r="AK98" s="330"/>
      <c r="AL98" s="108">
        <v>807</v>
      </c>
      <c r="AM98" s="330"/>
      <c r="AN98" s="111">
        <v>0</v>
      </c>
      <c r="AO98" s="108"/>
      <c r="AP98" s="111">
        <v>780</v>
      </c>
      <c r="AQ98" s="108"/>
      <c r="AR98" s="108">
        <v>156</v>
      </c>
      <c r="AS98" s="81" t="s">
        <v>265</v>
      </c>
      <c r="AT98" s="81"/>
      <c r="AU98" s="81"/>
      <c r="AV98" s="81"/>
    </row>
    <row r="99" spans="1:48" x14ac:dyDescent="0.2">
      <c r="A99" s="309"/>
      <c r="B99" s="309" t="s">
        <v>286</v>
      </c>
      <c r="C99" s="309"/>
      <c r="D99" s="116">
        <v>244</v>
      </c>
      <c r="E99" s="309"/>
      <c r="F99" s="117" t="s">
        <v>262</v>
      </c>
      <c r="G99" s="309"/>
      <c r="H99" s="117" t="s">
        <v>263</v>
      </c>
      <c r="I99" s="309"/>
      <c r="J99" s="318">
        <v>2</v>
      </c>
      <c r="K99" s="116"/>
      <c r="L99" s="117" t="s">
        <v>264</v>
      </c>
      <c r="M99" s="116"/>
      <c r="N99" s="116" t="s">
        <v>56</v>
      </c>
      <c r="O99" s="309"/>
      <c r="P99" s="309"/>
      <c r="Q99" s="81">
        <v>904</v>
      </c>
      <c r="R99" s="116">
        <v>367</v>
      </c>
      <c r="S99" s="116"/>
      <c r="T99" s="116">
        <v>0</v>
      </c>
      <c r="U99" s="116"/>
      <c r="V99" s="118">
        <v>734</v>
      </c>
      <c r="W99" s="116"/>
      <c r="X99" s="108">
        <v>465</v>
      </c>
      <c r="Y99" s="116"/>
      <c r="Z99" s="111">
        <v>0</v>
      </c>
      <c r="AA99" s="116"/>
      <c r="AB99" s="111">
        <v>930</v>
      </c>
      <c r="AC99" s="309"/>
      <c r="AD99" s="111">
        <v>660</v>
      </c>
      <c r="AE99" s="108"/>
      <c r="AF99" s="108">
        <v>330</v>
      </c>
      <c r="AG99" s="108"/>
      <c r="AH99" s="111">
        <v>0</v>
      </c>
      <c r="AI99" s="108"/>
      <c r="AJ99" s="111">
        <v>706</v>
      </c>
      <c r="AK99" s="111"/>
      <c r="AL99" s="108">
        <v>353</v>
      </c>
      <c r="AM99" s="111"/>
      <c r="AN99" s="111">
        <v>0</v>
      </c>
      <c r="AO99" s="108"/>
      <c r="AP99" s="111">
        <v>542</v>
      </c>
      <c r="AQ99" s="108"/>
      <c r="AR99" s="108">
        <v>271</v>
      </c>
      <c r="AS99" s="81" t="s">
        <v>265</v>
      </c>
      <c r="AT99" s="81"/>
      <c r="AU99" s="81"/>
      <c r="AV99" s="81"/>
    </row>
    <row r="100" spans="1:48" ht="30.6" x14ac:dyDescent="0.2">
      <c r="A100" s="309"/>
      <c r="B100" s="309"/>
      <c r="C100" s="309"/>
      <c r="D100" s="116">
        <v>244</v>
      </c>
      <c r="E100" s="309"/>
      <c r="F100" s="117" t="s">
        <v>253</v>
      </c>
      <c r="G100" s="309"/>
      <c r="H100" s="117" t="s">
        <v>54</v>
      </c>
      <c r="I100" s="309"/>
      <c r="J100" s="318" t="s">
        <v>254</v>
      </c>
      <c r="K100" s="116"/>
      <c r="L100" s="117" t="s">
        <v>276</v>
      </c>
      <c r="M100" s="116"/>
      <c r="N100" s="116" t="s">
        <v>56</v>
      </c>
      <c r="O100" s="309"/>
      <c r="P100" s="309"/>
      <c r="Q100" s="81">
        <v>904</v>
      </c>
      <c r="R100" s="116"/>
      <c r="S100" s="116"/>
      <c r="T100" s="116"/>
      <c r="U100" s="116"/>
      <c r="V100" s="118">
        <v>21456.44</v>
      </c>
      <c r="W100" s="116"/>
      <c r="X100" s="108"/>
      <c r="Y100" s="116"/>
      <c r="Z100" s="111">
        <v>0</v>
      </c>
      <c r="AA100" s="116"/>
      <c r="AB100" s="111">
        <v>27056</v>
      </c>
      <c r="AC100" s="309"/>
      <c r="AD100" s="111">
        <v>28553</v>
      </c>
      <c r="AE100" s="108"/>
      <c r="AF100" s="108"/>
      <c r="AG100" s="108"/>
      <c r="AH100" s="111">
        <v>0</v>
      </c>
      <c r="AI100" s="108"/>
      <c r="AJ100" s="111">
        <v>30688</v>
      </c>
      <c r="AK100" s="111"/>
      <c r="AL100" s="108">
        <v>6533</v>
      </c>
      <c r="AM100" s="111"/>
      <c r="AN100" s="111">
        <v>0</v>
      </c>
      <c r="AO100" s="108"/>
      <c r="AP100" s="111">
        <v>33297</v>
      </c>
      <c r="AQ100" s="108"/>
      <c r="AR100" s="108">
        <v>6513</v>
      </c>
      <c r="AS100" s="81" t="s">
        <v>713</v>
      </c>
      <c r="AT100" s="81"/>
      <c r="AU100" s="81"/>
      <c r="AV100" s="81"/>
    </row>
    <row r="101" spans="1:48" ht="20.399999999999999" x14ac:dyDescent="0.2">
      <c r="A101" s="309"/>
      <c r="B101" s="309"/>
      <c r="C101" s="309"/>
      <c r="D101" s="116">
        <v>244</v>
      </c>
      <c r="E101" s="309"/>
      <c r="F101" s="117" t="s">
        <v>267</v>
      </c>
      <c r="G101" s="309"/>
      <c r="H101" s="117" t="s">
        <v>54</v>
      </c>
      <c r="I101" s="309"/>
      <c r="J101" s="318" t="s">
        <v>268</v>
      </c>
      <c r="K101" s="116"/>
      <c r="L101" s="117"/>
      <c r="M101" s="116"/>
      <c r="N101" s="116" t="s">
        <v>56</v>
      </c>
      <c r="O101" s="309"/>
      <c r="P101" s="309"/>
      <c r="Q101" s="81">
        <v>904</v>
      </c>
      <c r="R101" s="119">
        <v>1867</v>
      </c>
      <c r="S101" s="116"/>
      <c r="T101" s="116"/>
      <c r="U101" s="116"/>
      <c r="V101" s="118">
        <v>5602.4</v>
      </c>
      <c r="W101" s="116"/>
      <c r="X101" s="108">
        <v>1869</v>
      </c>
      <c r="Y101" s="116"/>
      <c r="Z101" s="111">
        <v>0</v>
      </c>
      <c r="AA101" s="116"/>
      <c r="AB101" s="111">
        <v>5604</v>
      </c>
      <c r="AC101" s="309"/>
      <c r="AD101" s="111">
        <v>5355</v>
      </c>
      <c r="AE101" s="108"/>
      <c r="AF101" s="108">
        <v>1785</v>
      </c>
      <c r="AG101" s="108"/>
      <c r="AH101" s="111">
        <v>0</v>
      </c>
      <c r="AI101" s="108"/>
      <c r="AJ101" s="111">
        <v>4812</v>
      </c>
      <c r="AK101" s="111"/>
      <c r="AL101" s="108">
        <v>1604</v>
      </c>
      <c r="AM101" s="111"/>
      <c r="AN101" s="111">
        <v>0</v>
      </c>
      <c r="AO101" s="108"/>
      <c r="AP101" s="111">
        <v>4743</v>
      </c>
      <c r="AQ101" s="108"/>
      <c r="AR101" s="108">
        <v>1581</v>
      </c>
      <c r="AS101" s="81"/>
      <c r="AT101" s="81"/>
      <c r="AU101" s="81"/>
      <c r="AV101" s="81"/>
    </row>
    <row r="102" spans="1:48" ht="20.399999999999999" x14ac:dyDescent="0.2">
      <c r="A102" s="309"/>
      <c r="B102" s="309"/>
      <c r="C102" s="309"/>
      <c r="D102" s="116">
        <v>244</v>
      </c>
      <c r="E102" s="309"/>
      <c r="F102" s="117" t="s">
        <v>269</v>
      </c>
      <c r="G102" s="309"/>
      <c r="H102" s="117" t="s">
        <v>270</v>
      </c>
      <c r="I102" s="309"/>
      <c r="J102" s="318" t="s">
        <v>271</v>
      </c>
      <c r="K102" s="116"/>
      <c r="L102" s="117" t="s">
        <v>272</v>
      </c>
      <c r="M102" s="116"/>
      <c r="N102" s="116" t="s">
        <v>56</v>
      </c>
      <c r="O102" s="309"/>
      <c r="P102" s="309"/>
      <c r="Q102" s="81">
        <v>904</v>
      </c>
      <c r="R102" s="116"/>
      <c r="S102" s="116"/>
      <c r="T102" s="116">
        <v>0</v>
      </c>
      <c r="U102" s="116"/>
      <c r="V102" s="118">
        <v>1800.67</v>
      </c>
      <c r="W102" s="116"/>
      <c r="X102" s="108">
        <v>8191</v>
      </c>
      <c r="Y102" s="116"/>
      <c r="Z102" s="111">
        <v>0</v>
      </c>
      <c r="AA102" s="116"/>
      <c r="AB102" s="111">
        <v>1229</v>
      </c>
      <c r="AC102" s="309"/>
      <c r="AD102" s="111">
        <v>9955</v>
      </c>
      <c r="AE102" s="108"/>
      <c r="AF102" s="108">
        <v>944</v>
      </c>
      <c r="AG102" s="108"/>
      <c r="AH102" s="111">
        <v>0</v>
      </c>
      <c r="AI102" s="108"/>
      <c r="AJ102" s="111">
        <v>13655</v>
      </c>
      <c r="AK102" s="111"/>
      <c r="AL102" s="108">
        <v>856</v>
      </c>
      <c r="AM102" s="111"/>
      <c r="AN102" s="111">
        <v>0</v>
      </c>
      <c r="AO102" s="108"/>
      <c r="AP102" s="111">
        <v>11565</v>
      </c>
      <c r="AQ102" s="108"/>
      <c r="AR102" s="108">
        <v>817</v>
      </c>
      <c r="AS102" s="81"/>
      <c r="AT102" s="81"/>
      <c r="AU102" s="81"/>
      <c r="AV102" s="81"/>
    </row>
    <row r="103" spans="1:48" x14ac:dyDescent="0.2">
      <c r="A103" s="309"/>
      <c r="B103" s="309"/>
      <c r="C103" s="309"/>
      <c r="D103" s="116">
        <v>244</v>
      </c>
      <c r="E103" s="309"/>
      <c r="F103" s="117" t="s">
        <v>273</v>
      </c>
      <c r="G103" s="309"/>
      <c r="H103" s="117" t="s">
        <v>54</v>
      </c>
      <c r="I103" s="309"/>
      <c r="J103" s="318">
        <v>5</v>
      </c>
      <c r="K103" s="116"/>
      <c r="L103" s="117" t="s">
        <v>274</v>
      </c>
      <c r="M103" s="116"/>
      <c r="N103" s="116" t="s">
        <v>56</v>
      </c>
      <c r="O103" s="309"/>
      <c r="P103" s="309"/>
      <c r="Q103" s="81">
        <v>904</v>
      </c>
      <c r="R103" s="119">
        <v>1223</v>
      </c>
      <c r="S103" s="116"/>
      <c r="T103" s="116">
        <v>0</v>
      </c>
      <c r="U103" s="116"/>
      <c r="V103" s="118">
        <v>6115.09</v>
      </c>
      <c r="W103" s="116"/>
      <c r="X103" s="108">
        <v>594</v>
      </c>
      <c r="Y103" s="116"/>
      <c r="Z103" s="111">
        <v>0</v>
      </c>
      <c r="AA103" s="116"/>
      <c r="AB103" s="111">
        <v>2970</v>
      </c>
      <c r="AC103" s="309"/>
      <c r="AD103" s="111">
        <v>2795</v>
      </c>
      <c r="AE103" s="108"/>
      <c r="AF103" s="108">
        <v>559</v>
      </c>
      <c r="AG103" s="108"/>
      <c r="AH103" s="111">
        <v>0</v>
      </c>
      <c r="AI103" s="108"/>
      <c r="AJ103" s="111">
        <v>2680</v>
      </c>
      <c r="AK103" s="111"/>
      <c r="AL103" s="108">
        <v>536</v>
      </c>
      <c r="AM103" s="111"/>
      <c r="AN103" s="111">
        <v>0</v>
      </c>
      <c r="AO103" s="108"/>
      <c r="AP103" s="111">
        <v>290</v>
      </c>
      <c r="AQ103" s="108"/>
      <c r="AR103" s="108"/>
      <c r="AS103" s="81" t="s">
        <v>816</v>
      </c>
      <c r="AT103" s="81"/>
      <c r="AU103" s="81"/>
      <c r="AV103" s="81"/>
    </row>
    <row r="104" spans="1:48" ht="30.6" x14ac:dyDescent="0.2">
      <c r="A104" s="309"/>
      <c r="B104" s="309" t="s">
        <v>287</v>
      </c>
      <c r="C104" s="309"/>
      <c r="D104" s="116">
        <v>245</v>
      </c>
      <c r="E104" s="309"/>
      <c r="F104" s="117" t="s">
        <v>253</v>
      </c>
      <c r="G104" s="309"/>
      <c r="H104" s="117" t="s">
        <v>54</v>
      </c>
      <c r="I104" s="309"/>
      <c r="J104" s="318" t="s">
        <v>254</v>
      </c>
      <c r="K104" s="116"/>
      <c r="L104" s="117" t="s">
        <v>276</v>
      </c>
      <c r="M104" s="116"/>
      <c r="N104" s="116" t="s">
        <v>56</v>
      </c>
      <c r="O104" s="309"/>
      <c r="P104" s="309"/>
      <c r="Q104" s="81">
        <v>904</v>
      </c>
      <c r="R104" s="116"/>
      <c r="S104" s="116"/>
      <c r="T104" s="116">
        <v>0</v>
      </c>
      <c r="U104" s="116"/>
      <c r="V104" s="118">
        <v>48608</v>
      </c>
      <c r="W104" s="116"/>
      <c r="X104" s="108"/>
      <c r="Y104" s="116"/>
      <c r="Z104" s="111">
        <v>0</v>
      </c>
      <c r="AA104" s="116"/>
      <c r="AB104" s="111">
        <v>60493</v>
      </c>
      <c r="AC104" s="309"/>
      <c r="AD104" s="331">
        <v>59641.04</v>
      </c>
      <c r="AE104" s="108"/>
      <c r="AF104" s="332">
        <v>0</v>
      </c>
      <c r="AG104" s="108"/>
      <c r="AH104" s="331">
        <v>0</v>
      </c>
      <c r="AI104" s="331"/>
      <c r="AJ104" s="331">
        <v>60319</v>
      </c>
      <c r="AK104" s="331"/>
      <c r="AL104" s="108">
        <v>2720</v>
      </c>
      <c r="AM104" s="331"/>
      <c r="AN104" s="331">
        <v>0</v>
      </c>
      <c r="AO104" s="331"/>
      <c r="AP104" s="331">
        <v>68276</v>
      </c>
      <c r="AQ104" s="331"/>
      <c r="AR104" s="108">
        <v>2964</v>
      </c>
      <c r="AS104" s="81" t="s">
        <v>713</v>
      </c>
      <c r="AT104" s="81"/>
      <c r="AU104" s="81" t="s">
        <v>255</v>
      </c>
      <c r="AV104" s="81"/>
    </row>
    <row r="105" spans="1:48" ht="20.399999999999999" x14ac:dyDescent="0.2">
      <c r="A105" s="309"/>
      <c r="B105" s="309"/>
      <c r="C105" s="309"/>
      <c r="D105" s="116">
        <v>245</v>
      </c>
      <c r="E105" s="309"/>
      <c r="F105" s="117" t="s">
        <v>267</v>
      </c>
      <c r="G105" s="309"/>
      <c r="H105" s="117" t="s">
        <v>54</v>
      </c>
      <c r="I105" s="309"/>
      <c r="J105" s="318">
        <v>3</v>
      </c>
      <c r="K105" s="116"/>
      <c r="L105" s="117" t="s">
        <v>288</v>
      </c>
      <c r="M105" s="116"/>
      <c r="N105" s="116" t="s">
        <v>56</v>
      </c>
      <c r="O105" s="309"/>
      <c r="P105" s="309"/>
      <c r="Q105" s="81">
        <v>904</v>
      </c>
      <c r="R105" s="116"/>
      <c r="S105" s="116"/>
      <c r="T105" s="116">
        <v>0</v>
      </c>
      <c r="U105" s="116"/>
      <c r="V105" s="118">
        <v>8119.63</v>
      </c>
      <c r="W105" s="116"/>
      <c r="X105" s="108"/>
      <c r="Y105" s="116"/>
      <c r="Z105" s="111">
        <v>0</v>
      </c>
      <c r="AA105" s="116"/>
      <c r="AB105" s="111">
        <v>5862</v>
      </c>
      <c r="AC105" s="309"/>
      <c r="AD105" s="331">
        <v>5788</v>
      </c>
      <c r="AE105" s="108"/>
      <c r="AF105" s="332">
        <v>1929</v>
      </c>
      <c r="AG105" s="108"/>
      <c r="AH105" s="331">
        <v>0</v>
      </c>
      <c r="AI105" s="331"/>
      <c r="AJ105" s="331">
        <v>6456</v>
      </c>
      <c r="AK105" s="331"/>
      <c r="AL105" s="108">
        <v>2152</v>
      </c>
      <c r="AM105" s="331"/>
      <c r="AN105" s="331">
        <v>0</v>
      </c>
      <c r="AO105" s="331"/>
      <c r="AP105" s="331">
        <v>5799</v>
      </c>
      <c r="AQ105" s="331"/>
      <c r="AR105" s="108">
        <v>1933</v>
      </c>
      <c r="AS105" s="81" t="s">
        <v>714</v>
      </c>
      <c r="AT105" s="81"/>
      <c r="AU105" s="81"/>
      <c r="AV105" s="81"/>
    </row>
    <row r="106" spans="1:48" x14ac:dyDescent="0.2">
      <c r="A106" s="309"/>
      <c r="B106" s="309"/>
      <c r="C106" s="309"/>
      <c r="D106" s="116">
        <v>245</v>
      </c>
      <c r="E106" s="309"/>
      <c r="F106" s="117" t="s">
        <v>262</v>
      </c>
      <c r="G106" s="309"/>
      <c r="H106" s="117" t="s">
        <v>263</v>
      </c>
      <c r="I106" s="309"/>
      <c r="J106" s="318">
        <v>2</v>
      </c>
      <c r="K106" s="116"/>
      <c r="L106" s="117" t="s">
        <v>264</v>
      </c>
      <c r="M106" s="116"/>
      <c r="N106" s="116" t="s">
        <v>56</v>
      </c>
      <c r="O106" s="309"/>
      <c r="P106" s="309"/>
      <c r="Q106" s="81">
        <v>904</v>
      </c>
      <c r="R106" s="116">
        <v>818</v>
      </c>
      <c r="S106" s="116"/>
      <c r="T106" s="116">
        <v>0</v>
      </c>
      <c r="U106" s="116"/>
      <c r="V106" s="118">
        <v>1636</v>
      </c>
      <c r="W106" s="116"/>
      <c r="X106" s="108">
        <v>1318</v>
      </c>
      <c r="Y106" s="116"/>
      <c r="Z106" s="111">
        <v>0</v>
      </c>
      <c r="AA106" s="116"/>
      <c r="AB106" s="111">
        <v>2636</v>
      </c>
      <c r="AC106" s="309"/>
      <c r="AD106" s="331">
        <v>2094</v>
      </c>
      <c r="AE106" s="108"/>
      <c r="AF106" s="332">
        <v>1047</v>
      </c>
      <c r="AG106" s="108"/>
      <c r="AH106" s="331">
        <v>0</v>
      </c>
      <c r="AI106" s="331"/>
      <c r="AJ106" s="331">
        <v>1982</v>
      </c>
      <c r="AK106" s="331"/>
      <c r="AL106" s="108">
        <v>991</v>
      </c>
      <c r="AM106" s="331"/>
      <c r="AN106" s="331">
        <v>0</v>
      </c>
      <c r="AO106" s="331"/>
      <c r="AP106" s="331">
        <v>2120</v>
      </c>
      <c r="AQ106" s="331"/>
      <c r="AR106" s="108">
        <v>1060</v>
      </c>
      <c r="AS106" s="81" t="s">
        <v>289</v>
      </c>
      <c r="AT106" s="81"/>
      <c r="AU106" s="81"/>
      <c r="AV106" s="81"/>
    </row>
    <row r="107" spans="1:48" ht="20.399999999999999" x14ac:dyDescent="0.2">
      <c r="A107" s="309"/>
      <c r="B107" s="309"/>
      <c r="C107" s="309"/>
      <c r="D107" s="116">
        <v>245</v>
      </c>
      <c r="E107" s="309"/>
      <c r="F107" s="117" t="s">
        <v>269</v>
      </c>
      <c r="G107" s="309"/>
      <c r="H107" s="117" t="s">
        <v>270</v>
      </c>
      <c r="I107" s="309"/>
      <c r="J107" s="318" t="s">
        <v>715</v>
      </c>
      <c r="K107" s="116"/>
      <c r="L107" s="117" t="s">
        <v>272</v>
      </c>
      <c r="M107" s="116"/>
      <c r="N107" s="116" t="s">
        <v>56</v>
      </c>
      <c r="O107" s="309"/>
      <c r="P107" s="309"/>
      <c r="Q107" s="81">
        <v>904</v>
      </c>
      <c r="R107" s="119">
        <v>18582</v>
      </c>
      <c r="S107" s="116"/>
      <c r="T107" s="116">
        <v>0</v>
      </c>
      <c r="U107" s="116"/>
      <c r="V107" s="118">
        <v>2787.36</v>
      </c>
      <c r="W107" s="116"/>
      <c r="X107" s="108"/>
      <c r="Y107" s="116"/>
      <c r="Z107" s="111">
        <v>0</v>
      </c>
      <c r="AA107" s="116"/>
      <c r="AB107" s="111">
        <v>2238.4899999999998</v>
      </c>
      <c r="AC107" s="309"/>
      <c r="AD107" s="331">
        <v>2129</v>
      </c>
      <c r="AE107" s="108"/>
      <c r="AF107" s="332">
        <v>14193</v>
      </c>
      <c r="AG107" s="108"/>
      <c r="AH107" s="331">
        <v>0</v>
      </c>
      <c r="AI107" s="331"/>
      <c r="AJ107" s="331">
        <v>2199</v>
      </c>
      <c r="AK107" s="331"/>
      <c r="AL107" s="108">
        <v>14660</v>
      </c>
      <c r="AM107" s="331"/>
      <c r="AN107" s="331">
        <v>0</v>
      </c>
      <c r="AO107" s="331"/>
      <c r="AP107" s="331">
        <v>1634</v>
      </c>
      <c r="AQ107" s="331"/>
      <c r="AR107" s="108">
        <v>10893</v>
      </c>
      <c r="AS107" s="81" t="s">
        <v>816</v>
      </c>
      <c r="AT107" s="81"/>
      <c r="AU107" s="81"/>
      <c r="AV107" s="81"/>
    </row>
    <row r="108" spans="1:48" x14ac:dyDescent="0.2">
      <c r="A108" s="309"/>
      <c r="B108" s="309"/>
      <c r="C108" s="309"/>
      <c r="D108" s="116">
        <v>245</v>
      </c>
      <c r="E108" s="309"/>
      <c r="F108" s="117" t="s">
        <v>273</v>
      </c>
      <c r="G108" s="309"/>
      <c r="H108" s="117" t="s">
        <v>54</v>
      </c>
      <c r="I108" s="309"/>
      <c r="J108" s="318">
        <v>5</v>
      </c>
      <c r="K108" s="116"/>
      <c r="L108" s="117" t="s">
        <v>274</v>
      </c>
      <c r="M108" s="116"/>
      <c r="N108" s="116" t="s">
        <v>56</v>
      </c>
      <c r="O108" s="309"/>
      <c r="P108" s="309"/>
      <c r="Q108" s="81">
        <v>904</v>
      </c>
      <c r="R108" s="116">
        <v>177</v>
      </c>
      <c r="S108" s="116"/>
      <c r="T108" s="116">
        <v>0</v>
      </c>
      <c r="U108" s="116"/>
      <c r="V108" s="118">
        <v>885</v>
      </c>
      <c r="W108" s="116"/>
      <c r="X108" s="108"/>
      <c r="Y108" s="116"/>
      <c r="Z108" s="111">
        <v>0</v>
      </c>
      <c r="AA108" s="116"/>
      <c r="AB108" s="111">
        <v>4093.68</v>
      </c>
      <c r="AC108" s="309"/>
      <c r="AD108" s="111">
        <v>12393</v>
      </c>
      <c r="AE108" s="108"/>
      <c r="AF108" s="108">
        <v>2479</v>
      </c>
      <c r="AG108" s="108"/>
      <c r="AH108" s="111">
        <v>0</v>
      </c>
      <c r="AI108" s="108"/>
      <c r="AJ108" s="111">
        <v>14271</v>
      </c>
      <c r="AK108" s="111"/>
      <c r="AL108" s="108">
        <v>2854</v>
      </c>
      <c r="AM108" s="111"/>
      <c r="AN108" s="111">
        <v>0</v>
      </c>
      <c r="AO108" s="108"/>
      <c r="AP108" s="111">
        <v>6000</v>
      </c>
      <c r="AQ108" s="108"/>
      <c r="AR108" s="108">
        <v>1200</v>
      </c>
      <c r="AS108" s="81" t="s">
        <v>816</v>
      </c>
      <c r="AT108" s="81"/>
      <c r="AU108" s="81"/>
      <c r="AV108" s="81"/>
    </row>
    <row r="109" spans="1:48" ht="30.6" x14ac:dyDescent="0.2">
      <c r="A109" s="309"/>
      <c r="B109" s="309" t="s">
        <v>290</v>
      </c>
      <c r="C109" s="309"/>
      <c r="D109" s="116">
        <v>246</v>
      </c>
      <c r="E109" s="309"/>
      <c r="F109" s="117" t="s">
        <v>253</v>
      </c>
      <c r="G109" s="309"/>
      <c r="H109" s="117" t="s">
        <v>54</v>
      </c>
      <c r="I109" s="309"/>
      <c r="J109" s="318" t="s">
        <v>254</v>
      </c>
      <c r="K109" s="116"/>
      <c r="L109" s="117" t="s">
        <v>276</v>
      </c>
      <c r="M109" s="116"/>
      <c r="N109" s="116" t="s">
        <v>56</v>
      </c>
      <c r="O109" s="309"/>
      <c r="P109" s="309"/>
      <c r="Q109" s="81">
        <v>904</v>
      </c>
      <c r="R109" s="116">
        <v>974</v>
      </c>
      <c r="S109" s="116"/>
      <c r="T109" s="116">
        <v>0</v>
      </c>
      <c r="U109" s="116"/>
      <c r="V109" s="118">
        <v>40543</v>
      </c>
      <c r="W109" s="116"/>
      <c r="X109" s="108">
        <v>1035</v>
      </c>
      <c r="Y109" s="116"/>
      <c r="Z109" s="111">
        <v>0</v>
      </c>
      <c r="AA109" s="116"/>
      <c r="AB109" s="111">
        <v>46447</v>
      </c>
      <c r="AC109" s="309"/>
      <c r="AD109" s="111">
        <v>43414</v>
      </c>
      <c r="AE109" s="108"/>
      <c r="AF109" s="108">
        <v>1002</v>
      </c>
      <c r="AG109" s="108"/>
      <c r="AH109" s="111">
        <v>0</v>
      </c>
      <c r="AI109" s="108">
        <v>0</v>
      </c>
      <c r="AJ109" s="111">
        <v>43696</v>
      </c>
      <c r="AK109" s="111"/>
      <c r="AL109" s="108">
        <v>1797</v>
      </c>
      <c r="AM109" s="111"/>
      <c r="AN109" s="111">
        <v>0</v>
      </c>
      <c r="AO109" s="108"/>
      <c r="AP109" s="111">
        <v>44010</v>
      </c>
      <c r="AQ109" s="108"/>
      <c r="AR109" s="108">
        <v>1691</v>
      </c>
      <c r="AS109" s="81" t="s">
        <v>713</v>
      </c>
      <c r="AT109" s="81"/>
      <c r="AU109" s="81" t="s">
        <v>255</v>
      </c>
      <c r="AV109" s="81"/>
    </row>
    <row r="110" spans="1:48" x14ac:dyDescent="0.2">
      <c r="A110" s="309"/>
      <c r="B110" s="309"/>
      <c r="C110" s="309"/>
      <c r="D110" s="116">
        <v>246</v>
      </c>
      <c r="E110" s="309"/>
      <c r="F110" s="117" t="s">
        <v>267</v>
      </c>
      <c r="G110" s="309"/>
      <c r="H110" s="117" t="s">
        <v>54</v>
      </c>
      <c r="I110" s="309"/>
      <c r="J110" s="318">
        <v>3</v>
      </c>
      <c r="K110" s="116"/>
      <c r="L110" s="117" t="s">
        <v>268</v>
      </c>
      <c r="M110" s="116"/>
      <c r="N110" s="116" t="s">
        <v>56</v>
      </c>
      <c r="O110" s="309"/>
      <c r="P110" s="309"/>
      <c r="Q110" s="81">
        <v>904</v>
      </c>
      <c r="R110" s="119">
        <v>2302</v>
      </c>
      <c r="S110" s="116"/>
      <c r="T110" s="116"/>
      <c r="U110" s="116"/>
      <c r="V110" s="118">
        <v>6906</v>
      </c>
      <c r="W110" s="116"/>
      <c r="X110" s="108">
        <v>2599</v>
      </c>
      <c r="Y110" s="116"/>
      <c r="Z110" s="111">
        <v>0</v>
      </c>
      <c r="AA110" s="116"/>
      <c r="AB110" s="111">
        <v>7797</v>
      </c>
      <c r="AC110" s="309"/>
      <c r="AD110" s="111">
        <v>5535</v>
      </c>
      <c r="AE110" s="108"/>
      <c r="AF110" s="108">
        <v>1845</v>
      </c>
      <c r="AG110" s="108"/>
      <c r="AH110" s="111">
        <v>0</v>
      </c>
      <c r="AI110" s="108"/>
      <c r="AJ110" s="111">
        <v>5630</v>
      </c>
      <c r="AK110" s="111"/>
      <c r="AL110" s="108">
        <v>1876</v>
      </c>
      <c r="AM110" s="111"/>
      <c r="AN110" s="111">
        <v>0</v>
      </c>
      <c r="AO110" s="108"/>
      <c r="AP110" s="111">
        <v>5523</v>
      </c>
      <c r="AQ110" s="108"/>
      <c r="AR110" s="108">
        <v>1841</v>
      </c>
      <c r="AS110" s="81" t="s">
        <v>291</v>
      </c>
      <c r="AT110" s="81"/>
      <c r="AU110" s="81"/>
      <c r="AV110" s="81"/>
    </row>
    <row r="111" spans="1:48" x14ac:dyDescent="0.2">
      <c r="A111" s="309"/>
      <c r="B111" s="309"/>
      <c r="C111" s="309"/>
      <c r="D111" s="116">
        <v>246</v>
      </c>
      <c r="E111" s="309"/>
      <c r="F111" s="117" t="s">
        <v>262</v>
      </c>
      <c r="G111" s="309"/>
      <c r="H111" s="117" t="s">
        <v>263</v>
      </c>
      <c r="I111" s="309"/>
      <c r="J111" s="318">
        <v>2</v>
      </c>
      <c r="K111" s="116"/>
      <c r="L111" s="117" t="s">
        <v>264</v>
      </c>
      <c r="M111" s="116"/>
      <c r="N111" s="116" t="s">
        <v>56</v>
      </c>
      <c r="O111" s="309"/>
      <c r="P111" s="309"/>
      <c r="Q111" s="81">
        <v>904</v>
      </c>
      <c r="R111" s="116">
        <v>584</v>
      </c>
      <c r="S111" s="116"/>
      <c r="T111" s="116">
        <v>0</v>
      </c>
      <c r="U111" s="116"/>
      <c r="V111" s="118">
        <v>1168</v>
      </c>
      <c r="W111" s="116"/>
      <c r="X111" s="108">
        <v>971</v>
      </c>
      <c r="Y111" s="116"/>
      <c r="Z111" s="111">
        <v>0</v>
      </c>
      <c r="AA111" s="116"/>
      <c r="AB111" s="111">
        <v>1942</v>
      </c>
      <c r="AC111" s="309"/>
      <c r="AD111" s="111">
        <v>1548</v>
      </c>
      <c r="AE111" s="108"/>
      <c r="AF111" s="108">
        <v>774</v>
      </c>
      <c r="AG111" s="108"/>
      <c r="AH111" s="111">
        <v>0</v>
      </c>
      <c r="AI111" s="108"/>
      <c r="AJ111" s="111">
        <v>1374</v>
      </c>
      <c r="AK111" s="111"/>
      <c r="AL111" s="108">
        <v>687</v>
      </c>
      <c r="AM111" s="111"/>
      <c r="AN111" s="111">
        <v>0</v>
      </c>
      <c r="AO111" s="108"/>
      <c r="AP111" s="111">
        <v>1104</v>
      </c>
      <c r="AQ111" s="108"/>
      <c r="AR111" s="108">
        <v>552</v>
      </c>
      <c r="AS111" s="81" t="s">
        <v>292</v>
      </c>
      <c r="AT111" s="81"/>
      <c r="AU111" s="81" t="s">
        <v>266</v>
      </c>
      <c r="AV111" s="81"/>
    </row>
    <row r="112" spans="1:48" x14ac:dyDescent="0.2">
      <c r="A112" s="309"/>
      <c r="B112" s="309"/>
      <c r="C112" s="309"/>
      <c r="D112" s="116">
        <v>246</v>
      </c>
      <c r="E112" s="309"/>
      <c r="F112" s="117" t="s">
        <v>262</v>
      </c>
      <c r="G112" s="309"/>
      <c r="H112" s="117" t="s">
        <v>293</v>
      </c>
      <c r="I112" s="309"/>
      <c r="J112" s="318">
        <v>2</v>
      </c>
      <c r="K112" s="116"/>
      <c r="L112" s="117" t="s">
        <v>264</v>
      </c>
      <c r="M112" s="116"/>
      <c r="N112" s="116" t="s">
        <v>56</v>
      </c>
      <c r="O112" s="309"/>
      <c r="P112" s="309"/>
      <c r="Q112" s="81">
        <v>904</v>
      </c>
      <c r="R112" s="116">
        <v>0</v>
      </c>
      <c r="S112" s="116"/>
      <c r="T112" s="116">
        <v>0</v>
      </c>
      <c r="U112" s="116"/>
      <c r="V112" s="118">
        <v>0</v>
      </c>
      <c r="W112" s="116"/>
      <c r="X112" s="108">
        <v>166</v>
      </c>
      <c r="Y112" s="116"/>
      <c r="Z112" s="111">
        <v>0</v>
      </c>
      <c r="AA112" s="116"/>
      <c r="AB112" s="111">
        <v>322</v>
      </c>
      <c r="AC112" s="309"/>
      <c r="AD112" s="111">
        <v>198</v>
      </c>
      <c r="AE112" s="108"/>
      <c r="AF112" s="108">
        <v>99</v>
      </c>
      <c r="AG112" s="108"/>
      <c r="AH112" s="111">
        <v>0</v>
      </c>
      <c r="AI112" s="108"/>
      <c r="AJ112" s="111">
        <v>232</v>
      </c>
      <c r="AK112" s="111"/>
      <c r="AL112" s="108">
        <v>116</v>
      </c>
      <c r="AM112" s="111"/>
      <c r="AN112" s="111">
        <v>0</v>
      </c>
      <c r="AO112" s="108"/>
      <c r="AP112" s="111">
        <v>222</v>
      </c>
      <c r="AQ112" s="108"/>
      <c r="AR112" s="108">
        <v>111</v>
      </c>
      <c r="AS112" s="81" t="s">
        <v>265</v>
      </c>
      <c r="AT112" s="81"/>
      <c r="AU112" s="81" t="s">
        <v>294</v>
      </c>
      <c r="AV112" s="81"/>
    </row>
    <row r="113" spans="1:48" ht="20.399999999999999" x14ac:dyDescent="0.2">
      <c r="A113" s="309"/>
      <c r="B113" s="309"/>
      <c r="C113" s="309"/>
      <c r="D113" s="116">
        <v>246</v>
      </c>
      <c r="E113" s="309"/>
      <c r="F113" s="117" t="s">
        <v>269</v>
      </c>
      <c r="G113" s="309"/>
      <c r="H113" s="117" t="s">
        <v>270</v>
      </c>
      <c r="I113" s="309"/>
      <c r="J113" s="318" t="s">
        <v>271</v>
      </c>
      <c r="K113" s="116"/>
      <c r="L113" s="117" t="s">
        <v>272</v>
      </c>
      <c r="M113" s="116"/>
      <c r="N113" s="116" t="s">
        <v>56</v>
      </c>
      <c r="O113" s="309"/>
      <c r="P113" s="309"/>
      <c r="Q113" s="81">
        <v>904</v>
      </c>
      <c r="R113" s="116">
        <v>7</v>
      </c>
      <c r="S113" s="116"/>
      <c r="T113" s="116">
        <v>0</v>
      </c>
      <c r="U113" s="116"/>
      <c r="V113" s="118">
        <v>910</v>
      </c>
      <c r="W113" s="116"/>
      <c r="X113" s="108">
        <v>0</v>
      </c>
      <c r="Y113" s="116"/>
      <c r="Z113" s="111">
        <v>0</v>
      </c>
      <c r="AA113" s="116"/>
      <c r="AB113" s="111">
        <v>0</v>
      </c>
      <c r="AC113" s="309"/>
      <c r="AD113" s="111">
        <v>714.05</v>
      </c>
      <c r="AE113" s="108"/>
      <c r="AF113" s="108">
        <v>4760</v>
      </c>
      <c r="AG113" s="108"/>
      <c r="AH113" s="111">
        <v>0</v>
      </c>
      <c r="AI113" s="108"/>
      <c r="AJ113" s="111">
        <v>387.25</v>
      </c>
      <c r="AK113" s="111"/>
      <c r="AL113" s="108">
        <v>2580</v>
      </c>
      <c r="AM113" s="111"/>
      <c r="AN113" s="111">
        <v>0</v>
      </c>
      <c r="AO113" s="108"/>
      <c r="AP113" s="111">
        <v>342.1</v>
      </c>
      <c r="AQ113" s="108"/>
      <c r="AR113" s="108">
        <v>2280</v>
      </c>
      <c r="AS113" s="81" t="s">
        <v>816</v>
      </c>
      <c r="AT113" s="81"/>
      <c r="AU113" s="81"/>
      <c r="AV113" s="81"/>
    </row>
    <row r="114" spans="1:48" x14ac:dyDescent="0.2">
      <c r="A114" s="309"/>
      <c r="B114" s="309"/>
      <c r="C114" s="309"/>
      <c r="D114" s="116">
        <v>246</v>
      </c>
      <c r="E114" s="309"/>
      <c r="F114" s="117" t="s">
        <v>273</v>
      </c>
      <c r="G114" s="309"/>
      <c r="H114" s="117" t="s">
        <v>54</v>
      </c>
      <c r="I114" s="309"/>
      <c r="J114" s="318">
        <v>5</v>
      </c>
      <c r="K114" s="116"/>
      <c r="L114" s="117" t="s">
        <v>274</v>
      </c>
      <c r="M114" s="116"/>
      <c r="N114" s="116" t="s">
        <v>56</v>
      </c>
      <c r="O114" s="309"/>
      <c r="P114" s="309"/>
      <c r="Q114" s="81">
        <v>904</v>
      </c>
      <c r="R114" s="119">
        <v>2144</v>
      </c>
      <c r="S114" s="116"/>
      <c r="T114" s="116">
        <v>0</v>
      </c>
      <c r="U114" s="116"/>
      <c r="V114" s="118">
        <v>10721</v>
      </c>
      <c r="W114" s="116"/>
      <c r="X114" s="108">
        <v>2043</v>
      </c>
      <c r="Y114" s="116"/>
      <c r="Z114" s="111">
        <v>0</v>
      </c>
      <c r="AA114" s="116"/>
      <c r="AB114" s="111">
        <v>10215</v>
      </c>
      <c r="AC114" s="309"/>
      <c r="AD114" s="111">
        <v>7480</v>
      </c>
      <c r="AE114" s="108"/>
      <c r="AF114" s="108">
        <v>1496</v>
      </c>
      <c r="AG114" s="108"/>
      <c r="AH114" s="111">
        <v>0</v>
      </c>
      <c r="AI114" s="108"/>
      <c r="AJ114" s="111">
        <v>6650</v>
      </c>
      <c r="AK114" s="111"/>
      <c r="AL114" s="108">
        <v>1330</v>
      </c>
      <c r="AM114" s="111"/>
      <c r="AN114" s="111">
        <v>0</v>
      </c>
      <c r="AO114" s="108"/>
      <c r="AP114" s="111">
        <v>1430</v>
      </c>
      <c r="AQ114" s="108"/>
      <c r="AR114" s="108">
        <v>286</v>
      </c>
      <c r="AS114" s="81" t="s">
        <v>816</v>
      </c>
      <c r="AT114" s="81"/>
      <c r="AU114" s="81"/>
      <c r="AV114" s="81"/>
    </row>
    <row r="115" spans="1:48" ht="20.399999999999999" x14ac:dyDescent="0.2">
      <c r="A115" s="309"/>
      <c r="B115" s="309"/>
      <c r="C115" s="309"/>
      <c r="D115" s="116">
        <v>246</v>
      </c>
      <c r="E115" s="309"/>
      <c r="F115" s="117" t="s">
        <v>823</v>
      </c>
      <c r="G115" s="309"/>
      <c r="H115" s="117" t="s">
        <v>706</v>
      </c>
      <c r="I115" s="309"/>
      <c r="J115" s="318">
        <v>0.11</v>
      </c>
      <c r="K115" s="116"/>
      <c r="L115" s="117" t="s">
        <v>707</v>
      </c>
      <c r="M115" s="116"/>
      <c r="N115" s="116" t="s">
        <v>56</v>
      </c>
      <c r="O115" s="309"/>
      <c r="P115" s="309"/>
      <c r="Q115" s="81">
        <v>904</v>
      </c>
      <c r="R115" s="119"/>
      <c r="S115" s="116"/>
      <c r="T115" s="116"/>
      <c r="U115" s="116"/>
      <c r="V115" s="118"/>
      <c r="W115" s="116"/>
      <c r="X115" s="108">
        <v>6901</v>
      </c>
      <c r="Y115" s="116"/>
      <c r="Z115" s="111">
        <v>0</v>
      </c>
      <c r="AA115" s="116"/>
      <c r="AB115" s="111">
        <v>759.11</v>
      </c>
      <c r="AC115" s="309"/>
      <c r="AD115" s="111">
        <v>8261</v>
      </c>
      <c r="AE115" s="108"/>
      <c r="AF115" s="108">
        <v>80598</v>
      </c>
      <c r="AG115" s="108"/>
      <c r="AH115" s="111">
        <v>0</v>
      </c>
      <c r="AI115" s="108"/>
      <c r="AJ115" s="111">
        <v>10852.1</v>
      </c>
      <c r="AK115" s="111"/>
      <c r="AL115" s="108">
        <v>106510</v>
      </c>
      <c r="AM115" s="111"/>
      <c r="AN115" s="111">
        <v>0</v>
      </c>
      <c r="AO115" s="108"/>
      <c r="AP115" s="111">
        <v>16969.59</v>
      </c>
      <c r="AQ115" s="108"/>
      <c r="AR115" s="108">
        <v>154269</v>
      </c>
      <c r="AS115" s="81" t="s">
        <v>265</v>
      </c>
      <c r="AT115" s="81"/>
      <c r="AU115" s="81"/>
      <c r="AV115" s="81"/>
    </row>
    <row r="116" spans="1:48" ht="20.399999999999999" x14ac:dyDescent="0.2">
      <c r="A116" s="309"/>
      <c r="B116" s="309" t="s">
        <v>295</v>
      </c>
      <c r="C116" s="309"/>
      <c r="D116" s="116">
        <v>247</v>
      </c>
      <c r="E116" s="309"/>
      <c r="F116" s="117" t="s">
        <v>296</v>
      </c>
      <c r="G116" s="309"/>
      <c r="H116" s="117" t="s">
        <v>54</v>
      </c>
      <c r="I116" s="309"/>
      <c r="J116" s="318" t="s">
        <v>297</v>
      </c>
      <c r="K116" s="116"/>
      <c r="L116" s="117" t="s">
        <v>258</v>
      </c>
      <c r="M116" s="116"/>
      <c r="N116" s="116" t="s">
        <v>56</v>
      </c>
      <c r="O116" s="309"/>
      <c r="P116" s="309"/>
      <c r="Q116" s="81">
        <v>904</v>
      </c>
      <c r="R116" s="116"/>
      <c r="S116" s="116"/>
      <c r="T116" s="116">
        <v>0</v>
      </c>
      <c r="U116" s="116"/>
      <c r="V116" s="118">
        <v>152702.30000000002</v>
      </c>
      <c r="W116" s="116"/>
      <c r="X116" s="108"/>
      <c r="Y116" s="116"/>
      <c r="Z116" s="111">
        <v>0</v>
      </c>
      <c r="AA116" s="116"/>
      <c r="AB116" s="111">
        <v>176334</v>
      </c>
      <c r="AC116" s="309"/>
      <c r="AD116" s="111">
        <v>172644</v>
      </c>
      <c r="AE116" s="108"/>
      <c r="AF116" s="108"/>
      <c r="AG116" s="108"/>
      <c r="AH116" s="111">
        <v>0</v>
      </c>
      <c r="AI116" s="108"/>
      <c r="AJ116" s="111">
        <v>169369</v>
      </c>
      <c r="AK116" s="111"/>
      <c r="AL116" s="108">
        <v>1852</v>
      </c>
      <c r="AM116" s="111"/>
      <c r="AN116" s="111">
        <v>0</v>
      </c>
      <c r="AO116" s="108"/>
      <c r="AP116" s="111">
        <v>120033</v>
      </c>
      <c r="AQ116" s="108"/>
      <c r="AR116" s="108">
        <v>1368</v>
      </c>
      <c r="AS116" s="81" t="s">
        <v>298</v>
      </c>
      <c r="AT116" s="81"/>
      <c r="AU116" s="81"/>
      <c r="AV116" s="81"/>
    </row>
    <row r="117" spans="1:48" ht="20.399999999999999" x14ac:dyDescent="0.2">
      <c r="A117" s="309"/>
      <c r="B117" s="309"/>
      <c r="C117" s="309"/>
      <c r="D117" s="116">
        <v>247</v>
      </c>
      <c r="E117" s="309"/>
      <c r="F117" s="117" t="s">
        <v>253</v>
      </c>
      <c r="G117" s="309"/>
      <c r="H117" s="117" t="s">
        <v>54</v>
      </c>
      <c r="I117" s="309"/>
      <c r="J117" s="318" t="s">
        <v>254</v>
      </c>
      <c r="K117" s="116"/>
      <c r="L117" s="117" t="s">
        <v>276</v>
      </c>
      <c r="M117" s="116"/>
      <c r="N117" s="116" t="s">
        <v>56</v>
      </c>
      <c r="O117" s="309"/>
      <c r="P117" s="309"/>
      <c r="Q117" s="81">
        <v>904</v>
      </c>
      <c r="R117" s="116"/>
      <c r="S117" s="116"/>
      <c r="T117" s="116">
        <v>0</v>
      </c>
      <c r="U117" s="116"/>
      <c r="V117" s="118">
        <v>26725.46</v>
      </c>
      <c r="W117" s="116"/>
      <c r="X117" s="108"/>
      <c r="Y117" s="116"/>
      <c r="Z117" s="111">
        <v>0</v>
      </c>
      <c r="AA117" s="116"/>
      <c r="AB117" s="111">
        <v>32965</v>
      </c>
      <c r="AC117" s="309"/>
      <c r="AD117" s="111">
        <v>20810</v>
      </c>
      <c r="AE117" s="108"/>
      <c r="AF117" s="108"/>
      <c r="AG117" s="108"/>
      <c r="AH117" s="111">
        <v>0</v>
      </c>
      <c r="AI117" s="108"/>
      <c r="AJ117" s="111">
        <v>17694</v>
      </c>
      <c r="AK117" s="111"/>
      <c r="AL117" s="108">
        <v>1210</v>
      </c>
      <c r="AM117" s="111"/>
      <c r="AN117" s="111">
        <v>0</v>
      </c>
      <c r="AO117" s="108"/>
      <c r="AP117" s="111">
        <v>14347</v>
      </c>
      <c r="AQ117" s="108"/>
      <c r="AR117" s="108">
        <v>1153</v>
      </c>
      <c r="AS117" s="81"/>
      <c r="AT117" s="81"/>
      <c r="AU117" s="81"/>
      <c r="AV117" s="81"/>
    </row>
    <row r="118" spans="1:48" ht="20.399999999999999" x14ac:dyDescent="0.2">
      <c r="A118" s="309"/>
      <c r="B118" s="309"/>
      <c r="C118" s="309"/>
      <c r="D118" s="116">
        <v>247</v>
      </c>
      <c r="E118" s="309"/>
      <c r="F118" s="117" t="s">
        <v>267</v>
      </c>
      <c r="G118" s="309"/>
      <c r="H118" s="117" t="s">
        <v>54</v>
      </c>
      <c r="I118" s="309"/>
      <c r="J118" s="318" t="s">
        <v>708</v>
      </c>
      <c r="K118" s="116"/>
      <c r="L118" s="117" t="s">
        <v>709</v>
      </c>
      <c r="M118" s="116"/>
      <c r="N118" s="116" t="s">
        <v>56</v>
      </c>
      <c r="O118" s="309"/>
      <c r="P118" s="309"/>
      <c r="Q118" s="81">
        <v>904</v>
      </c>
      <c r="R118" s="119">
        <v>1029</v>
      </c>
      <c r="S118" s="116"/>
      <c r="T118" s="116"/>
      <c r="U118" s="116"/>
      <c r="V118" s="118">
        <v>3088.37</v>
      </c>
      <c r="W118" s="116"/>
      <c r="X118" s="108">
        <v>948</v>
      </c>
      <c r="Y118" s="116"/>
      <c r="Z118" s="111">
        <v>0</v>
      </c>
      <c r="AA118" s="116"/>
      <c r="AB118" s="111">
        <v>2844</v>
      </c>
      <c r="AC118" s="309"/>
      <c r="AD118" s="111">
        <v>2899</v>
      </c>
      <c r="AE118" s="108"/>
      <c r="AF118" s="108">
        <v>966</v>
      </c>
      <c r="AG118" s="108"/>
      <c r="AH118" s="111">
        <v>0</v>
      </c>
      <c r="AI118" s="108"/>
      <c r="AJ118" s="111">
        <v>3114</v>
      </c>
      <c r="AK118" s="111"/>
      <c r="AL118" s="108">
        <v>1038</v>
      </c>
      <c r="AM118" s="111"/>
      <c r="AN118" s="111">
        <v>0</v>
      </c>
      <c r="AO118" s="108"/>
      <c r="AP118" s="111">
        <v>2661</v>
      </c>
      <c r="AQ118" s="108"/>
      <c r="AR118" s="108">
        <v>887</v>
      </c>
      <c r="AS118" s="81"/>
      <c r="AT118" s="81"/>
      <c r="AU118" s="81"/>
      <c r="AV118" s="81"/>
    </row>
    <row r="119" spans="1:48" ht="20.399999999999999" x14ac:dyDescent="0.2">
      <c r="A119" s="309"/>
      <c r="B119" s="309"/>
      <c r="C119" s="309"/>
      <c r="D119" s="116">
        <v>247</v>
      </c>
      <c r="E119" s="309"/>
      <c r="F119" s="117" t="s">
        <v>269</v>
      </c>
      <c r="G119" s="309"/>
      <c r="H119" s="117" t="s">
        <v>270</v>
      </c>
      <c r="I119" s="309"/>
      <c r="J119" s="318" t="s">
        <v>271</v>
      </c>
      <c r="K119" s="116"/>
      <c r="L119" s="117" t="s">
        <v>272</v>
      </c>
      <c r="M119" s="116"/>
      <c r="N119" s="116" t="s">
        <v>56</v>
      </c>
      <c r="O119" s="309"/>
      <c r="P119" s="309"/>
      <c r="Q119" s="81">
        <v>904</v>
      </c>
      <c r="R119" s="116"/>
      <c r="S119" s="116"/>
      <c r="T119" s="116">
        <v>0</v>
      </c>
      <c r="U119" s="116"/>
      <c r="V119" s="118">
        <f>1281.92+273.48</f>
        <v>1555.4</v>
      </c>
      <c r="W119" s="116"/>
      <c r="X119" s="108"/>
      <c r="Y119" s="116"/>
      <c r="Z119" s="111">
        <v>0</v>
      </c>
      <c r="AA119" s="116"/>
      <c r="AB119" s="111">
        <v>378</v>
      </c>
      <c r="AC119" s="309"/>
      <c r="AD119" s="111">
        <v>527</v>
      </c>
      <c r="AE119" s="108"/>
      <c r="AF119" s="108"/>
      <c r="AG119" s="108"/>
      <c r="AH119" s="111">
        <v>0</v>
      </c>
      <c r="AI119" s="108"/>
      <c r="AJ119" s="111">
        <v>501</v>
      </c>
      <c r="AK119" s="111"/>
      <c r="AL119" s="108">
        <v>1978</v>
      </c>
      <c r="AM119" s="111"/>
      <c r="AN119" s="111">
        <v>0</v>
      </c>
      <c r="AO119" s="108"/>
      <c r="AP119" s="111">
        <v>479</v>
      </c>
      <c r="AQ119" s="108"/>
      <c r="AR119" s="108">
        <v>506</v>
      </c>
      <c r="AS119" s="81" t="s">
        <v>816</v>
      </c>
      <c r="AT119" s="81"/>
      <c r="AU119" s="81"/>
      <c r="AV119" s="81"/>
    </row>
    <row r="120" spans="1:48" x14ac:dyDescent="0.2">
      <c r="A120" s="309"/>
      <c r="B120" s="309"/>
      <c r="C120" s="309"/>
      <c r="D120" s="116">
        <v>247</v>
      </c>
      <c r="E120" s="309"/>
      <c r="F120" s="117" t="s">
        <v>273</v>
      </c>
      <c r="G120" s="309"/>
      <c r="H120" s="117" t="s">
        <v>54</v>
      </c>
      <c r="I120" s="309"/>
      <c r="J120" s="318">
        <v>5</v>
      </c>
      <c r="K120" s="116"/>
      <c r="L120" s="117" t="s">
        <v>274</v>
      </c>
      <c r="M120" s="116"/>
      <c r="N120" s="116" t="s">
        <v>56</v>
      </c>
      <c r="O120" s="309"/>
      <c r="P120" s="309"/>
      <c r="Q120" s="81">
        <v>904</v>
      </c>
      <c r="R120" s="116">
        <v>789</v>
      </c>
      <c r="S120" s="116"/>
      <c r="T120" s="116">
        <v>0</v>
      </c>
      <c r="U120" s="116"/>
      <c r="V120" s="118">
        <v>3942.7</v>
      </c>
      <c r="W120" s="116"/>
      <c r="X120" s="108">
        <v>783</v>
      </c>
      <c r="Y120" s="116"/>
      <c r="Z120" s="111">
        <v>0</v>
      </c>
      <c r="AA120" s="116"/>
      <c r="AB120" s="111">
        <v>3916</v>
      </c>
      <c r="AC120" s="309"/>
      <c r="AD120" s="111">
        <v>3000</v>
      </c>
      <c r="AE120" s="108"/>
      <c r="AF120" s="108">
        <v>600</v>
      </c>
      <c r="AG120" s="108"/>
      <c r="AH120" s="111">
        <v>0</v>
      </c>
      <c r="AI120" s="108"/>
      <c r="AJ120" s="111">
        <v>1213</v>
      </c>
      <c r="AK120" s="111"/>
      <c r="AL120" s="108">
        <v>242</v>
      </c>
      <c r="AM120" s="111"/>
      <c r="AN120" s="111">
        <v>0</v>
      </c>
      <c r="AO120" s="108"/>
      <c r="AP120" s="111">
        <v>801</v>
      </c>
      <c r="AQ120" s="108"/>
      <c r="AR120" s="108">
        <v>160</v>
      </c>
      <c r="AS120" s="81" t="s">
        <v>816</v>
      </c>
      <c r="AT120" s="81"/>
      <c r="AU120" s="81"/>
      <c r="AV120" s="81"/>
    </row>
    <row r="121" spans="1:48" x14ac:dyDescent="0.2">
      <c r="A121" s="309"/>
      <c r="B121" s="309"/>
      <c r="C121" s="309"/>
      <c r="D121" s="116">
        <v>247</v>
      </c>
      <c r="E121" s="309"/>
      <c r="F121" s="117" t="s">
        <v>262</v>
      </c>
      <c r="G121" s="309"/>
      <c r="H121" s="117" t="s">
        <v>263</v>
      </c>
      <c r="I121" s="309"/>
      <c r="J121" s="318">
        <v>2</v>
      </c>
      <c r="K121" s="116"/>
      <c r="L121" s="117" t="s">
        <v>264</v>
      </c>
      <c r="M121" s="116"/>
      <c r="N121" s="116" t="s">
        <v>56</v>
      </c>
      <c r="O121" s="309"/>
      <c r="P121" s="309"/>
      <c r="Q121" s="81">
        <v>904</v>
      </c>
      <c r="R121" s="116"/>
      <c r="S121" s="116"/>
      <c r="T121" s="116"/>
      <c r="U121" s="116"/>
      <c r="V121" s="118">
        <v>596.5</v>
      </c>
      <c r="W121" s="116"/>
      <c r="X121" s="108"/>
      <c r="Y121" s="116"/>
      <c r="Z121" s="111">
        <v>0</v>
      </c>
      <c r="AA121" s="116"/>
      <c r="AB121" s="111">
        <v>820</v>
      </c>
      <c r="AC121" s="309"/>
      <c r="AD121" s="111">
        <v>828</v>
      </c>
      <c r="AE121" s="108"/>
      <c r="AF121" s="108">
        <v>414</v>
      </c>
      <c r="AG121" s="108"/>
      <c r="AH121" s="111">
        <v>0</v>
      </c>
      <c r="AI121" s="108"/>
      <c r="AJ121" s="111">
        <v>894</v>
      </c>
      <c r="AK121" s="111"/>
      <c r="AL121" s="108">
        <v>447</v>
      </c>
      <c r="AM121" s="111"/>
      <c r="AN121" s="111">
        <v>0</v>
      </c>
      <c r="AO121" s="108"/>
      <c r="AP121" s="111">
        <v>788</v>
      </c>
      <c r="AQ121" s="108"/>
      <c r="AR121" s="108">
        <v>394</v>
      </c>
      <c r="AS121" s="81" t="s">
        <v>265</v>
      </c>
      <c r="AT121" s="81"/>
      <c r="AU121" s="81" t="s">
        <v>266</v>
      </c>
      <c r="AV121" s="81"/>
    </row>
    <row r="122" spans="1:48" x14ac:dyDescent="0.2">
      <c r="A122" s="309"/>
      <c r="B122" s="333"/>
      <c r="C122" s="309"/>
      <c r="D122" s="116"/>
      <c r="E122" s="309"/>
      <c r="F122" s="117" t="s">
        <v>262</v>
      </c>
      <c r="G122" s="309"/>
      <c r="H122" s="117" t="s">
        <v>54</v>
      </c>
      <c r="I122" s="309"/>
      <c r="J122" s="318">
        <v>2</v>
      </c>
      <c r="K122" s="116"/>
      <c r="L122" s="117"/>
      <c r="M122" s="116"/>
      <c r="N122" s="116"/>
      <c r="O122" s="309"/>
      <c r="P122" s="309"/>
      <c r="Q122" s="81"/>
      <c r="R122" s="116"/>
      <c r="S122" s="116"/>
      <c r="T122" s="116"/>
      <c r="U122" s="116"/>
      <c r="V122" s="118"/>
      <c r="W122" s="116"/>
      <c r="X122" s="108"/>
      <c r="Y122" s="116"/>
      <c r="Z122" s="111"/>
      <c r="AA122" s="116"/>
      <c r="AB122" s="111"/>
      <c r="AC122" s="309"/>
      <c r="AD122" s="111">
        <v>104</v>
      </c>
      <c r="AE122" s="108"/>
      <c r="AF122" s="108">
        <v>52</v>
      </c>
      <c r="AG122" s="108"/>
      <c r="AH122" s="111">
        <v>0</v>
      </c>
      <c r="AI122" s="108"/>
      <c r="AJ122" s="111">
        <v>164</v>
      </c>
      <c r="AK122" s="111"/>
      <c r="AL122" s="108">
        <v>82</v>
      </c>
      <c r="AM122" s="111"/>
      <c r="AN122" s="111">
        <v>0</v>
      </c>
      <c r="AO122" s="108"/>
      <c r="AP122" s="111">
        <v>210</v>
      </c>
      <c r="AQ122" s="108"/>
      <c r="AR122" s="108">
        <v>105</v>
      </c>
      <c r="AS122" s="81" t="s">
        <v>813</v>
      </c>
      <c r="AT122" s="81"/>
      <c r="AU122" s="81"/>
      <c r="AV122" s="81"/>
    </row>
    <row r="123" spans="1:48" x14ac:dyDescent="0.2">
      <c r="A123" s="309"/>
      <c r="B123" s="309" t="s">
        <v>299</v>
      </c>
      <c r="C123" s="309"/>
      <c r="D123" s="116">
        <v>248</v>
      </c>
      <c r="E123" s="309"/>
      <c r="F123" s="117" t="s">
        <v>300</v>
      </c>
      <c r="G123" s="309"/>
      <c r="H123" s="117" t="s">
        <v>301</v>
      </c>
      <c r="I123" s="309"/>
      <c r="J123" s="318"/>
      <c r="K123" s="116"/>
      <c r="L123" s="117"/>
      <c r="M123" s="116"/>
      <c r="N123" s="116" t="s">
        <v>56</v>
      </c>
      <c r="O123" s="309"/>
      <c r="P123" s="309"/>
      <c r="Q123" s="81">
        <v>904</v>
      </c>
      <c r="R123" s="116"/>
      <c r="S123" s="116"/>
      <c r="T123" s="116">
        <v>0</v>
      </c>
      <c r="U123" s="116"/>
      <c r="V123" s="118">
        <v>38564</v>
      </c>
      <c r="W123" s="116"/>
      <c r="X123" s="108"/>
      <c r="Y123" s="116"/>
      <c r="Z123" s="111">
        <v>0</v>
      </c>
      <c r="AA123" s="116"/>
      <c r="AB123" s="111">
        <v>27396</v>
      </c>
      <c r="AC123" s="309"/>
      <c r="AD123" s="325">
        <v>20418</v>
      </c>
      <c r="AE123" s="322"/>
      <c r="AF123" s="322"/>
      <c r="AG123" s="322"/>
      <c r="AH123" s="325"/>
      <c r="AI123" s="322"/>
      <c r="AJ123" s="325">
        <v>21126</v>
      </c>
      <c r="AK123" s="325"/>
      <c r="AL123" s="108">
        <v>6000</v>
      </c>
      <c r="AM123" s="325"/>
      <c r="AN123" s="325"/>
      <c r="AO123" s="322"/>
      <c r="AP123" s="325">
        <v>21786</v>
      </c>
      <c r="AQ123" s="322"/>
      <c r="AR123" s="108">
        <v>6000</v>
      </c>
      <c r="AS123" s="81"/>
      <c r="AT123" s="81"/>
      <c r="AU123" s="81"/>
      <c r="AV123" s="81"/>
    </row>
    <row r="124" spans="1:48" ht="20.399999999999999" x14ac:dyDescent="0.2">
      <c r="A124" s="309"/>
      <c r="B124" s="309"/>
      <c r="C124" s="309"/>
      <c r="D124" s="116">
        <v>248</v>
      </c>
      <c r="E124" s="309"/>
      <c r="F124" s="117" t="s">
        <v>253</v>
      </c>
      <c r="G124" s="309"/>
      <c r="H124" s="117" t="s">
        <v>54</v>
      </c>
      <c r="I124" s="309"/>
      <c r="J124" s="318" t="s">
        <v>254</v>
      </c>
      <c r="K124" s="116"/>
      <c r="L124" s="117" t="s">
        <v>276</v>
      </c>
      <c r="M124" s="116"/>
      <c r="N124" s="116" t="s">
        <v>56</v>
      </c>
      <c r="O124" s="309"/>
      <c r="P124" s="309"/>
      <c r="Q124" s="81">
        <v>904</v>
      </c>
      <c r="R124" s="116"/>
      <c r="S124" s="116"/>
      <c r="T124" s="116">
        <v>0</v>
      </c>
      <c r="U124" s="116"/>
      <c r="V124" s="118">
        <v>46407</v>
      </c>
      <c r="W124" s="116"/>
      <c r="X124" s="108"/>
      <c r="Y124" s="116"/>
      <c r="Z124" s="111">
        <v>0</v>
      </c>
      <c r="AA124" s="116"/>
      <c r="AB124" s="111">
        <v>57071</v>
      </c>
      <c r="AC124" s="309"/>
      <c r="AD124" s="325">
        <v>54054.21</v>
      </c>
      <c r="AE124" s="322"/>
      <c r="AF124" s="322"/>
      <c r="AG124" s="322"/>
      <c r="AH124" s="325">
        <v>0</v>
      </c>
      <c r="AI124" s="322"/>
      <c r="AJ124" s="325">
        <v>51985.919999999998</v>
      </c>
      <c r="AK124" s="325"/>
      <c r="AL124" s="108">
        <v>2240</v>
      </c>
      <c r="AM124" s="325"/>
      <c r="AN124" s="325">
        <v>0</v>
      </c>
      <c r="AO124" s="322"/>
      <c r="AP124" s="325">
        <v>49335.13</v>
      </c>
      <c r="AQ124" s="322"/>
      <c r="AR124" s="108">
        <v>2045</v>
      </c>
      <c r="AS124" s="81"/>
      <c r="AT124" s="81"/>
      <c r="AU124" s="81"/>
      <c r="AV124" s="81"/>
    </row>
    <row r="125" spans="1:48" x14ac:dyDescent="0.2">
      <c r="A125" s="309"/>
      <c r="B125" s="309"/>
      <c r="C125" s="309"/>
      <c r="D125" s="116">
        <v>248</v>
      </c>
      <c r="E125" s="309"/>
      <c r="F125" s="117" t="s">
        <v>269</v>
      </c>
      <c r="G125" s="309"/>
      <c r="H125" s="117" t="s">
        <v>54</v>
      </c>
      <c r="I125" s="309"/>
      <c r="J125" s="318" t="s">
        <v>715</v>
      </c>
      <c r="K125" s="116"/>
      <c r="L125" s="117" t="s">
        <v>272</v>
      </c>
      <c r="M125" s="116"/>
      <c r="N125" s="116" t="s">
        <v>56</v>
      </c>
      <c r="O125" s="309"/>
      <c r="P125" s="309"/>
      <c r="Q125" s="81">
        <v>904</v>
      </c>
      <c r="R125" s="116"/>
      <c r="S125" s="116"/>
      <c r="T125" s="116"/>
      <c r="U125" s="116"/>
      <c r="V125" s="118">
        <v>813</v>
      </c>
      <c r="W125" s="116"/>
      <c r="X125" s="108"/>
      <c r="Y125" s="116"/>
      <c r="Z125" s="111">
        <v>0</v>
      </c>
      <c r="AA125" s="116"/>
      <c r="AB125" s="111">
        <v>645</v>
      </c>
      <c r="AC125" s="309"/>
      <c r="AD125" s="325">
        <v>0</v>
      </c>
      <c r="AE125" s="322"/>
      <c r="AF125" s="322">
        <v>0</v>
      </c>
      <c r="AG125" s="322"/>
      <c r="AH125" s="325">
        <v>0</v>
      </c>
      <c r="AI125" s="322"/>
      <c r="AJ125" s="325">
        <v>0</v>
      </c>
      <c r="AK125" s="325"/>
      <c r="AL125" s="108"/>
      <c r="AM125" s="325"/>
      <c r="AN125" s="325">
        <v>0</v>
      </c>
      <c r="AO125" s="322"/>
      <c r="AP125" s="325">
        <v>0</v>
      </c>
      <c r="AQ125" s="322">
        <v>0</v>
      </c>
      <c r="AR125" s="108"/>
      <c r="AS125" s="81" t="s">
        <v>816</v>
      </c>
      <c r="AT125" s="81"/>
      <c r="AU125" s="81"/>
      <c r="AV125" s="81"/>
    </row>
    <row r="126" spans="1:48" x14ac:dyDescent="0.2">
      <c r="A126" s="309"/>
      <c r="B126" s="309"/>
      <c r="C126" s="309"/>
      <c r="D126" s="116">
        <v>248</v>
      </c>
      <c r="E126" s="309"/>
      <c r="F126" s="117" t="s">
        <v>267</v>
      </c>
      <c r="G126" s="309"/>
      <c r="H126" s="117" t="s">
        <v>54</v>
      </c>
      <c r="I126" s="309"/>
      <c r="J126" s="318">
        <v>3</v>
      </c>
      <c r="K126" s="116"/>
      <c r="L126" s="117" t="s">
        <v>268</v>
      </c>
      <c r="M126" s="116"/>
      <c r="N126" s="116" t="s">
        <v>56</v>
      </c>
      <c r="O126" s="309"/>
      <c r="P126" s="309"/>
      <c r="Q126" s="81">
        <v>904</v>
      </c>
      <c r="R126" s="116"/>
      <c r="S126" s="116"/>
      <c r="T126" s="116"/>
      <c r="U126" s="116"/>
      <c r="V126" s="118">
        <v>4662</v>
      </c>
      <c r="W126" s="116"/>
      <c r="X126" s="108"/>
      <c r="Y126" s="116"/>
      <c r="Z126" s="111">
        <v>0</v>
      </c>
      <c r="AA126" s="116"/>
      <c r="AB126" s="111">
        <v>5740</v>
      </c>
      <c r="AC126" s="309"/>
      <c r="AD126" s="325">
        <v>5223.8</v>
      </c>
      <c r="AE126" s="322"/>
      <c r="AF126" s="322">
        <v>1741</v>
      </c>
      <c r="AG126" s="322"/>
      <c r="AH126" s="325">
        <v>0</v>
      </c>
      <c r="AI126" s="322"/>
      <c r="AJ126" s="325">
        <v>5429.49</v>
      </c>
      <c r="AK126" s="325"/>
      <c r="AL126" s="334">
        <v>1809</v>
      </c>
      <c r="AM126" s="325"/>
      <c r="AN126" s="335">
        <v>0</v>
      </c>
      <c r="AO126" s="322"/>
      <c r="AP126" s="325">
        <v>5103</v>
      </c>
      <c r="AQ126" s="322">
        <v>1701</v>
      </c>
      <c r="AR126" s="108">
        <v>1701</v>
      </c>
      <c r="AS126" s="81" t="s">
        <v>816</v>
      </c>
      <c r="AT126" s="81"/>
      <c r="AU126" s="81"/>
      <c r="AV126" s="81"/>
    </row>
    <row r="127" spans="1:48" ht="20.399999999999999" x14ac:dyDescent="0.2">
      <c r="A127" s="309"/>
      <c r="B127" s="309"/>
      <c r="C127" s="309"/>
      <c r="D127" s="116">
        <v>248</v>
      </c>
      <c r="E127" s="309"/>
      <c r="F127" s="117" t="s">
        <v>262</v>
      </c>
      <c r="G127" s="309"/>
      <c r="H127" s="117" t="s">
        <v>54</v>
      </c>
      <c r="I127" s="309"/>
      <c r="J127" s="318">
        <v>2</v>
      </c>
      <c r="K127" s="116"/>
      <c r="L127" s="117" t="s">
        <v>264</v>
      </c>
      <c r="M127" s="116"/>
      <c r="N127" s="116" t="s">
        <v>56</v>
      </c>
      <c r="O127" s="309"/>
      <c r="P127" s="309"/>
      <c r="Q127" s="81">
        <v>904</v>
      </c>
      <c r="R127" s="116">
        <v>84</v>
      </c>
      <c r="S127" s="116"/>
      <c r="T127" s="116"/>
      <c r="U127" s="116"/>
      <c r="V127" s="118">
        <v>168</v>
      </c>
      <c r="W127" s="116"/>
      <c r="X127" s="108"/>
      <c r="Y127" s="116"/>
      <c r="Z127" s="111">
        <v>0</v>
      </c>
      <c r="AA127" s="116"/>
      <c r="AB127" s="111">
        <v>0</v>
      </c>
      <c r="AC127" s="309"/>
      <c r="AD127" s="325">
        <v>206</v>
      </c>
      <c r="AE127" s="322"/>
      <c r="AF127" s="322">
        <v>103</v>
      </c>
      <c r="AG127" s="322"/>
      <c r="AH127" s="325">
        <v>0</v>
      </c>
      <c r="AI127" s="322"/>
      <c r="AJ127" s="325">
        <v>331</v>
      </c>
      <c r="AK127" s="325"/>
      <c r="AL127" s="334">
        <v>165</v>
      </c>
      <c r="AM127" s="325"/>
      <c r="AN127" s="335">
        <v>0</v>
      </c>
      <c r="AO127" s="322"/>
      <c r="AP127" s="325">
        <v>178</v>
      </c>
      <c r="AQ127" s="322">
        <v>89</v>
      </c>
      <c r="AR127" s="108">
        <v>89</v>
      </c>
      <c r="AS127" s="81" t="s">
        <v>265</v>
      </c>
      <c r="AT127" s="81"/>
      <c r="AU127" s="81" t="s">
        <v>710</v>
      </c>
      <c r="AV127" s="81"/>
    </row>
    <row r="128" spans="1:48" ht="18" customHeight="1" x14ac:dyDescent="0.2">
      <c r="A128" s="309"/>
      <c r="B128" s="309"/>
      <c r="C128" s="309"/>
      <c r="D128" s="116">
        <v>248</v>
      </c>
      <c r="E128" s="309"/>
      <c r="F128" s="117" t="s">
        <v>273</v>
      </c>
      <c r="G128" s="309"/>
      <c r="H128" s="117" t="s">
        <v>54</v>
      </c>
      <c r="I128" s="309"/>
      <c r="J128" s="318">
        <v>5</v>
      </c>
      <c r="K128" s="116"/>
      <c r="L128" s="117" t="s">
        <v>274</v>
      </c>
      <c r="M128" s="116"/>
      <c r="N128" s="116" t="s">
        <v>56</v>
      </c>
      <c r="O128" s="309"/>
      <c r="P128" s="309"/>
      <c r="Q128" s="81">
        <v>904</v>
      </c>
      <c r="R128" s="116">
        <v>23</v>
      </c>
      <c r="S128" s="116"/>
      <c r="T128" s="116">
        <v>0</v>
      </c>
      <c r="U128" s="116"/>
      <c r="V128" s="118">
        <v>114</v>
      </c>
      <c r="W128" s="116"/>
      <c r="X128" s="108">
        <v>24</v>
      </c>
      <c r="Y128" s="116"/>
      <c r="Z128" s="111">
        <v>0</v>
      </c>
      <c r="AA128" s="116"/>
      <c r="AB128" s="111">
        <v>122</v>
      </c>
      <c r="AC128" s="309"/>
      <c r="AD128" s="111">
        <v>182</v>
      </c>
      <c r="AE128" s="108"/>
      <c r="AF128" s="108">
        <v>36</v>
      </c>
      <c r="AG128" s="108"/>
      <c r="AH128" s="111">
        <v>0</v>
      </c>
      <c r="AI128" s="108"/>
      <c r="AJ128" s="111">
        <v>101</v>
      </c>
      <c r="AK128" s="111"/>
      <c r="AL128" s="334">
        <v>20</v>
      </c>
      <c r="AM128" s="111"/>
      <c r="AN128" s="336">
        <v>0</v>
      </c>
      <c r="AO128" s="108"/>
      <c r="AP128" s="111">
        <v>297</v>
      </c>
      <c r="AQ128" s="108">
        <v>59</v>
      </c>
      <c r="AR128" s="108">
        <v>59</v>
      </c>
      <c r="AS128" s="81" t="s">
        <v>816</v>
      </c>
      <c r="AT128" s="81"/>
      <c r="AU128" s="81"/>
      <c r="AV128" s="81"/>
    </row>
    <row r="129" spans="1:48" x14ac:dyDescent="0.2">
      <c r="A129" s="309"/>
      <c r="B129" s="309" t="s">
        <v>302</v>
      </c>
      <c r="C129" s="309"/>
      <c r="D129" s="116">
        <v>249</v>
      </c>
      <c r="E129" s="309"/>
      <c r="F129" s="117" t="s">
        <v>262</v>
      </c>
      <c r="G129" s="309"/>
      <c r="H129" s="117" t="s">
        <v>263</v>
      </c>
      <c r="I129" s="309"/>
      <c r="J129" s="318">
        <v>2</v>
      </c>
      <c r="K129" s="116"/>
      <c r="L129" s="117" t="s">
        <v>264</v>
      </c>
      <c r="M129" s="116"/>
      <c r="N129" s="116" t="s">
        <v>56</v>
      </c>
      <c r="O129" s="309"/>
      <c r="P129" s="309"/>
      <c r="Q129" s="81">
        <v>904</v>
      </c>
      <c r="R129" s="116">
        <v>184</v>
      </c>
      <c r="S129" s="116"/>
      <c r="T129" s="116"/>
      <c r="U129" s="116"/>
      <c r="V129" s="118">
        <v>368</v>
      </c>
      <c r="W129" s="116"/>
      <c r="X129" s="108" t="s">
        <v>51</v>
      </c>
      <c r="Y129" s="116"/>
      <c r="Z129" s="111">
        <v>0</v>
      </c>
      <c r="AA129" s="116"/>
      <c r="AB129" s="111">
        <v>678</v>
      </c>
      <c r="AC129" s="309"/>
      <c r="AD129" s="111">
        <v>562</v>
      </c>
      <c r="AE129" s="108" t="s">
        <v>748</v>
      </c>
      <c r="AF129" s="108">
        <v>281</v>
      </c>
      <c r="AG129" s="108"/>
      <c r="AH129" s="325">
        <v>0</v>
      </c>
      <c r="AI129" s="108"/>
      <c r="AJ129" s="111">
        <v>604</v>
      </c>
      <c r="AK129" s="111"/>
      <c r="AL129" s="108">
        <v>302</v>
      </c>
      <c r="AM129" s="111"/>
      <c r="AN129" s="325">
        <v>0</v>
      </c>
      <c r="AO129" s="108"/>
      <c r="AP129" s="111">
        <v>485</v>
      </c>
      <c r="AQ129" s="108"/>
      <c r="AR129" s="108">
        <v>243</v>
      </c>
      <c r="AS129" s="81" t="s">
        <v>265</v>
      </c>
      <c r="AT129" s="81"/>
      <c r="AU129" s="81" t="s">
        <v>266</v>
      </c>
      <c r="AV129" s="81"/>
    </row>
    <row r="130" spans="1:48" x14ac:dyDescent="0.2">
      <c r="A130" s="309"/>
      <c r="B130" s="309"/>
      <c r="C130" s="309"/>
      <c r="D130" s="116">
        <v>249</v>
      </c>
      <c r="E130" s="309"/>
      <c r="F130" s="117" t="s">
        <v>262</v>
      </c>
      <c r="G130" s="309"/>
      <c r="H130" s="117" t="s">
        <v>54</v>
      </c>
      <c r="I130" s="309"/>
      <c r="J130" s="318">
        <v>2</v>
      </c>
      <c r="K130" s="116"/>
      <c r="L130" s="117" t="s">
        <v>264</v>
      </c>
      <c r="M130" s="116"/>
      <c r="N130" s="116"/>
      <c r="O130" s="309"/>
      <c r="P130" s="309"/>
      <c r="Q130" s="81"/>
      <c r="R130" s="116"/>
      <c r="S130" s="116"/>
      <c r="T130" s="116"/>
      <c r="U130" s="116"/>
      <c r="V130" s="118"/>
      <c r="W130" s="116"/>
      <c r="X130" s="108">
        <v>15</v>
      </c>
      <c r="Y130" s="116"/>
      <c r="Z130" s="111">
        <v>0</v>
      </c>
      <c r="AA130" s="116"/>
      <c r="AB130" s="111">
        <v>30</v>
      </c>
      <c r="AC130" s="309"/>
      <c r="AD130" s="111">
        <v>24</v>
      </c>
      <c r="AE130" s="108"/>
      <c r="AF130" s="108">
        <v>12</v>
      </c>
      <c r="AG130" s="108"/>
      <c r="AH130" s="325">
        <v>0</v>
      </c>
      <c r="AI130" s="108"/>
      <c r="AJ130" s="111">
        <v>36</v>
      </c>
      <c r="AK130" s="111"/>
      <c r="AL130" s="108">
        <v>18</v>
      </c>
      <c r="AM130" s="111"/>
      <c r="AN130" s="325">
        <v>0</v>
      </c>
      <c r="AO130" s="108"/>
      <c r="AP130" s="111">
        <v>48</v>
      </c>
      <c r="AQ130" s="108"/>
      <c r="AR130" s="108">
        <v>24</v>
      </c>
      <c r="AS130" s="81"/>
      <c r="AT130" s="81"/>
      <c r="AU130" s="81"/>
      <c r="AV130" s="81"/>
    </row>
    <row r="131" spans="1:48" x14ac:dyDescent="0.2">
      <c r="A131" s="309"/>
      <c r="B131" s="309"/>
      <c r="C131" s="309"/>
      <c r="D131" s="116">
        <v>249</v>
      </c>
      <c r="E131" s="309"/>
      <c r="F131" s="117" t="s">
        <v>267</v>
      </c>
      <c r="G131" s="309"/>
      <c r="H131" s="117" t="s">
        <v>54</v>
      </c>
      <c r="I131" s="309"/>
      <c r="J131" s="318">
        <v>3</v>
      </c>
      <c r="K131" s="116"/>
      <c r="L131" s="117" t="s">
        <v>268</v>
      </c>
      <c r="M131" s="116"/>
      <c r="N131" s="116" t="s">
        <v>56</v>
      </c>
      <c r="O131" s="309"/>
      <c r="P131" s="309"/>
      <c r="Q131" s="81">
        <v>904</v>
      </c>
      <c r="R131" s="119">
        <v>1885</v>
      </c>
      <c r="S131" s="116"/>
      <c r="T131" s="116"/>
      <c r="U131" s="116"/>
      <c r="V131" s="118">
        <v>5655</v>
      </c>
      <c r="W131" s="116"/>
      <c r="X131" s="108">
        <v>1901</v>
      </c>
      <c r="Y131" s="116"/>
      <c r="Z131" s="111">
        <v>0</v>
      </c>
      <c r="AA131" s="116"/>
      <c r="AB131" s="111">
        <v>5703</v>
      </c>
      <c r="AC131" s="309"/>
      <c r="AD131" s="111">
        <v>7449</v>
      </c>
      <c r="AE131" s="108"/>
      <c r="AF131" s="108">
        <v>2483</v>
      </c>
      <c r="AG131" s="108"/>
      <c r="AH131" s="325">
        <v>0</v>
      </c>
      <c r="AI131" s="108"/>
      <c r="AJ131" s="111">
        <v>8067</v>
      </c>
      <c r="AK131" s="111"/>
      <c r="AL131" s="108">
        <v>2689</v>
      </c>
      <c r="AM131" s="111"/>
      <c r="AN131" s="325">
        <v>0</v>
      </c>
      <c r="AO131" s="108"/>
      <c r="AP131" s="111">
        <v>9591</v>
      </c>
      <c r="AQ131" s="108"/>
      <c r="AR131" s="108">
        <v>3197</v>
      </c>
      <c r="AS131" s="81"/>
      <c r="AT131" s="81"/>
      <c r="AU131" s="81"/>
      <c r="AV131" s="81"/>
    </row>
    <row r="132" spans="1:48" ht="20.399999999999999" x14ac:dyDescent="0.2">
      <c r="A132" s="309"/>
      <c r="B132" s="309"/>
      <c r="C132" s="309"/>
      <c r="D132" s="116">
        <v>249</v>
      </c>
      <c r="E132" s="309"/>
      <c r="F132" s="117" t="s">
        <v>269</v>
      </c>
      <c r="G132" s="309"/>
      <c r="H132" s="117" t="s">
        <v>270</v>
      </c>
      <c r="I132" s="309"/>
      <c r="J132" s="318" t="s">
        <v>271</v>
      </c>
      <c r="K132" s="116"/>
      <c r="L132" s="117" t="s">
        <v>272</v>
      </c>
      <c r="M132" s="116"/>
      <c r="N132" s="116" t="s">
        <v>56</v>
      </c>
      <c r="O132" s="309"/>
      <c r="P132" s="309"/>
      <c r="Q132" s="81">
        <v>904</v>
      </c>
      <c r="R132" s="116"/>
      <c r="S132" s="116"/>
      <c r="T132" s="116">
        <v>0</v>
      </c>
      <c r="U132" s="116"/>
      <c r="V132" s="118">
        <v>1497</v>
      </c>
      <c r="W132" s="116"/>
      <c r="X132" s="108">
        <v>7035</v>
      </c>
      <c r="Y132" s="116"/>
      <c r="Z132" s="111">
        <v>0</v>
      </c>
      <c r="AA132" s="116"/>
      <c r="AB132" s="111">
        <v>1055</v>
      </c>
      <c r="AC132" s="309"/>
      <c r="AD132" s="111">
        <v>1849</v>
      </c>
      <c r="AE132" s="108"/>
      <c r="AF132" s="108"/>
      <c r="AG132" s="108"/>
      <c r="AH132" s="325">
        <v>0</v>
      </c>
      <c r="AI132" s="108"/>
      <c r="AJ132" s="111">
        <v>2507</v>
      </c>
      <c r="AK132" s="111"/>
      <c r="AL132" s="108">
        <v>16713</v>
      </c>
      <c r="AM132" s="111"/>
      <c r="AN132" s="325">
        <v>0</v>
      </c>
      <c r="AO132" s="108"/>
      <c r="AP132" s="111">
        <v>3107</v>
      </c>
      <c r="AQ132" s="108"/>
      <c r="AR132" s="108">
        <v>20713</v>
      </c>
      <c r="AS132" s="81"/>
      <c r="AT132" s="81"/>
      <c r="AU132" s="81"/>
      <c r="AV132" s="81"/>
    </row>
    <row r="133" spans="1:48" ht="30.6" x14ac:dyDescent="0.2">
      <c r="A133" s="309"/>
      <c r="B133" s="309"/>
      <c r="C133" s="309"/>
      <c r="D133" s="116">
        <v>249</v>
      </c>
      <c r="E133" s="309"/>
      <c r="F133" s="117" t="s">
        <v>253</v>
      </c>
      <c r="G133" s="309"/>
      <c r="H133" s="117" t="s">
        <v>54</v>
      </c>
      <c r="I133" s="309"/>
      <c r="J133" s="318" t="s">
        <v>254</v>
      </c>
      <c r="K133" s="116"/>
      <c r="L133" s="117" t="s">
        <v>276</v>
      </c>
      <c r="M133" s="116"/>
      <c r="N133" s="116" t="s">
        <v>56</v>
      </c>
      <c r="O133" s="309"/>
      <c r="P133" s="309"/>
      <c r="Q133" s="81">
        <v>904</v>
      </c>
      <c r="R133" s="116"/>
      <c r="S133" s="116"/>
      <c r="T133" s="116">
        <v>0</v>
      </c>
      <c r="U133" s="116"/>
      <c r="V133" s="118">
        <v>29965</v>
      </c>
      <c r="W133" s="116"/>
      <c r="X133" s="108"/>
      <c r="Y133" s="116"/>
      <c r="Z133" s="111">
        <v>0</v>
      </c>
      <c r="AA133" s="116"/>
      <c r="AB133" s="111">
        <v>34570</v>
      </c>
      <c r="AC133" s="309"/>
      <c r="AD133" s="111">
        <v>31647</v>
      </c>
      <c r="AE133" s="108"/>
      <c r="AF133" s="108"/>
      <c r="AG133" s="108"/>
      <c r="AH133" s="325">
        <v>0</v>
      </c>
      <c r="AI133" s="108"/>
      <c r="AJ133" s="111">
        <v>32379</v>
      </c>
      <c r="AK133" s="111"/>
      <c r="AL133" s="108">
        <v>1053</v>
      </c>
      <c r="AM133" s="111"/>
      <c r="AN133" s="325">
        <v>0</v>
      </c>
      <c r="AO133" s="108"/>
      <c r="AP133" s="111">
        <v>36474</v>
      </c>
      <c r="AQ133" s="108"/>
      <c r="AR133" s="108">
        <v>1292</v>
      </c>
      <c r="AS133" s="81" t="s">
        <v>711</v>
      </c>
      <c r="AT133" s="81"/>
      <c r="AU133" s="81"/>
      <c r="AV133" s="81"/>
    </row>
    <row r="134" spans="1:48" x14ac:dyDescent="0.2">
      <c r="A134" s="309"/>
      <c r="B134" s="309"/>
      <c r="C134" s="309"/>
      <c r="D134" s="116">
        <v>249</v>
      </c>
      <c r="E134" s="309"/>
      <c r="F134" s="117" t="s">
        <v>273</v>
      </c>
      <c r="G134" s="309"/>
      <c r="H134" s="117" t="s">
        <v>54</v>
      </c>
      <c r="I134" s="309"/>
      <c r="J134" s="318">
        <v>5</v>
      </c>
      <c r="K134" s="116"/>
      <c r="L134" s="117" t="s">
        <v>274</v>
      </c>
      <c r="M134" s="116"/>
      <c r="N134" s="116" t="s">
        <v>56</v>
      </c>
      <c r="O134" s="309"/>
      <c r="P134" s="309"/>
      <c r="Q134" s="81">
        <v>904</v>
      </c>
      <c r="R134" s="119">
        <v>1054</v>
      </c>
      <c r="S134" s="116"/>
      <c r="T134" s="116">
        <v>0</v>
      </c>
      <c r="U134" s="116"/>
      <c r="V134" s="118">
        <v>5270</v>
      </c>
      <c r="W134" s="116"/>
      <c r="X134" s="108">
        <v>1136</v>
      </c>
      <c r="Y134" s="116"/>
      <c r="Z134" s="111">
        <v>0</v>
      </c>
      <c r="AA134" s="116"/>
      <c r="AB134" s="111">
        <v>5680</v>
      </c>
      <c r="AC134" s="309"/>
      <c r="AD134" s="111">
        <v>3710</v>
      </c>
      <c r="AE134" s="108"/>
      <c r="AF134" s="108">
        <v>742</v>
      </c>
      <c r="AG134" s="108"/>
      <c r="AH134" s="325">
        <v>0</v>
      </c>
      <c r="AI134" s="108"/>
      <c r="AJ134" s="111">
        <v>3950</v>
      </c>
      <c r="AK134" s="111"/>
      <c r="AL134" s="108">
        <v>790</v>
      </c>
      <c r="AM134" s="111"/>
      <c r="AN134" s="325">
        <v>0</v>
      </c>
      <c r="AO134" s="108"/>
      <c r="AP134" s="111"/>
      <c r="AQ134" s="108"/>
      <c r="AR134" s="108">
        <v>0</v>
      </c>
      <c r="AS134" s="81" t="s">
        <v>816</v>
      </c>
      <c r="AT134" s="81"/>
      <c r="AU134" s="81"/>
      <c r="AV134" s="81"/>
    </row>
    <row r="135" spans="1:48" x14ac:dyDescent="0.2">
      <c r="A135" s="309"/>
      <c r="B135" s="309"/>
      <c r="C135" s="309"/>
      <c r="D135" s="116">
        <v>249</v>
      </c>
      <c r="E135" s="309"/>
      <c r="F135" s="117" t="s">
        <v>712</v>
      </c>
      <c r="G135" s="309"/>
      <c r="H135" s="117" t="s">
        <v>54</v>
      </c>
      <c r="I135" s="309"/>
      <c r="J135" s="318">
        <v>0.11</v>
      </c>
      <c r="K135" s="116"/>
      <c r="L135" s="117" t="s">
        <v>274</v>
      </c>
      <c r="M135" s="116"/>
      <c r="N135" s="116" t="s">
        <v>56</v>
      </c>
      <c r="O135" s="309"/>
      <c r="P135" s="309"/>
      <c r="Q135" s="81">
        <v>904</v>
      </c>
      <c r="R135" s="119"/>
      <c r="S135" s="116"/>
      <c r="T135" s="116">
        <v>0</v>
      </c>
      <c r="U135" s="116"/>
      <c r="V135" s="118"/>
      <c r="W135" s="116"/>
      <c r="X135" s="108"/>
      <c r="Y135" s="116"/>
      <c r="Z135" s="111">
        <v>0</v>
      </c>
      <c r="AA135" s="116"/>
      <c r="AB135" s="111">
        <v>6680</v>
      </c>
      <c r="AC135" s="309"/>
      <c r="AD135" s="111">
        <v>6045</v>
      </c>
      <c r="AE135" s="108"/>
      <c r="AF135" s="108"/>
      <c r="AG135" s="108"/>
      <c r="AH135" s="325">
        <v>0</v>
      </c>
      <c r="AI135" s="108"/>
      <c r="AJ135" s="111">
        <v>6701</v>
      </c>
      <c r="AK135" s="111"/>
      <c r="AL135" s="108">
        <v>81436</v>
      </c>
      <c r="AM135" s="111"/>
      <c r="AN135" s="325">
        <v>0</v>
      </c>
      <c r="AO135" s="108"/>
      <c r="AP135" s="111">
        <v>10247</v>
      </c>
      <c r="AQ135" s="108"/>
      <c r="AR135" s="108">
        <v>127800</v>
      </c>
      <c r="AS135" s="81" t="s">
        <v>265</v>
      </c>
      <c r="AT135" s="81"/>
      <c r="AU135" s="81"/>
      <c r="AV135" s="81"/>
    </row>
    <row r="136" spans="1:48" ht="30.6" x14ac:dyDescent="0.2">
      <c r="A136" s="309"/>
      <c r="B136" s="309" t="s">
        <v>303</v>
      </c>
      <c r="C136" s="309"/>
      <c r="D136" s="116">
        <v>252</v>
      </c>
      <c r="E136" s="309"/>
      <c r="F136" s="117" t="s">
        <v>253</v>
      </c>
      <c r="G136" s="309"/>
      <c r="H136" s="117" t="s">
        <v>54</v>
      </c>
      <c r="I136" s="309"/>
      <c r="J136" s="318" t="s">
        <v>254</v>
      </c>
      <c r="K136" s="116"/>
      <c r="L136" s="117" t="s">
        <v>276</v>
      </c>
      <c r="M136" s="116">
        <v>0</v>
      </c>
      <c r="N136" s="116" t="s">
        <v>56</v>
      </c>
      <c r="O136" s="309"/>
      <c r="P136" s="309">
        <v>904.10799999999995</v>
      </c>
      <c r="Q136" s="81">
        <v>904</v>
      </c>
      <c r="R136" s="119">
        <v>1178</v>
      </c>
      <c r="S136" s="116"/>
      <c r="T136" s="116">
        <v>0</v>
      </c>
      <c r="U136" s="116">
        <v>47981</v>
      </c>
      <c r="V136" s="118">
        <v>47981</v>
      </c>
      <c r="W136" s="116"/>
      <c r="X136" s="108">
        <v>1254</v>
      </c>
      <c r="Y136" s="116"/>
      <c r="Z136" s="111">
        <v>0</v>
      </c>
      <c r="AA136" s="116"/>
      <c r="AB136" s="111">
        <v>55957</v>
      </c>
      <c r="AC136" s="309"/>
      <c r="AD136" s="111">
        <v>58967.57</v>
      </c>
      <c r="AE136" s="108"/>
      <c r="AF136" s="108">
        <v>1221</v>
      </c>
      <c r="AG136" s="108"/>
      <c r="AH136" s="111">
        <v>0</v>
      </c>
      <c r="AI136" s="108"/>
      <c r="AJ136" s="111">
        <v>69798.7</v>
      </c>
      <c r="AK136" s="111"/>
      <c r="AL136" s="108">
        <v>2385</v>
      </c>
      <c r="AM136" s="111"/>
      <c r="AN136" s="111">
        <v>0</v>
      </c>
      <c r="AO136" s="108"/>
      <c r="AP136" s="111">
        <v>76653.320000000007</v>
      </c>
      <c r="AQ136" s="108"/>
      <c r="AR136" s="108">
        <v>2644</v>
      </c>
      <c r="AS136" s="81" t="s">
        <v>713</v>
      </c>
      <c r="AT136" s="81"/>
      <c r="AU136" s="81"/>
      <c r="AV136" s="81"/>
    </row>
    <row r="137" spans="1:48" x14ac:dyDescent="0.2">
      <c r="A137" s="309"/>
      <c r="B137" s="309"/>
      <c r="C137" s="309"/>
      <c r="D137" s="116">
        <v>252</v>
      </c>
      <c r="E137" s="309"/>
      <c r="F137" s="117" t="s">
        <v>304</v>
      </c>
      <c r="G137" s="309"/>
      <c r="H137" s="117" t="s">
        <v>54</v>
      </c>
      <c r="I137" s="309"/>
      <c r="J137" s="318" t="s">
        <v>305</v>
      </c>
      <c r="K137" s="116"/>
      <c r="L137" s="117" t="s">
        <v>306</v>
      </c>
      <c r="M137" s="116"/>
      <c r="N137" s="116" t="s">
        <v>56</v>
      </c>
      <c r="O137" s="309"/>
      <c r="P137" s="309">
        <v>904.80899999999997</v>
      </c>
      <c r="Q137" s="81">
        <v>904</v>
      </c>
      <c r="R137" s="116">
        <v>3</v>
      </c>
      <c r="S137" s="116"/>
      <c r="T137" s="116">
        <v>0</v>
      </c>
      <c r="U137" s="116">
        <v>50</v>
      </c>
      <c r="V137" s="118">
        <v>50</v>
      </c>
      <c r="W137" s="116"/>
      <c r="X137" s="108">
        <v>5</v>
      </c>
      <c r="Y137" s="116"/>
      <c r="Z137" s="111">
        <v>0</v>
      </c>
      <c r="AA137" s="116"/>
      <c r="AB137" s="111">
        <v>16543</v>
      </c>
      <c r="AC137" s="309"/>
      <c r="AD137" s="111">
        <v>18791</v>
      </c>
      <c r="AE137" s="108"/>
      <c r="AF137" s="108">
        <v>3</v>
      </c>
      <c r="AG137" s="108"/>
      <c r="AH137" s="111">
        <v>0</v>
      </c>
      <c r="AI137" s="108"/>
      <c r="AJ137" s="111">
        <v>17503.28</v>
      </c>
      <c r="AK137" s="111"/>
      <c r="AL137" s="108">
        <v>6</v>
      </c>
      <c r="AM137" s="111"/>
      <c r="AN137" s="111">
        <v>0</v>
      </c>
      <c r="AO137" s="108"/>
      <c r="AP137" s="111">
        <v>9924.66</v>
      </c>
      <c r="AQ137" s="108"/>
      <c r="AR137" s="108">
        <v>5</v>
      </c>
      <c r="AS137" s="81" t="s">
        <v>307</v>
      </c>
      <c r="AT137" s="81"/>
      <c r="AU137" s="81"/>
      <c r="AV137" s="81"/>
    </row>
    <row r="138" spans="1:48" x14ac:dyDescent="0.2">
      <c r="A138" s="309"/>
      <c r="B138" s="309"/>
      <c r="C138" s="309"/>
      <c r="D138" s="116">
        <v>252</v>
      </c>
      <c r="E138" s="309"/>
      <c r="F138" s="117" t="s">
        <v>262</v>
      </c>
      <c r="G138" s="309"/>
      <c r="H138" s="117" t="s">
        <v>263</v>
      </c>
      <c r="I138" s="309"/>
      <c r="J138" s="318">
        <v>2</v>
      </c>
      <c r="K138" s="116"/>
      <c r="L138" s="117" t="s">
        <v>264</v>
      </c>
      <c r="M138" s="116"/>
      <c r="N138" s="116" t="s">
        <v>56</v>
      </c>
      <c r="O138" s="309"/>
      <c r="P138" s="309"/>
      <c r="Q138" s="81">
        <v>904</v>
      </c>
      <c r="R138" s="116">
        <v>687</v>
      </c>
      <c r="S138" s="116"/>
      <c r="T138" s="116">
        <v>0</v>
      </c>
      <c r="U138" s="116"/>
      <c r="V138" s="118">
        <v>1374</v>
      </c>
      <c r="W138" s="116"/>
      <c r="X138" s="108">
        <v>1421</v>
      </c>
      <c r="Y138" s="116"/>
      <c r="Z138" s="111">
        <v>0</v>
      </c>
      <c r="AA138" s="116"/>
      <c r="AB138" s="111">
        <v>2842</v>
      </c>
      <c r="AC138" s="309"/>
      <c r="AD138" s="111">
        <v>1448</v>
      </c>
      <c r="AE138" s="108"/>
      <c r="AF138" s="108">
        <v>724</v>
      </c>
      <c r="AG138" s="108"/>
      <c r="AH138" s="111">
        <v>0</v>
      </c>
      <c r="AI138" s="108"/>
      <c r="AJ138" s="111">
        <v>1808</v>
      </c>
      <c r="AK138" s="111"/>
      <c r="AL138" s="108">
        <v>904</v>
      </c>
      <c r="AM138" s="111"/>
      <c r="AN138" s="111">
        <v>0</v>
      </c>
      <c r="AO138" s="108"/>
      <c r="AP138" s="111">
        <v>1810</v>
      </c>
      <c r="AQ138" s="108"/>
      <c r="AR138" s="108">
        <v>905</v>
      </c>
      <c r="AS138" s="81" t="s">
        <v>265</v>
      </c>
      <c r="AT138" s="81"/>
      <c r="AU138" s="81" t="s">
        <v>266</v>
      </c>
      <c r="AV138" s="81"/>
    </row>
    <row r="139" spans="1:48" x14ac:dyDescent="0.2">
      <c r="A139" s="309"/>
      <c r="B139" s="309"/>
      <c r="C139" s="309"/>
      <c r="D139" s="116">
        <v>252</v>
      </c>
      <c r="E139" s="309"/>
      <c r="F139" s="117" t="s">
        <v>262</v>
      </c>
      <c r="G139" s="309"/>
      <c r="H139" s="117" t="s">
        <v>54</v>
      </c>
      <c r="I139" s="309"/>
      <c r="J139" s="318">
        <v>2</v>
      </c>
      <c r="K139" s="116"/>
      <c r="L139" s="117" t="s">
        <v>264</v>
      </c>
      <c r="M139" s="116"/>
      <c r="N139" s="116" t="s">
        <v>56</v>
      </c>
      <c r="O139" s="309"/>
      <c r="P139" s="309"/>
      <c r="Q139" s="81">
        <v>904</v>
      </c>
      <c r="R139" s="116">
        <v>31</v>
      </c>
      <c r="S139" s="116"/>
      <c r="T139" s="116">
        <v>0</v>
      </c>
      <c r="U139" s="116"/>
      <c r="V139" s="118">
        <v>62</v>
      </c>
      <c r="W139" s="116"/>
      <c r="X139" s="108">
        <v>116</v>
      </c>
      <c r="Y139" s="116"/>
      <c r="Z139" s="111">
        <v>0</v>
      </c>
      <c r="AA139" s="116"/>
      <c r="AB139" s="111">
        <v>232</v>
      </c>
      <c r="AC139" s="309"/>
      <c r="AD139" s="111">
        <v>182</v>
      </c>
      <c r="AE139" s="108"/>
      <c r="AF139" s="108">
        <v>91</v>
      </c>
      <c r="AG139" s="108"/>
      <c r="AH139" s="111">
        <v>0</v>
      </c>
      <c r="AI139" s="108"/>
      <c r="AJ139" s="111">
        <v>303</v>
      </c>
      <c r="AK139" s="111"/>
      <c r="AL139" s="108">
        <v>150</v>
      </c>
      <c r="AM139" s="111"/>
      <c r="AN139" s="111">
        <v>0</v>
      </c>
      <c r="AO139" s="108"/>
      <c r="AP139" s="111">
        <v>287</v>
      </c>
      <c r="AQ139" s="108"/>
      <c r="AR139" s="108">
        <v>144</v>
      </c>
      <c r="AS139" s="81" t="s">
        <v>265</v>
      </c>
      <c r="AT139" s="81"/>
      <c r="AU139" s="81" t="s">
        <v>266</v>
      </c>
      <c r="AV139" s="81"/>
    </row>
    <row r="140" spans="1:48" ht="20.399999999999999" x14ac:dyDescent="0.2">
      <c r="A140" s="309"/>
      <c r="B140" s="309"/>
      <c r="C140" s="309"/>
      <c r="D140" s="116">
        <v>252</v>
      </c>
      <c r="E140" s="309"/>
      <c r="F140" s="117" t="s">
        <v>269</v>
      </c>
      <c r="G140" s="309"/>
      <c r="H140" s="117" t="s">
        <v>270</v>
      </c>
      <c r="I140" s="309"/>
      <c r="J140" s="318" t="s">
        <v>305</v>
      </c>
      <c r="K140" s="116"/>
      <c r="L140" s="117" t="s">
        <v>272</v>
      </c>
      <c r="M140" s="116"/>
      <c r="N140" s="116" t="s">
        <v>56</v>
      </c>
      <c r="O140" s="309"/>
      <c r="P140" s="309"/>
      <c r="Q140" s="81">
        <v>904</v>
      </c>
      <c r="R140" s="116">
        <v>250</v>
      </c>
      <c r="S140" s="116"/>
      <c r="T140" s="116">
        <v>0</v>
      </c>
      <c r="U140" s="116"/>
      <c r="V140" s="118">
        <v>1873</v>
      </c>
      <c r="W140" s="116"/>
      <c r="X140" s="108">
        <v>250</v>
      </c>
      <c r="Y140" s="116"/>
      <c r="Z140" s="111">
        <v>0</v>
      </c>
      <c r="AA140" s="116"/>
      <c r="AB140" s="111">
        <v>1836</v>
      </c>
      <c r="AC140" s="309"/>
      <c r="AD140" s="111">
        <v>1920.78</v>
      </c>
      <c r="AE140" s="108"/>
      <c r="AF140" s="108">
        <v>250</v>
      </c>
      <c r="AG140" s="108"/>
      <c r="AH140" s="111">
        <v>0</v>
      </c>
      <c r="AI140" s="108"/>
      <c r="AJ140" s="111">
        <v>1782.31</v>
      </c>
      <c r="AK140" s="111"/>
      <c r="AL140" s="108">
        <v>11880</v>
      </c>
      <c r="AM140" s="111"/>
      <c r="AN140" s="111">
        <v>0</v>
      </c>
      <c r="AO140" s="108"/>
      <c r="AP140" s="111">
        <v>1449.85</v>
      </c>
      <c r="AQ140" s="108"/>
      <c r="AR140" s="108">
        <v>9667</v>
      </c>
      <c r="AS140" s="81" t="s">
        <v>816</v>
      </c>
      <c r="AT140" s="81"/>
      <c r="AU140" s="81"/>
      <c r="AV140" s="81"/>
    </row>
    <row r="141" spans="1:48" x14ac:dyDescent="0.2">
      <c r="A141" s="309"/>
      <c r="B141" s="309"/>
      <c r="C141" s="309"/>
      <c r="D141" s="116">
        <v>252</v>
      </c>
      <c r="E141" s="309"/>
      <c r="F141" s="117" t="s">
        <v>267</v>
      </c>
      <c r="G141" s="309"/>
      <c r="H141" s="117" t="s">
        <v>54</v>
      </c>
      <c r="I141" s="309"/>
      <c r="J141" s="318" t="s">
        <v>305</v>
      </c>
      <c r="K141" s="116"/>
      <c r="L141" s="117" t="s">
        <v>268</v>
      </c>
      <c r="M141" s="116"/>
      <c r="N141" s="116" t="s">
        <v>56</v>
      </c>
      <c r="O141" s="309"/>
      <c r="P141" s="309"/>
      <c r="Q141" s="81">
        <v>904</v>
      </c>
      <c r="R141" s="116">
        <v>500</v>
      </c>
      <c r="S141" s="116"/>
      <c r="T141" s="116">
        <v>0</v>
      </c>
      <c r="U141" s="116"/>
      <c r="V141" s="118">
        <v>7402</v>
      </c>
      <c r="W141" s="116"/>
      <c r="X141" s="108">
        <v>500</v>
      </c>
      <c r="Y141" s="116"/>
      <c r="Z141" s="111">
        <v>0</v>
      </c>
      <c r="AA141" s="116"/>
      <c r="AB141" s="111">
        <v>7637</v>
      </c>
      <c r="AC141" s="309"/>
      <c r="AD141" s="111">
        <v>5599.99</v>
      </c>
      <c r="AE141" s="108"/>
      <c r="AF141" s="108">
        <v>500</v>
      </c>
      <c r="AG141" s="108"/>
      <c r="AH141" s="111">
        <v>0</v>
      </c>
      <c r="AI141" s="108"/>
      <c r="AJ141" s="111">
        <v>4954.75</v>
      </c>
      <c r="AK141" s="111"/>
      <c r="AL141" s="108">
        <v>1652</v>
      </c>
      <c r="AM141" s="111"/>
      <c r="AN141" s="111">
        <v>0</v>
      </c>
      <c r="AO141" s="108"/>
      <c r="AP141" s="111">
        <v>5643.72</v>
      </c>
      <c r="AQ141" s="108"/>
      <c r="AR141" s="108">
        <v>1881</v>
      </c>
      <c r="AS141" s="81" t="s">
        <v>816</v>
      </c>
      <c r="AT141" s="81"/>
      <c r="AU141" s="81"/>
      <c r="AV141" s="81"/>
    </row>
    <row r="142" spans="1:48" ht="29.4" customHeight="1" x14ac:dyDescent="0.2">
      <c r="A142" s="309"/>
      <c r="B142" s="309"/>
      <c r="C142" s="309"/>
      <c r="D142" s="116">
        <v>252</v>
      </c>
      <c r="E142" s="309"/>
      <c r="F142" s="117" t="s">
        <v>712</v>
      </c>
      <c r="G142" s="309"/>
      <c r="H142" s="117" t="s">
        <v>54</v>
      </c>
      <c r="I142" s="309"/>
      <c r="J142" s="318">
        <v>0.11</v>
      </c>
      <c r="K142" s="116"/>
      <c r="L142" s="117" t="s">
        <v>274</v>
      </c>
      <c r="M142" s="116"/>
      <c r="N142" s="116" t="s">
        <v>56</v>
      </c>
      <c r="O142" s="309"/>
      <c r="P142" s="309"/>
      <c r="Q142" s="81">
        <v>904</v>
      </c>
      <c r="R142" s="116"/>
      <c r="S142" s="116"/>
      <c r="T142" s="116"/>
      <c r="U142" s="116"/>
      <c r="V142" s="118"/>
      <c r="W142" s="116"/>
      <c r="X142" s="108"/>
      <c r="Y142" s="116"/>
      <c r="Z142" s="111">
        <v>0</v>
      </c>
      <c r="AA142" s="116"/>
      <c r="AB142" s="111">
        <v>6680</v>
      </c>
      <c r="AC142" s="309"/>
      <c r="AD142" s="111">
        <v>10745.86</v>
      </c>
      <c r="AE142" s="108"/>
      <c r="AF142" s="108" t="s">
        <v>749</v>
      </c>
      <c r="AG142" s="108"/>
      <c r="AH142" s="111">
        <v>0</v>
      </c>
      <c r="AI142" s="108"/>
      <c r="AJ142" s="111">
        <v>21675.16</v>
      </c>
      <c r="AK142" s="111"/>
      <c r="AL142" s="108" t="s">
        <v>814</v>
      </c>
      <c r="AM142" s="111"/>
      <c r="AN142" s="111">
        <v>0</v>
      </c>
      <c r="AO142" s="108"/>
      <c r="AP142" s="111">
        <v>33069.96</v>
      </c>
      <c r="AQ142" s="108"/>
      <c r="AR142" s="108" t="s">
        <v>815</v>
      </c>
      <c r="AS142" s="81" t="s">
        <v>265</v>
      </c>
      <c r="AT142" s="81"/>
      <c r="AU142" s="81"/>
      <c r="AV142" s="81"/>
    </row>
    <row r="143" spans="1:48" ht="13.8" customHeight="1" x14ac:dyDescent="0.2">
      <c r="A143" s="309"/>
      <c r="B143" s="309"/>
      <c r="C143" s="309"/>
      <c r="D143" s="116">
        <v>252</v>
      </c>
      <c r="E143" s="309"/>
      <c r="F143" s="117" t="s">
        <v>273</v>
      </c>
      <c r="G143" s="309"/>
      <c r="H143" s="117" t="s">
        <v>54</v>
      </c>
      <c r="I143" s="309"/>
      <c r="J143" s="318">
        <v>5</v>
      </c>
      <c r="K143" s="116"/>
      <c r="L143" s="117" t="s">
        <v>274</v>
      </c>
      <c r="M143" s="116"/>
      <c r="N143" s="116" t="s">
        <v>56</v>
      </c>
      <c r="O143" s="309"/>
      <c r="P143" s="309"/>
      <c r="Q143" s="81">
        <v>904</v>
      </c>
      <c r="R143" s="116">
        <v>300</v>
      </c>
      <c r="S143" s="116"/>
      <c r="T143" s="116">
        <v>0</v>
      </c>
      <c r="U143" s="116"/>
      <c r="V143" s="118">
        <v>8927</v>
      </c>
      <c r="W143" s="116"/>
      <c r="X143" s="108">
        <v>300</v>
      </c>
      <c r="Y143" s="116"/>
      <c r="Z143" s="111">
        <v>0</v>
      </c>
      <c r="AA143" s="116"/>
      <c r="AB143" s="111">
        <v>6538</v>
      </c>
      <c r="AC143" s="309"/>
      <c r="AD143" s="111">
        <v>6574.96</v>
      </c>
      <c r="AE143" s="108"/>
      <c r="AF143" s="108">
        <v>300</v>
      </c>
      <c r="AG143" s="108"/>
      <c r="AH143" s="111">
        <v>0</v>
      </c>
      <c r="AI143" s="108"/>
      <c r="AJ143" s="111">
        <v>5936.74</v>
      </c>
      <c r="AK143" s="111"/>
      <c r="AL143" s="108">
        <v>1187</v>
      </c>
      <c r="AM143" s="111"/>
      <c r="AN143" s="111">
        <v>0</v>
      </c>
      <c r="AO143" s="108"/>
      <c r="AP143" s="111">
        <v>363.28</v>
      </c>
      <c r="AQ143" s="108"/>
      <c r="AR143" s="108">
        <v>73</v>
      </c>
      <c r="AS143" s="81" t="s">
        <v>816</v>
      </c>
      <c r="AT143" s="81"/>
      <c r="AU143" s="81"/>
      <c r="AV143" s="81"/>
    </row>
    <row r="144" spans="1:48" x14ac:dyDescent="0.2">
      <c r="A144" s="309"/>
      <c r="B144" s="346" t="s">
        <v>591</v>
      </c>
      <c r="C144" s="347"/>
      <c r="D144" s="347"/>
      <c r="E144" s="309"/>
      <c r="F144" s="117"/>
      <c r="G144" s="309"/>
      <c r="H144" s="117"/>
      <c r="I144" s="309"/>
      <c r="J144" s="116"/>
      <c r="K144" s="116"/>
      <c r="L144" s="116"/>
      <c r="M144" s="116"/>
      <c r="N144" s="116"/>
      <c r="O144" s="309"/>
      <c r="P144" s="309"/>
      <c r="Q144" s="81"/>
      <c r="R144" s="119">
        <f>SUM(R2:R143)</f>
        <v>88558</v>
      </c>
      <c r="S144" s="119"/>
      <c r="T144" s="119">
        <f t="shared" ref="T144:AB144" si="0">SUM(T2:T143)</f>
        <v>0</v>
      </c>
      <c r="U144" s="119">
        <f t="shared" si="0"/>
        <v>3991790.95</v>
      </c>
      <c r="V144" s="119">
        <f t="shared" si="0"/>
        <v>12125886.57</v>
      </c>
      <c r="W144" s="119">
        <f t="shared" si="0"/>
        <v>0</v>
      </c>
      <c r="X144" s="119">
        <f t="shared" si="0"/>
        <v>83404</v>
      </c>
      <c r="Y144" s="119">
        <f t="shared" si="0"/>
        <v>0</v>
      </c>
      <c r="Z144" s="119">
        <f t="shared" si="0"/>
        <v>0</v>
      </c>
      <c r="AA144" s="119">
        <f t="shared" si="0"/>
        <v>0</v>
      </c>
      <c r="AB144" s="119">
        <f t="shared" si="0"/>
        <v>13086043.57</v>
      </c>
      <c r="AC144" s="119"/>
      <c r="AD144" s="115">
        <f>SUM(AD2:AD143)</f>
        <v>13310879.26</v>
      </c>
      <c r="AE144" s="115"/>
      <c r="AF144" s="115"/>
      <c r="AG144" s="115"/>
      <c r="AH144" s="115">
        <f>SUM(AH2:AH143)</f>
        <v>0</v>
      </c>
      <c r="AI144" s="115"/>
      <c r="AJ144" s="115">
        <f>SUM(AJ2:AJ143)</f>
        <v>13663154.109999999</v>
      </c>
      <c r="AK144" s="115"/>
      <c r="AL144" s="119"/>
      <c r="AM144" s="115"/>
      <c r="AN144" s="115">
        <f>SUM(AN2:AN143)</f>
        <v>0</v>
      </c>
      <c r="AO144" s="115"/>
      <c r="AP144" s="115">
        <f>SUM(AP2:AP143)</f>
        <v>14326114.120000003</v>
      </c>
      <c r="AQ144" s="115"/>
      <c r="AR144" s="119"/>
      <c r="AS144" s="81"/>
      <c r="AT144" s="81"/>
      <c r="AU144" s="81"/>
    </row>
    <row r="145" spans="1:47" ht="15.75" customHeight="1" x14ac:dyDescent="0.2">
      <c r="A145" s="120"/>
      <c r="B145" s="120"/>
      <c r="C145" s="337"/>
      <c r="D145" s="337"/>
      <c r="E145" s="120"/>
      <c r="F145" s="121"/>
      <c r="G145" s="120"/>
      <c r="H145" s="121"/>
      <c r="I145" s="120"/>
      <c r="J145" s="122"/>
      <c r="K145" s="122"/>
      <c r="L145" s="122"/>
      <c r="M145" s="122"/>
      <c r="N145" s="81"/>
      <c r="O145" s="81"/>
      <c r="P145" s="120"/>
      <c r="Q145" s="81"/>
      <c r="R145" s="122"/>
      <c r="S145" s="122"/>
      <c r="T145" s="122"/>
      <c r="U145" s="122"/>
      <c r="V145" s="123"/>
      <c r="W145" s="122"/>
      <c r="X145" s="124"/>
      <c r="Y145" s="124"/>
      <c r="Z145" s="124"/>
      <c r="AA145" s="124"/>
      <c r="AB145" s="124"/>
      <c r="AC145" s="120"/>
      <c r="AD145" s="338"/>
      <c r="AE145" s="124"/>
      <c r="AF145" s="124"/>
      <c r="AG145" s="124"/>
      <c r="AH145" s="124"/>
      <c r="AI145" s="124"/>
      <c r="AJ145" s="124"/>
      <c r="AK145" s="124"/>
      <c r="AL145" s="124"/>
      <c r="AM145" s="124"/>
      <c r="AN145" s="124"/>
      <c r="AO145" s="124"/>
      <c r="AP145" s="124"/>
      <c r="AQ145" s="124"/>
      <c r="AR145" s="124"/>
      <c r="AS145" s="81"/>
      <c r="AT145" s="81"/>
      <c r="AU145" s="81"/>
    </row>
    <row r="146" spans="1:47" ht="15" customHeight="1" x14ac:dyDescent="0.2">
      <c r="A146" s="125" t="s">
        <v>532</v>
      </c>
      <c r="C146" s="81"/>
      <c r="E146" s="81"/>
      <c r="J146" s="79"/>
      <c r="K146" s="79"/>
      <c r="L146" s="79"/>
      <c r="M146" s="79"/>
      <c r="N146" s="81"/>
      <c r="O146" s="81"/>
      <c r="P146" s="81"/>
      <c r="Q146" s="81"/>
      <c r="R146" s="79"/>
      <c r="S146" s="79"/>
      <c r="T146" s="79"/>
      <c r="U146" s="79"/>
      <c r="V146" s="93"/>
      <c r="W146" s="79"/>
      <c r="X146" s="94"/>
      <c r="Y146" s="94"/>
      <c r="Z146" s="94"/>
      <c r="AA146" s="94"/>
      <c r="AB146" s="94"/>
      <c r="AC146" s="81"/>
      <c r="AD146" s="149"/>
      <c r="AE146" s="94"/>
      <c r="AF146" s="94"/>
      <c r="AG146" s="94"/>
      <c r="AH146" s="94"/>
      <c r="AI146" s="94"/>
      <c r="AJ146" s="94"/>
      <c r="AK146" s="94"/>
      <c r="AL146" s="94"/>
      <c r="AM146" s="94"/>
      <c r="AN146" s="94"/>
      <c r="AO146" s="94"/>
      <c r="AP146" s="94"/>
      <c r="AQ146" s="94"/>
      <c r="AR146" s="94"/>
      <c r="AS146" s="81"/>
      <c r="AT146" s="81"/>
      <c r="AU146" s="81"/>
    </row>
    <row r="147" spans="1:47" ht="16.5" customHeight="1" x14ac:dyDescent="0.2">
      <c r="A147" s="126" t="s">
        <v>531</v>
      </c>
      <c r="B147" s="126" t="s">
        <v>586</v>
      </c>
      <c r="C147" s="81"/>
      <c r="E147" s="81"/>
      <c r="J147" s="79"/>
      <c r="K147" s="79"/>
      <c r="L147" s="79"/>
      <c r="M147" s="79"/>
      <c r="N147" s="81"/>
      <c r="O147" s="81"/>
      <c r="P147" s="81"/>
      <c r="Q147" s="81"/>
      <c r="R147" s="79"/>
      <c r="S147" s="79"/>
      <c r="T147" s="79"/>
      <c r="U147" s="79"/>
      <c r="V147" s="93"/>
      <c r="W147" s="79"/>
      <c r="X147" s="94"/>
      <c r="Y147" s="94"/>
      <c r="Z147" s="94"/>
      <c r="AA147" s="94"/>
      <c r="AB147" s="94"/>
      <c r="AC147" s="81"/>
      <c r="AD147" s="149"/>
      <c r="AE147" s="94"/>
      <c r="AF147" s="94"/>
      <c r="AG147" s="94"/>
      <c r="AH147" s="94"/>
      <c r="AI147" s="94"/>
      <c r="AJ147" s="94"/>
      <c r="AK147" s="94"/>
      <c r="AL147" s="94"/>
      <c r="AM147" s="94"/>
      <c r="AN147" s="94"/>
      <c r="AO147" s="94"/>
      <c r="AP147" s="94"/>
      <c r="AQ147" s="94"/>
      <c r="AR147" s="94"/>
      <c r="AS147" s="81"/>
      <c r="AT147" s="81"/>
      <c r="AU147" s="81"/>
    </row>
    <row r="148" spans="1:47" ht="16.5" customHeight="1" x14ac:dyDescent="0.2">
      <c r="A148" s="126" t="s">
        <v>531</v>
      </c>
      <c r="B148" s="126" t="s">
        <v>587</v>
      </c>
      <c r="C148" s="81"/>
      <c r="E148" s="81"/>
      <c r="J148" s="79"/>
      <c r="K148" s="79"/>
      <c r="L148" s="79"/>
      <c r="M148" s="79"/>
      <c r="N148" s="81"/>
      <c r="O148" s="81"/>
      <c r="P148" s="81"/>
      <c r="Q148" s="81"/>
      <c r="R148" s="79"/>
      <c r="S148" s="79"/>
      <c r="T148" s="79"/>
      <c r="U148" s="79"/>
      <c r="V148" s="93"/>
      <c r="W148" s="79"/>
      <c r="X148" s="94"/>
      <c r="Y148" s="94"/>
      <c r="Z148" s="94"/>
      <c r="AA148" s="94"/>
      <c r="AB148" s="94"/>
      <c r="AC148" s="81"/>
      <c r="AD148" s="149"/>
      <c r="AE148" s="94"/>
      <c r="AF148" s="94"/>
      <c r="AG148" s="94"/>
      <c r="AH148" s="94"/>
      <c r="AI148" s="94"/>
      <c r="AJ148" s="94"/>
      <c r="AK148" s="94"/>
      <c r="AL148" s="94"/>
      <c r="AM148" s="94"/>
      <c r="AN148" s="94"/>
      <c r="AO148" s="94"/>
      <c r="AP148" s="94"/>
      <c r="AQ148" s="94"/>
      <c r="AR148" s="94"/>
      <c r="AS148" s="81"/>
      <c r="AT148" s="81"/>
      <c r="AU148" s="81"/>
    </row>
    <row r="149" spans="1:47" ht="15" customHeight="1" x14ac:dyDescent="0.2">
      <c r="B149" s="126" t="s">
        <v>549</v>
      </c>
      <c r="C149" s="81"/>
      <c r="E149" s="81"/>
      <c r="J149" s="79"/>
      <c r="K149" s="79"/>
      <c r="L149" s="79"/>
      <c r="M149" s="79"/>
      <c r="N149" s="81"/>
      <c r="O149" s="81"/>
      <c r="P149" s="81"/>
      <c r="Q149" s="81"/>
      <c r="R149" s="79"/>
      <c r="S149" s="79"/>
      <c r="T149" s="79"/>
      <c r="U149" s="79"/>
      <c r="V149" s="93"/>
      <c r="W149" s="79"/>
      <c r="X149" s="94"/>
      <c r="Y149" s="94"/>
      <c r="Z149" s="94"/>
      <c r="AA149" s="94"/>
      <c r="AB149" s="94"/>
      <c r="AC149" s="81"/>
      <c r="AD149" s="149"/>
      <c r="AE149" s="94"/>
      <c r="AF149" s="94"/>
      <c r="AG149" s="94"/>
      <c r="AH149" s="94"/>
      <c r="AI149" s="94"/>
      <c r="AJ149" s="94"/>
      <c r="AK149" s="94"/>
      <c r="AL149" s="94"/>
      <c r="AM149" s="94"/>
      <c r="AN149" s="94"/>
      <c r="AO149" s="94"/>
      <c r="AP149" s="94"/>
      <c r="AQ149" s="94"/>
      <c r="AR149" s="94"/>
      <c r="AS149" s="81"/>
      <c r="AT149" s="81"/>
      <c r="AU149" s="81"/>
    </row>
    <row r="150" spans="1:47" ht="15.75" customHeight="1" x14ac:dyDescent="0.2">
      <c r="B150" s="126" t="s">
        <v>550</v>
      </c>
      <c r="C150" s="81"/>
      <c r="D150" s="81"/>
      <c r="E150" s="81"/>
      <c r="F150" s="81"/>
      <c r="H150" s="81"/>
      <c r="K150" s="81"/>
      <c r="N150" s="81"/>
      <c r="O150" s="81"/>
      <c r="P150" s="81"/>
      <c r="Q150" s="81"/>
      <c r="S150" s="81"/>
      <c r="T150" s="81"/>
      <c r="U150" s="81"/>
      <c r="V150" s="81"/>
      <c r="W150" s="81"/>
      <c r="X150" s="95"/>
      <c r="Y150" s="95"/>
      <c r="Z150" s="95"/>
      <c r="AA150" s="95"/>
      <c r="AC150" s="81"/>
      <c r="AD150" s="95"/>
      <c r="AE150" s="95"/>
      <c r="AF150" s="95"/>
      <c r="AG150" s="95"/>
      <c r="AH150" s="95"/>
      <c r="AI150" s="95"/>
      <c r="AN150" s="95"/>
      <c r="AO150" s="95"/>
      <c r="AQ150" s="95"/>
      <c r="AR150" s="95"/>
      <c r="AS150" s="81"/>
      <c r="AT150" s="81"/>
      <c r="AU150" s="81"/>
    </row>
    <row r="151" spans="1:47" x14ac:dyDescent="0.2">
      <c r="B151" s="126" t="s">
        <v>585</v>
      </c>
      <c r="C151" s="81"/>
      <c r="D151" s="81"/>
      <c r="E151" s="81"/>
      <c r="F151" s="81"/>
      <c r="H151" s="81"/>
      <c r="K151" s="81"/>
      <c r="N151" s="81"/>
      <c r="O151" s="81"/>
      <c r="P151" s="81"/>
      <c r="Q151" s="81"/>
      <c r="S151" s="81"/>
      <c r="T151" s="81"/>
      <c r="U151" s="81"/>
      <c r="V151" s="81"/>
      <c r="W151" s="81"/>
      <c r="X151" s="95"/>
      <c r="Y151" s="95"/>
      <c r="Z151" s="95"/>
      <c r="AA151" s="95"/>
      <c r="AC151" s="81"/>
      <c r="AD151" s="95"/>
      <c r="AE151" s="95"/>
      <c r="AF151" s="95"/>
      <c r="AG151" s="95"/>
      <c r="AH151" s="95"/>
      <c r="AI151" s="95"/>
      <c r="AN151" s="95"/>
      <c r="AO151" s="95"/>
      <c r="AQ151" s="95"/>
      <c r="AR151" s="95"/>
      <c r="AS151" s="81"/>
      <c r="AT151" s="81"/>
      <c r="AU151" s="81"/>
    </row>
    <row r="152" spans="1:47" x14ac:dyDescent="0.2">
      <c r="B152" s="126" t="s">
        <v>588</v>
      </c>
      <c r="C152" s="81"/>
      <c r="D152" s="81"/>
      <c r="E152" s="81"/>
      <c r="F152" s="81"/>
      <c r="H152" s="81"/>
      <c r="K152" s="81"/>
      <c r="N152" s="81"/>
      <c r="O152" s="81"/>
      <c r="P152" s="81"/>
      <c r="Q152" s="81"/>
      <c r="S152" s="81"/>
      <c r="T152" s="81"/>
      <c r="U152" s="81"/>
      <c r="V152" s="81"/>
      <c r="W152" s="81"/>
      <c r="X152" s="95"/>
      <c r="Y152" s="95"/>
      <c r="Z152" s="95"/>
      <c r="AA152" s="95"/>
      <c r="AC152" s="81"/>
      <c r="AD152" s="95"/>
      <c r="AE152" s="95"/>
      <c r="AF152" s="95"/>
      <c r="AG152" s="95"/>
      <c r="AH152" s="95"/>
      <c r="AI152" s="95"/>
      <c r="AN152" s="95"/>
      <c r="AO152" s="95"/>
      <c r="AQ152" s="95"/>
      <c r="AR152" s="95"/>
      <c r="AS152" s="81"/>
      <c r="AT152" s="81"/>
      <c r="AU152" s="81"/>
    </row>
    <row r="153" spans="1:47" ht="19.8" customHeight="1" x14ac:dyDescent="0.2">
      <c r="A153" s="126" t="s">
        <v>531</v>
      </c>
      <c r="B153" s="126" t="s">
        <v>817</v>
      </c>
      <c r="C153" s="81"/>
      <c r="E153" s="81"/>
      <c r="J153" s="79"/>
      <c r="K153" s="79"/>
      <c r="L153" s="79"/>
      <c r="M153" s="79"/>
      <c r="N153" s="81"/>
      <c r="O153" s="81"/>
      <c r="P153" s="81"/>
      <c r="Q153" s="81"/>
      <c r="R153" s="79"/>
      <c r="S153" s="79"/>
      <c r="T153" s="79"/>
      <c r="U153" s="79"/>
      <c r="V153" s="93"/>
      <c r="W153" s="79"/>
      <c r="X153" s="94"/>
      <c r="Y153" s="94"/>
      <c r="Z153" s="94"/>
      <c r="AA153" s="94"/>
      <c r="AB153" s="94"/>
      <c r="AC153" s="81"/>
      <c r="AD153" s="149"/>
      <c r="AE153" s="94"/>
      <c r="AF153" s="94"/>
      <c r="AG153" s="94"/>
      <c r="AH153" s="94"/>
      <c r="AI153" s="94"/>
      <c r="AJ153" s="94"/>
      <c r="AK153" s="94"/>
      <c r="AL153" s="94"/>
      <c r="AM153" s="94"/>
      <c r="AN153" s="94"/>
      <c r="AO153" s="94"/>
      <c r="AP153" s="94"/>
      <c r="AQ153" s="94"/>
      <c r="AR153" s="94"/>
      <c r="AS153" s="81"/>
      <c r="AT153" s="81"/>
      <c r="AU153" s="81"/>
    </row>
    <row r="154" spans="1:47" x14ac:dyDescent="0.2">
      <c r="A154" s="81"/>
      <c r="B154" s="81"/>
      <c r="C154" s="81"/>
      <c r="E154" s="81"/>
      <c r="J154" s="79"/>
      <c r="K154" s="79"/>
      <c r="L154" s="79"/>
      <c r="M154" s="79"/>
      <c r="N154" s="81"/>
      <c r="O154" s="81"/>
      <c r="P154" s="81"/>
      <c r="Q154" s="81"/>
      <c r="R154" s="79"/>
      <c r="S154" s="79"/>
      <c r="T154" s="79"/>
      <c r="U154" s="79"/>
      <c r="V154" s="93"/>
      <c r="W154" s="79"/>
      <c r="X154" s="94"/>
      <c r="Y154" s="94"/>
      <c r="Z154" s="94"/>
      <c r="AA154" s="94"/>
      <c r="AB154" s="94"/>
      <c r="AC154" s="81"/>
      <c r="AD154" s="149"/>
      <c r="AE154" s="94"/>
      <c r="AF154" s="94"/>
      <c r="AG154" s="94"/>
      <c r="AH154" s="94"/>
      <c r="AI154" s="94"/>
      <c r="AJ154" s="94"/>
      <c r="AK154" s="94"/>
      <c r="AL154" s="94"/>
      <c r="AM154" s="94"/>
      <c r="AN154" s="94"/>
      <c r="AO154" s="94"/>
      <c r="AP154" s="94"/>
      <c r="AQ154" s="94"/>
      <c r="AR154" s="94"/>
      <c r="AS154" s="81"/>
      <c r="AT154" s="81"/>
      <c r="AU154" s="81"/>
    </row>
    <row r="155" spans="1:47" s="210" customFormat="1" ht="11.4" x14ac:dyDescent="0.25">
      <c r="A155" s="211"/>
      <c r="D155" s="212"/>
      <c r="E155" s="213"/>
      <c r="F155" s="214"/>
      <c r="G155" s="212"/>
      <c r="H155" s="214"/>
      <c r="I155" s="212"/>
      <c r="J155" s="212"/>
      <c r="K155" s="213"/>
      <c r="L155" s="213"/>
      <c r="M155" s="213"/>
      <c r="R155" s="213"/>
      <c r="S155" s="213"/>
      <c r="T155" s="215"/>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7"/>
      <c r="AU155" s="217"/>
    </row>
    <row r="156" spans="1:47" x14ac:dyDescent="0.2">
      <c r="J156" s="79"/>
      <c r="K156" s="127"/>
      <c r="L156" s="79"/>
      <c r="M156" s="79"/>
      <c r="R156" s="79"/>
      <c r="S156" s="128"/>
      <c r="T156" s="128"/>
      <c r="U156" s="128"/>
      <c r="V156" s="129"/>
      <c r="W156" s="128"/>
      <c r="X156" s="130"/>
      <c r="Y156" s="130"/>
      <c r="Z156" s="130"/>
      <c r="AA156" s="130"/>
      <c r="AB156" s="94"/>
      <c r="AD156" s="339"/>
      <c r="AE156" s="130"/>
      <c r="AF156" s="130"/>
      <c r="AG156" s="130"/>
      <c r="AH156" s="130"/>
      <c r="AI156" s="130"/>
      <c r="AJ156" s="94"/>
      <c r="AK156" s="94"/>
      <c r="AL156" s="94"/>
      <c r="AM156" s="94"/>
      <c r="AN156" s="130"/>
      <c r="AO156" s="130"/>
      <c r="AP156" s="94"/>
      <c r="AQ156" s="130"/>
      <c r="AR156" s="130"/>
    </row>
    <row r="157" spans="1:47" x14ac:dyDescent="0.2">
      <c r="J157" s="79"/>
      <c r="K157" s="127"/>
      <c r="L157" s="79"/>
      <c r="M157" s="79"/>
      <c r="R157" s="79"/>
      <c r="S157" s="128"/>
      <c r="T157" s="128"/>
      <c r="U157" s="128"/>
      <c r="V157" s="129"/>
      <c r="W157" s="128"/>
      <c r="X157" s="130"/>
      <c r="Y157" s="130"/>
      <c r="Z157" s="130"/>
      <c r="AA157" s="130"/>
      <c r="AB157" s="94"/>
      <c r="AD157" s="339"/>
      <c r="AE157" s="130"/>
      <c r="AF157" s="130"/>
      <c r="AG157" s="130"/>
      <c r="AH157" s="130"/>
      <c r="AI157" s="130"/>
      <c r="AJ157" s="94"/>
      <c r="AK157" s="94"/>
      <c r="AL157" s="94"/>
      <c r="AM157" s="94"/>
      <c r="AN157" s="130"/>
      <c r="AO157" s="130"/>
      <c r="AP157" s="94"/>
      <c r="AQ157" s="130"/>
      <c r="AR157" s="130"/>
    </row>
    <row r="158" spans="1:47" x14ac:dyDescent="0.2">
      <c r="J158" s="79"/>
      <c r="K158" s="127"/>
      <c r="L158" s="79"/>
      <c r="M158" s="79"/>
      <c r="R158" s="79"/>
      <c r="S158" s="128"/>
      <c r="T158" s="128"/>
      <c r="U158" s="128"/>
      <c r="V158" s="129"/>
      <c r="W158" s="128"/>
      <c r="X158" s="130"/>
      <c r="Y158" s="130"/>
      <c r="Z158" s="130"/>
      <c r="AA158" s="130"/>
      <c r="AB158" s="94"/>
      <c r="AD158" s="339"/>
      <c r="AE158" s="130"/>
      <c r="AF158" s="130"/>
      <c r="AG158" s="130"/>
      <c r="AH158" s="130"/>
      <c r="AI158" s="130"/>
      <c r="AJ158" s="94"/>
      <c r="AK158" s="94"/>
      <c r="AL158" s="94"/>
      <c r="AM158" s="94"/>
      <c r="AN158" s="130"/>
      <c r="AO158" s="130"/>
      <c r="AP158" s="94"/>
      <c r="AQ158" s="130"/>
      <c r="AR158" s="130"/>
    </row>
    <row r="159" spans="1:47" x14ac:dyDescent="0.2">
      <c r="J159" s="79"/>
      <c r="K159" s="127"/>
      <c r="L159" s="79"/>
      <c r="M159" s="79"/>
      <c r="R159" s="79"/>
      <c r="S159" s="128"/>
      <c r="T159" s="128"/>
      <c r="U159" s="128"/>
      <c r="V159" s="129"/>
      <c r="W159" s="128"/>
      <c r="X159" s="130"/>
      <c r="Y159" s="130"/>
      <c r="Z159" s="130"/>
      <c r="AA159" s="130"/>
      <c r="AB159" s="94"/>
      <c r="AD159" s="339"/>
      <c r="AE159" s="130"/>
      <c r="AF159" s="130"/>
      <c r="AG159" s="130"/>
      <c r="AH159" s="130"/>
      <c r="AI159" s="130"/>
      <c r="AJ159" s="94"/>
      <c r="AK159" s="94"/>
      <c r="AL159" s="94"/>
      <c r="AM159" s="94"/>
      <c r="AN159" s="130"/>
      <c r="AO159" s="130"/>
      <c r="AP159" s="94"/>
      <c r="AQ159" s="130"/>
      <c r="AR159" s="130"/>
    </row>
    <row r="160" spans="1:47" x14ac:dyDescent="0.2">
      <c r="J160" s="79"/>
      <c r="K160" s="127"/>
      <c r="L160" s="79"/>
      <c r="M160" s="79"/>
      <c r="R160" s="79"/>
      <c r="S160" s="128"/>
      <c r="T160" s="128"/>
      <c r="U160" s="128"/>
      <c r="V160" s="129"/>
      <c r="W160" s="128"/>
      <c r="X160" s="130"/>
      <c r="Y160" s="130"/>
      <c r="Z160" s="130"/>
      <c r="AA160" s="130"/>
      <c r="AB160" s="94"/>
      <c r="AD160" s="339"/>
      <c r="AE160" s="130"/>
      <c r="AF160" s="130"/>
      <c r="AG160" s="130"/>
      <c r="AH160" s="130"/>
      <c r="AI160" s="130"/>
      <c r="AJ160" s="94"/>
      <c r="AK160" s="94"/>
      <c r="AL160" s="94"/>
      <c r="AM160" s="94"/>
      <c r="AN160" s="130"/>
      <c r="AO160" s="130"/>
      <c r="AP160" s="94"/>
      <c r="AQ160" s="130"/>
      <c r="AR160" s="130"/>
    </row>
    <row r="161" spans="10:44" s="82" customFormat="1" x14ac:dyDescent="0.2">
      <c r="J161" s="79"/>
      <c r="K161" s="127"/>
      <c r="L161" s="79"/>
      <c r="M161" s="79"/>
      <c r="N161" s="126"/>
      <c r="O161" s="126"/>
      <c r="P161" s="126"/>
      <c r="Q161" s="107"/>
      <c r="R161" s="79"/>
      <c r="S161" s="128"/>
      <c r="T161" s="128"/>
      <c r="U161" s="128"/>
      <c r="V161" s="129"/>
      <c r="W161" s="128"/>
      <c r="X161" s="130"/>
      <c r="Y161" s="130"/>
      <c r="Z161" s="130"/>
      <c r="AA161" s="130"/>
      <c r="AB161" s="94"/>
      <c r="AC161" s="126"/>
      <c r="AD161" s="339"/>
      <c r="AE161" s="130"/>
      <c r="AF161" s="130"/>
      <c r="AG161" s="130"/>
      <c r="AH161" s="130"/>
      <c r="AI161" s="130"/>
      <c r="AJ161" s="94"/>
      <c r="AK161" s="94"/>
      <c r="AL161" s="94"/>
      <c r="AM161" s="94"/>
      <c r="AN161" s="130"/>
      <c r="AO161" s="130"/>
      <c r="AP161" s="94"/>
      <c r="AQ161" s="130"/>
      <c r="AR161" s="130"/>
    </row>
    <row r="162" spans="10:44" s="82" customFormat="1" x14ac:dyDescent="0.2">
      <c r="J162" s="79"/>
      <c r="K162" s="127"/>
      <c r="L162" s="79"/>
      <c r="M162" s="79"/>
      <c r="N162" s="126"/>
      <c r="O162" s="126"/>
      <c r="P162" s="126"/>
      <c r="Q162" s="107"/>
      <c r="R162" s="79"/>
      <c r="S162" s="128"/>
      <c r="T162" s="128"/>
      <c r="U162" s="128"/>
      <c r="V162" s="129"/>
      <c r="W162" s="128"/>
      <c r="X162" s="130"/>
      <c r="Y162" s="130"/>
      <c r="Z162" s="130"/>
      <c r="AA162" s="130"/>
      <c r="AB162" s="94"/>
      <c r="AC162" s="126"/>
      <c r="AD162" s="339"/>
      <c r="AE162" s="130"/>
      <c r="AF162" s="130"/>
      <c r="AG162" s="130"/>
      <c r="AH162" s="130"/>
      <c r="AI162" s="130"/>
      <c r="AJ162" s="94"/>
      <c r="AK162" s="94"/>
      <c r="AL162" s="94"/>
      <c r="AM162" s="94"/>
      <c r="AN162" s="130"/>
      <c r="AO162" s="130"/>
      <c r="AP162" s="94"/>
      <c r="AQ162" s="130"/>
      <c r="AR162" s="130"/>
    </row>
    <row r="163" spans="10:44" s="82" customFormat="1" x14ac:dyDescent="0.2">
      <c r="J163" s="79"/>
      <c r="K163" s="127"/>
      <c r="L163" s="79"/>
      <c r="M163" s="79"/>
      <c r="N163" s="126"/>
      <c r="O163" s="126"/>
      <c r="P163" s="126"/>
      <c r="Q163" s="107"/>
      <c r="R163" s="79"/>
      <c r="S163" s="128"/>
      <c r="T163" s="128"/>
      <c r="U163" s="128"/>
      <c r="V163" s="129"/>
      <c r="W163" s="128"/>
      <c r="X163" s="130"/>
      <c r="Y163" s="130"/>
      <c r="Z163" s="130"/>
      <c r="AA163" s="130"/>
      <c r="AB163" s="94"/>
      <c r="AC163" s="126"/>
      <c r="AD163" s="339"/>
      <c r="AE163" s="130"/>
      <c r="AF163" s="130"/>
      <c r="AG163" s="130"/>
      <c r="AH163" s="130"/>
      <c r="AI163" s="130"/>
      <c r="AJ163" s="94"/>
      <c r="AK163" s="94"/>
      <c r="AL163" s="94"/>
      <c r="AM163" s="94"/>
      <c r="AN163" s="130"/>
      <c r="AO163" s="130"/>
      <c r="AP163" s="94"/>
      <c r="AQ163" s="130"/>
      <c r="AR163" s="130"/>
    </row>
    <row r="164" spans="10:44" s="82" customFormat="1" x14ac:dyDescent="0.2">
      <c r="J164" s="79"/>
      <c r="K164" s="127"/>
      <c r="L164" s="79"/>
      <c r="M164" s="79"/>
      <c r="N164" s="126"/>
      <c r="O164" s="126"/>
      <c r="P164" s="126"/>
      <c r="Q164" s="107"/>
      <c r="R164" s="79"/>
      <c r="S164" s="128"/>
      <c r="T164" s="128"/>
      <c r="U164" s="128"/>
      <c r="V164" s="129"/>
      <c r="W164" s="128"/>
      <c r="X164" s="130"/>
      <c r="Y164" s="130"/>
      <c r="Z164" s="130"/>
      <c r="AA164" s="130"/>
      <c r="AB164" s="94"/>
      <c r="AC164" s="126"/>
      <c r="AD164" s="339"/>
      <c r="AE164" s="130"/>
      <c r="AF164" s="130"/>
      <c r="AG164" s="130"/>
      <c r="AH164" s="130"/>
      <c r="AI164" s="130"/>
      <c r="AJ164" s="94"/>
      <c r="AK164" s="94"/>
      <c r="AL164" s="94"/>
      <c r="AM164" s="94"/>
      <c r="AN164" s="130"/>
      <c r="AO164" s="130"/>
      <c r="AP164" s="94"/>
      <c r="AQ164" s="130"/>
      <c r="AR164" s="130"/>
    </row>
    <row r="165" spans="10:44" s="82" customFormat="1" x14ac:dyDescent="0.2">
      <c r="J165" s="79"/>
      <c r="K165" s="127"/>
      <c r="L165" s="79"/>
      <c r="M165" s="79"/>
      <c r="N165" s="126"/>
      <c r="O165" s="126"/>
      <c r="P165" s="126"/>
      <c r="Q165" s="107"/>
      <c r="R165" s="79"/>
      <c r="S165" s="128"/>
      <c r="T165" s="128"/>
      <c r="U165" s="128"/>
      <c r="V165" s="129"/>
      <c r="W165" s="128"/>
      <c r="X165" s="130"/>
      <c r="Y165" s="130"/>
      <c r="Z165" s="130"/>
      <c r="AA165" s="130"/>
      <c r="AB165" s="94"/>
      <c r="AC165" s="126"/>
      <c r="AD165" s="339"/>
      <c r="AE165" s="130"/>
      <c r="AF165" s="130"/>
      <c r="AG165" s="130"/>
      <c r="AH165" s="130"/>
      <c r="AI165" s="130"/>
      <c r="AJ165" s="94"/>
      <c r="AK165" s="94"/>
      <c r="AL165" s="94"/>
      <c r="AM165" s="94"/>
      <c r="AN165" s="130"/>
      <c r="AO165" s="130"/>
      <c r="AP165" s="94"/>
      <c r="AQ165" s="130"/>
      <c r="AR165" s="130"/>
    </row>
    <row r="166" spans="10:44" s="82" customFormat="1" x14ac:dyDescent="0.2">
      <c r="J166" s="79"/>
      <c r="K166" s="127"/>
      <c r="L166" s="79"/>
      <c r="M166" s="79"/>
      <c r="N166" s="126"/>
      <c r="O166" s="126"/>
      <c r="P166" s="126"/>
      <c r="Q166" s="107"/>
      <c r="R166" s="79"/>
      <c r="S166" s="128"/>
      <c r="T166" s="128"/>
      <c r="U166" s="128"/>
      <c r="V166" s="129"/>
      <c r="W166" s="128"/>
      <c r="X166" s="130"/>
      <c r="Y166" s="130"/>
      <c r="Z166" s="130"/>
      <c r="AA166" s="130"/>
      <c r="AB166" s="94"/>
      <c r="AC166" s="126"/>
      <c r="AD166" s="339"/>
      <c r="AE166" s="130"/>
      <c r="AF166" s="130"/>
      <c r="AG166" s="130"/>
      <c r="AH166" s="130"/>
      <c r="AI166" s="130"/>
      <c r="AJ166" s="94"/>
      <c r="AK166" s="94"/>
      <c r="AL166" s="94"/>
      <c r="AM166" s="94"/>
      <c r="AN166" s="130"/>
      <c r="AO166" s="130"/>
      <c r="AP166" s="94"/>
      <c r="AQ166" s="130"/>
      <c r="AR166" s="130"/>
    </row>
    <row r="167" spans="10:44" s="82" customFormat="1" x14ac:dyDescent="0.2">
      <c r="J167" s="79"/>
      <c r="K167" s="127"/>
      <c r="L167" s="79"/>
      <c r="M167" s="79"/>
      <c r="N167" s="126"/>
      <c r="O167" s="126"/>
      <c r="P167" s="126"/>
      <c r="Q167" s="107"/>
      <c r="R167" s="79"/>
      <c r="S167" s="128"/>
      <c r="T167" s="128"/>
      <c r="U167" s="128"/>
      <c r="V167" s="129"/>
      <c r="W167" s="128"/>
      <c r="X167" s="130"/>
      <c r="Y167" s="130"/>
      <c r="Z167" s="130"/>
      <c r="AA167" s="130"/>
      <c r="AB167" s="94"/>
      <c r="AC167" s="126"/>
      <c r="AD167" s="339"/>
      <c r="AE167" s="130"/>
      <c r="AF167" s="130"/>
      <c r="AG167" s="130"/>
      <c r="AH167" s="130"/>
      <c r="AI167" s="130"/>
      <c r="AJ167" s="94"/>
      <c r="AK167" s="94"/>
      <c r="AL167" s="94"/>
      <c r="AM167" s="94"/>
      <c r="AN167" s="130"/>
      <c r="AO167" s="130"/>
      <c r="AP167" s="94"/>
      <c r="AQ167" s="130"/>
      <c r="AR167" s="130"/>
    </row>
    <row r="168" spans="10:44" s="82" customFormat="1" x14ac:dyDescent="0.2">
      <c r="J168" s="79"/>
      <c r="K168" s="127"/>
      <c r="L168" s="79"/>
      <c r="M168" s="79"/>
      <c r="N168" s="126"/>
      <c r="O168" s="126"/>
      <c r="P168" s="126"/>
      <c r="Q168" s="107"/>
      <c r="R168" s="79"/>
      <c r="S168" s="128"/>
      <c r="T168" s="128"/>
      <c r="U168" s="128"/>
      <c r="V168" s="129"/>
      <c r="W168" s="128"/>
      <c r="X168" s="130"/>
      <c r="Y168" s="130"/>
      <c r="Z168" s="130"/>
      <c r="AA168" s="130"/>
      <c r="AB168" s="94"/>
      <c r="AC168" s="126"/>
      <c r="AD168" s="339"/>
      <c r="AE168" s="130"/>
      <c r="AF168" s="130"/>
      <c r="AG168" s="130"/>
      <c r="AH168" s="130"/>
      <c r="AI168" s="130"/>
      <c r="AJ168" s="94"/>
      <c r="AK168" s="94"/>
      <c r="AL168" s="94"/>
      <c r="AM168" s="94"/>
      <c r="AN168" s="130"/>
      <c r="AO168" s="130"/>
      <c r="AP168" s="94"/>
      <c r="AQ168" s="130"/>
      <c r="AR168" s="130"/>
    </row>
    <row r="169" spans="10:44" s="82" customFormat="1" x14ac:dyDescent="0.2">
      <c r="J169" s="79"/>
      <c r="K169" s="127"/>
      <c r="L169" s="79"/>
      <c r="M169" s="79"/>
      <c r="N169" s="126"/>
      <c r="O169" s="126"/>
      <c r="P169" s="126"/>
      <c r="Q169" s="107"/>
      <c r="R169" s="79"/>
      <c r="S169" s="128"/>
      <c r="T169" s="128"/>
      <c r="U169" s="128"/>
      <c r="V169" s="129"/>
      <c r="W169" s="128"/>
      <c r="X169" s="130"/>
      <c r="Y169" s="130"/>
      <c r="Z169" s="130"/>
      <c r="AA169" s="130"/>
      <c r="AB169" s="94"/>
      <c r="AC169" s="126"/>
      <c r="AD169" s="339"/>
      <c r="AE169" s="130"/>
      <c r="AF169" s="130"/>
      <c r="AG169" s="130"/>
      <c r="AH169" s="130"/>
      <c r="AI169" s="130"/>
      <c r="AJ169" s="94"/>
      <c r="AK169" s="94"/>
      <c r="AL169" s="94"/>
      <c r="AM169" s="94"/>
      <c r="AN169" s="130"/>
      <c r="AO169" s="130"/>
      <c r="AP169" s="94"/>
      <c r="AQ169" s="130"/>
      <c r="AR169" s="130"/>
    </row>
    <row r="170" spans="10:44" s="82" customFormat="1" x14ac:dyDescent="0.2">
      <c r="J170" s="79"/>
      <c r="K170" s="127"/>
      <c r="L170" s="79"/>
      <c r="M170" s="79"/>
      <c r="N170" s="126"/>
      <c r="O170" s="126"/>
      <c r="P170" s="126"/>
      <c r="Q170" s="107"/>
      <c r="R170" s="79"/>
      <c r="S170" s="128"/>
      <c r="T170" s="128"/>
      <c r="U170" s="128"/>
      <c r="V170" s="129"/>
      <c r="W170" s="128"/>
      <c r="X170" s="130"/>
      <c r="Y170" s="130"/>
      <c r="Z170" s="130"/>
      <c r="AA170" s="130"/>
      <c r="AB170" s="94"/>
      <c r="AC170" s="126"/>
      <c r="AD170" s="339"/>
      <c r="AE170" s="130"/>
      <c r="AF170" s="130"/>
      <c r="AG170" s="130"/>
      <c r="AH170" s="130"/>
      <c r="AI170" s="130"/>
      <c r="AJ170" s="94"/>
      <c r="AK170" s="94"/>
      <c r="AL170" s="94"/>
      <c r="AM170" s="94"/>
      <c r="AN170" s="130"/>
      <c r="AO170" s="130"/>
      <c r="AP170" s="94"/>
      <c r="AQ170" s="130"/>
      <c r="AR170" s="130"/>
    </row>
    <row r="171" spans="10:44" s="82" customFormat="1" x14ac:dyDescent="0.2">
      <c r="J171" s="79"/>
      <c r="K171" s="127"/>
      <c r="L171" s="79"/>
      <c r="M171" s="79"/>
      <c r="N171" s="126"/>
      <c r="O171" s="126"/>
      <c r="P171" s="126"/>
      <c r="Q171" s="107"/>
      <c r="R171" s="79"/>
      <c r="S171" s="128"/>
      <c r="T171" s="128"/>
      <c r="U171" s="128"/>
      <c r="V171" s="129"/>
      <c r="W171" s="128"/>
      <c r="X171" s="130"/>
      <c r="Y171" s="130"/>
      <c r="Z171" s="130"/>
      <c r="AA171" s="130"/>
      <c r="AB171" s="94"/>
      <c r="AC171" s="126"/>
      <c r="AD171" s="339"/>
      <c r="AE171" s="130"/>
      <c r="AF171" s="130"/>
      <c r="AG171" s="130"/>
      <c r="AH171" s="130"/>
      <c r="AI171" s="130"/>
      <c r="AJ171" s="94"/>
      <c r="AK171" s="94"/>
      <c r="AL171" s="94"/>
      <c r="AM171" s="94"/>
      <c r="AN171" s="130"/>
      <c r="AO171" s="130"/>
      <c r="AP171" s="94"/>
      <c r="AQ171" s="130"/>
      <c r="AR171" s="130"/>
    </row>
    <row r="172" spans="10:44" s="82" customFormat="1" x14ac:dyDescent="0.2">
      <c r="J172" s="81"/>
      <c r="L172" s="81"/>
      <c r="M172" s="81"/>
      <c r="N172" s="126"/>
      <c r="O172" s="126"/>
      <c r="P172" s="126"/>
      <c r="Q172" s="107"/>
      <c r="R172" s="81"/>
      <c r="S172" s="126"/>
      <c r="T172" s="126"/>
      <c r="U172" s="126"/>
      <c r="V172" s="131"/>
      <c r="W172" s="126"/>
      <c r="X172" s="132"/>
      <c r="Y172" s="132"/>
      <c r="Z172" s="132"/>
      <c r="AA172" s="132"/>
      <c r="AB172" s="95"/>
      <c r="AC172" s="126"/>
      <c r="AD172" s="340"/>
      <c r="AE172" s="132"/>
      <c r="AF172" s="132"/>
      <c r="AG172" s="132"/>
      <c r="AH172" s="132"/>
      <c r="AI172" s="132"/>
      <c r="AJ172" s="95"/>
      <c r="AK172" s="95"/>
      <c r="AL172" s="95"/>
      <c r="AM172" s="95"/>
      <c r="AN172" s="132"/>
      <c r="AO172" s="132"/>
      <c r="AP172" s="95"/>
      <c r="AQ172" s="132"/>
      <c r="AR172" s="132"/>
    </row>
    <row r="173" spans="10:44" s="82" customFormat="1" x14ac:dyDescent="0.2">
      <c r="J173" s="81"/>
      <c r="L173" s="81"/>
      <c r="M173" s="81"/>
      <c r="N173" s="126"/>
      <c r="O173" s="126"/>
      <c r="P173" s="126"/>
      <c r="Q173" s="107"/>
      <c r="R173" s="81"/>
      <c r="S173" s="126"/>
      <c r="T173" s="126"/>
      <c r="U173" s="126"/>
      <c r="V173" s="131"/>
      <c r="W173" s="126"/>
      <c r="X173" s="132"/>
      <c r="Y173" s="132"/>
      <c r="Z173" s="132"/>
      <c r="AA173" s="132"/>
      <c r="AB173" s="95"/>
      <c r="AC173" s="126"/>
      <c r="AD173" s="340"/>
      <c r="AE173" s="132"/>
      <c r="AF173" s="132"/>
      <c r="AG173" s="132"/>
      <c r="AH173" s="132"/>
      <c r="AI173" s="132"/>
      <c r="AJ173" s="95"/>
      <c r="AK173" s="95"/>
      <c r="AL173" s="95"/>
      <c r="AM173" s="95"/>
      <c r="AN173" s="132"/>
      <c r="AO173" s="132"/>
      <c r="AP173" s="95"/>
      <c r="AQ173" s="132"/>
      <c r="AR173" s="132"/>
    </row>
    <row r="174" spans="10:44" s="82" customFormat="1" x14ac:dyDescent="0.2">
      <c r="J174" s="81"/>
      <c r="L174" s="81"/>
      <c r="M174" s="81"/>
      <c r="N174" s="126"/>
      <c r="O174" s="126"/>
      <c r="P174" s="126"/>
      <c r="Q174" s="107"/>
      <c r="R174" s="81"/>
      <c r="S174" s="126"/>
      <c r="T174" s="126"/>
      <c r="U174" s="126"/>
      <c r="V174" s="131"/>
      <c r="W174" s="126"/>
      <c r="X174" s="132"/>
      <c r="Y174" s="132"/>
      <c r="Z174" s="132"/>
      <c r="AA174" s="132"/>
      <c r="AB174" s="95"/>
      <c r="AC174" s="126"/>
      <c r="AD174" s="340"/>
      <c r="AE174" s="132"/>
      <c r="AF174" s="132"/>
      <c r="AG174" s="132"/>
      <c r="AH174" s="132"/>
      <c r="AI174" s="132"/>
      <c r="AJ174" s="95"/>
      <c r="AK174" s="95"/>
      <c r="AL174" s="95"/>
      <c r="AM174" s="95"/>
      <c r="AN174" s="132"/>
      <c r="AO174" s="132"/>
      <c r="AP174" s="95"/>
      <c r="AQ174" s="132"/>
      <c r="AR174" s="132"/>
    </row>
    <row r="175" spans="10:44" s="82" customFormat="1" x14ac:dyDescent="0.2">
      <c r="J175" s="81"/>
      <c r="L175" s="81"/>
      <c r="M175" s="81"/>
      <c r="N175" s="126"/>
      <c r="O175" s="126"/>
      <c r="P175" s="126"/>
      <c r="Q175" s="107"/>
      <c r="R175" s="81"/>
      <c r="S175" s="126"/>
      <c r="T175" s="126"/>
      <c r="U175" s="126"/>
      <c r="V175" s="131"/>
      <c r="W175" s="126"/>
      <c r="X175" s="132"/>
      <c r="Y175" s="132"/>
      <c r="Z175" s="132"/>
      <c r="AA175" s="132"/>
      <c r="AB175" s="95"/>
      <c r="AC175" s="126"/>
      <c r="AD175" s="340"/>
      <c r="AE175" s="132"/>
      <c r="AF175" s="132"/>
      <c r="AG175" s="132"/>
      <c r="AH175" s="132"/>
      <c r="AI175" s="132"/>
      <c r="AJ175" s="95"/>
      <c r="AK175" s="95"/>
      <c r="AL175" s="95"/>
      <c r="AM175" s="95"/>
      <c r="AN175" s="132"/>
      <c r="AO175" s="132"/>
      <c r="AP175" s="95"/>
      <c r="AQ175" s="132"/>
      <c r="AR175" s="132"/>
    </row>
    <row r="176" spans="10:44" s="82" customFormat="1" x14ac:dyDescent="0.2">
      <c r="J176" s="81"/>
      <c r="L176" s="81"/>
      <c r="M176" s="81"/>
      <c r="N176" s="126"/>
      <c r="O176" s="126"/>
      <c r="P176" s="126"/>
      <c r="Q176" s="107"/>
      <c r="R176" s="81"/>
      <c r="S176" s="126"/>
      <c r="T176" s="126"/>
      <c r="U176" s="126"/>
      <c r="V176" s="131"/>
      <c r="W176" s="126"/>
      <c r="X176" s="132"/>
      <c r="Y176" s="132"/>
      <c r="Z176" s="132"/>
      <c r="AA176" s="132"/>
      <c r="AB176" s="95"/>
      <c r="AC176" s="126"/>
      <c r="AD176" s="340"/>
      <c r="AE176" s="132"/>
      <c r="AF176" s="132"/>
      <c r="AG176" s="132"/>
      <c r="AH176" s="132"/>
      <c r="AI176" s="132"/>
      <c r="AJ176" s="95"/>
      <c r="AK176" s="95"/>
      <c r="AL176" s="95"/>
      <c r="AM176" s="95"/>
      <c r="AN176" s="132"/>
      <c r="AO176" s="132"/>
      <c r="AP176" s="95"/>
      <c r="AQ176" s="132"/>
      <c r="AR176" s="132"/>
    </row>
    <row r="177" spans="25:44" s="82" customFormat="1" x14ac:dyDescent="0.2">
      <c r="Y177" s="132"/>
      <c r="Z177" s="132"/>
      <c r="AA177" s="132"/>
      <c r="AB177" s="95"/>
      <c r="AC177" s="126"/>
      <c r="AD177" s="340"/>
      <c r="AE177" s="132"/>
      <c r="AF177" s="132"/>
      <c r="AG177" s="132"/>
      <c r="AH177" s="132"/>
      <c r="AI177" s="132"/>
      <c r="AJ177" s="95"/>
      <c r="AK177" s="95"/>
      <c r="AL177" s="95"/>
      <c r="AM177" s="95"/>
      <c r="AN177" s="132"/>
      <c r="AO177" s="132"/>
      <c r="AP177" s="95"/>
      <c r="AQ177" s="132"/>
      <c r="AR177" s="132"/>
    </row>
    <row r="178" spans="25:44" s="82" customFormat="1" x14ac:dyDescent="0.2">
      <c r="Y178" s="132"/>
      <c r="Z178" s="132"/>
      <c r="AA178" s="132"/>
      <c r="AB178" s="95"/>
      <c r="AC178" s="126"/>
      <c r="AD178" s="340"/>
      <c r="AE178" s="132"/>
      <c r="AF178" s="132"/>
      <c r="AG178" s="132"/>
      <c r="AH178" s="132"/>
      <c r="AI178" s="132"/>
      <c r="AJ178" s="95"/>
      <c r="AK178" s="95"/>
      <c r="AL178" s="95"/>
      <c r="AM178" s="95"/>
      <c r="AN178" s="132"/>
      <c r="AO178" s="132"/>
      <c r="AP178" s="95"/>
      <c r="AQ178" s="132"/>
      <c r="AR178" s="132"/>
    </row>
    <row r="179" spans="25:44" s="82" customFormat="1" x14ac:dyDescent="0.2">
      <c r="Y179" s="132"/>
      <c r="Z179" s="132"/>
      <c r="AA179" s="132"/>
      <c r="AB179" s="95"/>
      <c r="AC179" s="126"/>
      <c r="AD179" s="340"/>
      <c r="AE179" s="132"/>
      <c r="AF179" s="132"/>
      <c r="AG179" s="132"/>
      <c r="AH179" s="132"/>
      <c r="AI179" s="132"/>
      <c r="AJ179" s="95"/>
      <c r="AK179" s="95"/>
      <c r="AL179" s="95"/>
      <c r="AM179" s="95"/>
      <c r="AN179" s="132"/>
      <c r="AO179" s="132"/>
      <c r="AP179" s="95"/>
      <c r="AQ179" s="132"/>
      <c r="AR179" s="132"/>
    </row>
    <row r="180" spans="25:44" s="82" customFormat="1" x14ac:dyDescent="0.2">
      <c r="Y180" s="132"/>
      <c r="Z180" s="132"/>
      <c r="AA180" s="132"/>
      <c r="AB180" s="95"/>
      <c r="AC180" s="126"/>
      <c r="AD180" s="340"/>
      <c r="AE180" s="132"/>
      <c r="AF180" s="132"/>
      <c r="AG180" s="132"/>
      <c r="AH180" s="132"/>
      <c r="AI180" s="132"/>
      <c r="AJ180" s="95"/>
      <c r="AK180" s="95"/>
      <c r="AL180" s="95"/>
      <c r="AM180" s="95"/>
      <c r="AN180" s="132"/>
      <c r="AO180" s="132"/>
      <c r="AP180" s="95"/>
      <c r="AQ180" s="132"/>
      <c r="AR180" s="132"/>
    </row>
    <row r="181" spans="25:44" s="82" customFormat="1" x14ac:dyDescent="0.2">
      <c r="Y181" s="132"/>
      <c r="Z181" s="132"/>
      <c r="AA181" s="132"/>
      <c r="AB181" s="95"/>
      <c r="AC181" s="126"/>
      <c r="AD181" s="340"/>
      <c r="AE181" s="132"/>
      <c r="AF181" s="132"/>
      <c r="AG181" s="132"/>
      <c r="AH181" s="132"/>
      <c r="AI181" s="132"/>
      <c r="AJ181" s="95"/>
      <c r="AK181" s="95"/>
      <c r="AL181" s="95"/>
      <c r="AM181" s="95"/>
      <c r="AN181" s="132"/>
      <c r="AO181" s="132"/>
      <c r="AP181" s="95"/>
      <c r="AQ181" s="132"/>
      <c r="AR181" s="132"/>
    </row>
    <row r="182" spans="25:44" s="82" customFormat="1" x14ac:dyDescent="0.2">
      <c r="Y182" s="132"/>
      <c r="Z182" s="132"/>
      <c r="AA182" s="132"/>
      <c r="AB182" s="95"/>
      <c r="AC182" s="126"/>
      <c r="AD182" s="340"/>
      <c r="AE182" s="132"/>
      <c r="AF182" s="132"/>
      <c r="AG182" s="132"/>
      <c r="AH182" s="132"/>
      <c r="AI182" s="132"/>
      <c r="AJ182" s="95"/>
      <c r="AK182" s="95"/>
      <c r="AL182" s="95"/>
      <c r="AM182" s="95"/>
      <c r="AN182" s="132"/>
      <c r="AO182" s="132"/>
      <c r="AP182" s="95"/>
      <c r="AQ182" s="132"/>
      <c r="AR182" s="132"/>
    </row>
    <row r="183" spans="25:44" s="82" customFormat="1" x14ac:dyDescent="0.2">
      <c r="Y183" s="132"/>
      <c r="Z183" s="132"/>
      <c r="AA183" s="132"/>
      <c r="AB183" s="95"/>
      <c r="AC183" s="126"/>
      <c r="AD183" s="340"/>
      <c r="AE183" s="132"/>
      <c r="AF183" s="132"/>
      <c r="AG183" s="132"/>
      <c r="AH183" s="132"/>
      <c r="AI183" s="132"/>
      <c r="AJ183" s="95"/>
      <c r="AK183" s="95"/>
      <c r="AL183" s="95"/>
      <c r="AM183" s="95"/>
      <c r="AN183" s="132"/>
      <c r="AO183" s="132"/>
      <c r="AP183" s="95"/>
      <c r="AQ183" s="132"/>
      <c r="AR183" s="132"/>
    </row>
    <row r="184" spans="25:44" s="82" customFormat="1" x14ac:dyDescent="0.2">
      <c r="Y184" s="132"/>
      <c r="Z184" s="132"/>
      <c r="AA184" s="132"/>
      <c r="AB184" s="95"/>
      <c r="AC184" s="126"/>
      <c r="AD184" s="340"/>
      <c r="AE184" s="132"/>
      <c r="AF184" s="132"/>
      <c r="AG184" s="132"/>
      <c r="AH184" s="132"/>
      <c r="AI184" s="132"/>
      <c r="AJ184" s="95"/>
      <c r="AK184" s="95"/>
      <c r="AL184" s="95"/>
      <c r="AM184" s="95"/>
      <c r="AN184" s="132"/>
      <c r="AO184" s="132"/>
      <c r="AP184" s="95"/>
      <c r="AQ184" s="132"/>
      <c r="AR184" s="132"/>
    </row>
    <row r="185" spans="25:44" s="82" customFormat="1" x14ac:dyDescent="0.2">
      <c r="Y185" s="132"/>
      <c r="Z185" s="132"/>
      <c r="AA185" s="132"/>
      <c r="AB185" s="95"/>
      <c r="AC185" s="126"/>
      <c r="AD185" s="340"/>
      <c r="AE185" s="132"/>
      <c r="AF185" s="132"/>
      <c r="AG185" s="132"/>
      <c r="AH185" s="132"/>
      <c r="AI185" s="132"/>
      <c r="AJ185" s="95"/>
      <c r="AK185" s="95"/>
      <c r="AL185" s="95"/>
      <c r="AM185" s="95"/>
      <c r="AN185" s="132"/>
      <c r="AO185" s="132"/>
      <c r="AP185" s="95"/>
      <c r="AQ185" s="132"/>
      <c r="AR185" s="132"/>
    </row>
    <row r="186" spans="25:44" s="82" customFormat="1" x14ac:dyDescent="0.2">
      <c r="Y186" s="132"/>
      <c r="Z186" s="132"/>
      <c r="AA186" s="132"/>
      <c r="AB186" s="95"/>
      <c r="AC186" s="126"/>
      <c r="AD186" s="340"/>
      <c r="AE186" s="132"/>
      <c r="AF186" s="132"/>
      <c r="AG186" s="132"/>
      <c r="AH186" s="132"/>
      <c r="AI186" s="132"/>
      <c r="AJ186" s="95"/>
      <c r="AK186" s="95"/>
      <c r="AL186" s="95"/>
      <c r="AM186" s="95"/>
      <c r="AN186" s="132"/>
      <c r="AO186" s="132"/>
      <c r="AP186" s="95"/>
      <c r="AQ186" s="132"/>
      <c r="AR186" s="132"/>
    </row>
    <row r="187" spans="25:44" s="82" customFormat="1" x14ac:dyDescent="0.2">
      <c r="Y187" s="132"/>
      <c r="Z187" s="132"/>
      <c r="AA187" s="132"/>
      <c r="AB187" s="95"/>
      <c r="AC187" s="126"/>
      <c r="AD187" s="340"/>
      <c r="AE187" s="132"/>
      <c r="AF187" s="132"/>
      <c r="AG187" s="132"/>
      <c r="AH187" s="132"/>
      <c r="AI187" s="132"/>
      <c r="AJ187" s="95"/>
      <c r="AK187" s="95"/>
      <c r="AL187" s="95"/>
      <c r="AM187" s="95"/>
      <c r="AN187" s="132"/>
      <c r="AO187" s="132"/>
      <c r="AP187" s="95"/>
      <c r="AQ187" s="132"/>
      <c r="AR187" s="132"/>
    </row>
    <row r="188" spans="25:44" s="82" customFormat="1" x14ac:dyDescent="0.2">
      <c r="Y188" s="132"/>
      <c r="Z188" s="132"/>
      <c r="AA188" s="132"/>
      <c r="AB188" s="95"/>
      <c r="AC188" s="126"/>
      <c r="AD188" s="340"/>
      <c r="AE188" s="132"/>
      <c r="AF188" s="132"/>
      <c r="AG188" s="132"/>
      <c r="AH188" s="132"/>
      <c r="AI188" s="132"/>
      <c r="AJ188" s="95"/>
      <c r="AK188" s="95"/>
      <c r="AL188" s="95"/>
      <c r="AM188" s="95"/>
      <c r="AN188" s="132"/>
      <c r="AO188" s="132"/>
      <c r="AP188" s="95"/>
      <c r="AQ188" s="132"/>
      <c r="AR188" s="132"/>
    </row>
    <row r="189" spans="25:44" s="82" customFormat="1" x14ac:dyDescent="0.2">
      <c r="Y189" s="132"/>
      <c r="Z189" s="132"/>
      <c r="AA189" s="132"/>
      <c r="AB189" s="95"/>
      <c r="AC189" s="126"/>
      <c r="AD189" s="340"/>
      <c r="AE189" s="132"/>
      <c r="AF189" s="132"/>
      <c r="AG189" s="132"/>
      <c r="AH189" s="132"/>
      <c r="AI189" s="132"/>
      <c r="AJ189" s="95"/>
      <c r="AK189" s="95"/>
      <c r="AL189" s="95"/>
      <c r="AM189" s="95"/>
      <c r="AN189" s="132"/>
      <c r="AO189" s="132"/>
      <c r="AP189" s="95"/>
      <c r="AQ189" s="132"/>
      <c r="AR189" s="132"/>
    </row>
    <row r="190" spans="25:44" s="82" customFormat="1" x14ac:dyDescent="0.2">
      <c r="Y190" s="132"/>
      <c r="Z190" s="132"/>
      <c r="AA190" s="132"/>
      <c r="AB190" s="95"/>
      <c r="AC190" s="126"/>
      <c r="AD190" s="340"/>
      <c r="AE190" s="132"/>
      <c r="AF190" s="132"/>
      <c r="AG190" s="132"/>
      <c r="AH190" s="132"/>
      <c r="AI190" s="132"/>
      <c r="AJ190" s="95"/>
      <c r="AK190" s="95"/>
      <c r="AL190" s="95"/>
      <c r="AM190" s="95"/>
      <c r="AN190" s="132"/>
      <c r="AO190" s="132"/>
      <c r="AP190" s="95"/>
      <c r="AQ190" s="132"/>
      <c r="AR190" s="132"/>
    </row>
    <row r="191" spans="25:44" s="82" customFormat="1" x14ac:dyDescent="0.2">
      <c r="Y191" s="132"/>
      <c r="Z191" s="132"/>
      <c r="AA191" s="132"/>
      <c r="AB191" s="95"/>
      <c r="AC191" s="126"/>
      <c r="AD191" s="340"/>
      <c r="AE191" s="132"/>
      <c r="AF191" s="132"/>
      <c r="AG191" s="132"/>
      <c r="AH191" s="132"/>
      <c r="AI191" s="132"/>
      <c r="AJ191" s="95"/>
      <c r="AK191" s="95"/>
      <c r="AL191" s="95"/>
      <c r="AM191" s="95"/>
      <c r="AN191" s="132"/>
      <c r="AO191" s="132"/>
      <c r="AP191" s="95"/>
      <c r="AQ191" s="132"/>
      <c r="AR191" s="132"/>
    </row>
    <row r="192" spans="25:44" s="82" customFormat="1" x14ac:dyDescent="0.2">
      <c r="Y192" s="132"/>
      <c r="Z192" s="132"/>
      <c r="AA192" s="132"/>
      <c r="AB192" s="95"/>
      <c r="AC192" s="126"/>
      <c r="AD192" s="340"/>
      <c r="AE192" s="132"/>
      <c r="AF192" s="132"/>
      <c r="AG192" s="132"/>
      <c r="AH192" s="132"/>
      <c r="AI192" s="132"/>
      <c r="AJ192" s="95"/>
      <c r="AK192" s="95"/>
      <c r="AL192" s="95"/>
      <c r="AM192" s="95"/>
      <c r="AN192" s="132"/>
      <c r="AO192" s="132"/>
      <c r="AP192" s="95"/>
      <c r="AQ192" s="132"/>
      <c r="AR192" s="132"/>
    </row>
    <row r="193" spans="25:44" s="82" customFormat="1" x14ac:dyDescent="0.2">
      <c r="Y193" s="132"/>
      <c r="Z193" s="132"/>
      <c r="AA193" s="132"/>
      <c r="AB193" s="95"/>
      <c r="AC193" s="126"/>
      <c r="AD193" s="340"/>
      <c r="AE193" s="132"/>
      <c r="AF193" s="132"/>
      <c r="AG193" s="132"/>
      <c r="AH193" s="132"/>
      <c r="AI193" s="132"/>
      <c r="AJ193" s="95"/>
      <c r="AK193" s="95"/>
      <c r="AL193" s="95"/>
      <c r="AM193" s="95"/>
      <c r="AN193" s="132"/>
      <c r="AO193" s="132"/>
      <c r="AP193" s="95"/>
      <c r="AQ193" s="132"/>
      <c r="AR193" s="132"/>
    </row>
    <row r="194" spans="25:44" s="82" customFormat="1" x14ac:dyDescent="0.2">
      <c r="Y194" s="132"/>
      <c r="Z194" s="132"/>
      <c r="AA194" s="132"/>
      <c r="AB194" s="95"/>
      <c r="AC194" s="126"/>
      <c r="AD194" s="340"/>
      <c r="AE194" s="132"/>
      <c r="AF194" s="132"/>
      <c r="AG194" s="132"/>
      <c r="AH194" s="132"/>
      <c r="AI194" s="132"/>
      <c r="AJ194" s="95"/>
      <c r="AK194" s="95"/>
      <c r="AL194" s="95"/>
      <c r="AM194" s="95"/>
      <c r="AN194" s="132"/>
      <c r="AO194" s="132"/>
      <c r="AP194" s="95"/>
      <c r="AQ194" s="132"/>
      <c r="AR194" s="132"/>
    </row>
    <row r="195" spans="25:44" s="82" customFormat="1" x14ac:dyDescent="0.2">
      <c r="Y195" s="132"/>
      <c r="Z195" s="132"/>
      <c r="AA195" s="132"/>
      <c r="AB195" s="95"/>
      <c r="AC195" s="126"/>
      <c r="AD195" s="340"/>
      <c r="AE195" s="132"/>
      <c r="AF195" s="132"/>
      <c r="AG195" s="132"/>
      <c r="AH195" s="132"/>
      <c r="AI195" s="132"/>
      <c r="AJ195" s="95"/>
      <c r="AK195" s="95"/>
      <c r="AL195" s="95"/>
      <c r="AM195" s="95"/>
      <c r="AN195" s="132"/>
      <c r="AO195" s="132"/>
      <c r="AP195" s="95"/>
      <c r="AQ195" s="132"/>
      <c r="AR195" s="132"/>
    </row>
    <row r="196" spans="25:44" s="82" customFormat="1" x14ac:dyDescent="0.2">
      <c r="Y196" s="132"/>
      <c r="Z196" s="132"/>
      <c r="AA196" s="132"/>
      <c r="AB196" s="95"/>
      <c r="AC196" s="126"/>
      <c r="AD196" s="340"/>
      <c r="AE196" s="132"/>
      <c r="AF196" s="132"/>
      <c r="AG196" s="132"/>
      <c r="AH196" s="132"/>
      <c r="AI196" s="132"/>
      <c r="AJ196" s="95"/>
      <c r="AK196" s="95"/>
      <c r="AL196" s="95"/>
      <c r="AM196" s="95"/>
      <c r="AN196" s="132"/>
      <c r="AO196" s="132"/>
      <c r="AP196" s="95"/>
      <c r="AQ196" s="132"/>
      <c r="AR196" s="132"/>
    </row>
    <row r="197" spans="25:44" s="82" customFormat="1" x14ac:dyDescent="0.2">
      <c r="Y197" s="132"/>
      <c r="Z197" s="132"/>
      <c r="AA197" s="132"/>
      <c r="AB197" s="95"/>
      <c r="AC197" s="126"/>
      <c r="AD197" s="340"/>
      <c r="AE197" s="132"/>
      <c r="AF197" s="132"/>
      <c r="AG197" s="132"/>
      <c r="AH197" s="132"/>
      <c r="AI197" s="132"/>
      <c r="AJ197" s="95"/>
      <c r="AK197" s="95"/>
      <c r="AL197" s="95"/>
      <c r="AM197" s="95"/>
      <c r="AN197" s="132"/>
      <c r="AO197" s="132"/>
      <c r="AP197" s="95"/>
      <c r="AQ197" s="132"/>
      <c r="AR197" s="132"/>
    </row>
    <row r="198" spans="25:44" s="82" customFormat="1" x14ac:dyDescent="0.2">
      <c r="Y198" s="132"/>
      <c r="Z198" s="132"/>
      <c r="AA198" s="132"/>
      <c r="AB198" s="95"/>
      <c r="AC198" s="126"/>
      <c r="AD198" s="340"/>
      <c r="AE198" s="132"/>
      <c r="AF198" s="132"/>
      <c r="AG198" s="132"/>
      <c r="AH198" s="132"/>
      <c r="AI198" s="132"/>
      <c r="AJ198" s="95"/>
      <c r="AK198" s="95"/>
      <c r="AL198" s="95"/>
      <c r="AM198" s="95"/>
      <c r="AN198" s="132"/>
      <c r="AO198" s="132"/>
      <c r="AP198" s="95"/>
      <c r="AQ198" s="132"/>
      <c r="AR198" s="132"/>
    </row>
    <row r="199" spans="25:44" s="82" customFormat="1" x14ac:dyDescent="0.2">
      <c r="Y199" s="132"/>
      <c r="Z199" s="132"/>
      <c r="AA199" s="132"/>
      <c r="AB199" s="95"/>
      <c r="AC199" s="126"/>
      <c r="AD199" s="340"/>
      <c r="AE199" s="132"/>
      <c r="AF199" s="132"/>
      <c r="AG199" s="132"/>
      <c r="AH199" s="132"/>
      <c r="AI199" s="132"/>
      <c r="AJ199" s="95"/>
      <c r="AK199" s="95"/>
      <c r="AL199" s="95"/>
      <c r="AM199" s="95"/>
      <c r="AN199" s="132"/>
      <c r="AO199" s="132"/>
      <c r="AP199" s="95"/>
      <c r="AQ199" s="132"/>
      <c r="AR199" s="132"/>
    </row>
    <row r="200" spans="25:44" s="82" customFormat="1" x14ac:dyDescent="0.2">
      <c r="Y200" s="132"/>
      <c r="Z200" s="132"/>
      <c r="AA200" s="132"/>
      <c r="AB200" s="95"/>
      <c r="AC200" s="126"/>
      <c r="AD200" s="340"/>
      <c r="AE200" s="132"/>
      <c r="AF200" s="132"/>
      <c r="AG200" s="132"/>
      <c r="AH200" s="132"/>
      <c r="AI200" s="132"/>
      <c r="AJ200" s="95"/>
      <c r="AK200" s="95"/>
      <c r="AL200" s="95"/>
      <c r="AM200" s="95"/>
      <c r="AN200" s="132"/>
      <c r="AO200" s="132"/>
      <c r="AP200" s="95"/>
      <c r="AQ200" s="132"/>
      <c r="AR200" s="132"/>
    </row>
    <row r="201" spans="25:44" s="82" customFormat="1" x14ac:dyDescent="0.2">
      <c r="Y201" s="132"/>
      <c r="Z201" s="132"/>
      <c r="AA201" s="132"/>
      <c r="AB201" s="95"/>
      <c r="AC201" s="126"/>
      <c r="AD201" s="340"/>
      <c r="AE201" s="132"/>
      <c r="AF201" s="132"/>
      <c r="AG201" s="132"/>
      <c r="AH201" s="132"/>
      <c r="AI201" s="132"/>
      <c r="AJ201" s="95"/>
      <c r="AK201" s="95"/>
      <c r="AL201" s="95"/>
      <c r="AM201" s="95"/>
      <c r="AN201" s="132"/>
      <c r="AO201" s="132"/>
      <c r="AP201" s="95"/>
      <c r="AQ201" s="132"/>
      <c r="AR201" s="132"/>
    </row>
    <row r="202" spans="25:44" s="82" customFormat="1" x14ac:dyDescent="0.2">
      <c r="Y202" s="132"/>
      <c r="Z202" s="132"/>
      <c r="AA202" s="132"/>
      <c r="AB202" s="95"/>
      <c r="AC202" s="126"/>
      <c r="AD202" s="340"/>
      <c r="AE202" s="132"/>
      <c r="AF202" s="132"/>
      <c r="AG202" s="132"/>
      <c r="AH202" s="132"/>
      <c r="AI202" s="132"/>
      <c r="AJ202" s="95"/>
      <c r="AK202" s="95"/>
      <c r="AL202" s="95"/>
      <c r="AM202" s="95"/>
      <c r="AN202" s="132"/>
      <c r="AO202" s="132"/>
      <c r="AP202" s="95"/>
      <c r="AQ202" s="132"/>
      <c r="AR202" s="132"/>
    </row>
    <row r="203" spans="25:44" s="82" customFormat="1" x14ac:dyDescent="0.2">
      <c r="Y203" s="132"/>
      <c r="Z203" s="132"/>
      <c r="AA203" s="132"/>
      <c r="AB203" s="95"/>
      <c r="AC203" s="126"/>
      <c r="AD203" s="340"/>
      <c r="AE203" s="132"/>
      <c r="AF203" s="132"/>
      <c r="AG203" s="132"/>
      <c r="AH203" s="132"/>
      <c r="AI203" s="132"/>
      <c r="AJ203" s="95"/>
      <c r="AK203" s="95"/>
      <c r="AL203" s="95"/>
      <c r="AM203" s="95"/>
      <c r="AN203" s="132"/>
      <c r="AO203" s="132"/>
      <c r="AP203" s="95"/>
      <c r="AQ203" s="132"/>
      <c r="AR203" s="132"/>
    </row>
    <row r="204" spans="25:44" s="82" customFormat="1" x14ac:dyDescent="0.2">
      <c r="Y204" s="132"/>
      <c r="Z204" s="132"/>
      <c r="AA204" s="132"/>
      <c r="AB204" s="95"/>
      <c r="AC204" s="126"/>
      <c r="AD204" s="340"/>
      <c r="AE204" s="132"/>
      <c r="AF204" s="132"/>
      <c r="AG204" s="132"/>
      <c r="AH204" s="132"/>
      <c r="AI204" s="132"/>
      <c r="AJ204" s="95"/>
      <c r="AK204" s="95"/>
      <c r="AL204" s="95"/>
      <c r="AM204" s="95"/>
      <c r="AN204" s="132"/>
      <c r="AO204" s="132"/>
      <c r="AP204" s="95"/>
      <c r="AQ204" s="132"/>
      <c r="AR204" s="132"/>
    </row>
    <row r="205" spans="25:44" s="82" customFormat="1" x14ac:dyDescent="0.2">
      <c r="Y205" s="132"/>
      <c r="Z205" s="132"/>
      <c r="AA205" s="132"/>
      <c r="AB205" s="95"/>
      <c r="AC205" s="126"/>
      <c r="AD205" s="340"/>
      <c r="AE205" s="132"/>
      <c r="AF205" s="132"/>
      <c r="AG205" s="132"/>
      <c r="AH205" s="132"/>
      <c r="AI205" s="132"/>
      <c r="AJ205" s="95"/>
      <c r="AK205" s="95"/>
      <c r="AL205" s="95"/>
      <c r="AM205" s="95"/>
      <c r="AN205" s="132"/>
      <c r="AO205" s="132"/>
      <c r="AP205" s="95"/>
      <c r="AQ205" s="132"/>
      <c r="AR205" s="132"/>
    </row>
    <row r="206" spans="25:44" s="82" customFormat="1" x14ac:dyDescent="0.2">
      <c r="Y206" s="132"/>
      <c r="Z206" s="132"/>
      <c r="AA206" s="132"/>
      <c r="AB206" s="95"/>
      <c r="AC206" s="126"/>
      <c r="AD206" s="340"/>
      <c r="AE206" s="132"/>
      <c r="AF206" s="132"/>
      <c r="AG206" s="132"/>
      <c r="AH206" s="132"/>
      <c r="AI206" s="132"/>
      <c r="AJ206" s="95"/>
      <c r="AK206" s="95"/>
      <c r="AL206" s="95"/>
      <c r="AM206" s="95"/>
      <c r="AN206" s="132"/>
      <c r="AO206" s="132"/>
      <c r="AP206" s="95"/>
      <c r="AQ206" s="132"/>
      <c r="AR206" s="132"/>
    </row>
    <row r="207" spans="25:44" s="82" customFormat="1" x14ac:dyDescent="0.2">
      <c r="Y207" s="132"/>
      <c r="Z207" s="132"/>
      <c r="AA207" s="132"/>
      <c r="AB207" s="95"/>
      <c r="AC207" s="126"/>
      <c r="AD207" s="340"/>
      <c r="AE207" s="132"/>
      <c r="AF207" s="132"/>
      <c r="AG207" s="132"/>
      <c r="AH207" s="132"/>
      <c r="AI207" s="132"/>
      <c r="AJ207" s="95"/>
      <c r="AK207" s="95"/>
      <c r="AL207" s="95"/>
      <c r="AM207" s="95"/>
      <c r="AN207" s="132"/>
      <c r="AO207" s="132"/>
      <c r="AP207" s="95"/>
      <c r="AQ207" s="132"/>
      <c r="AR207" s="132"/>
    </row>
    <row r="208" spans="25:44" s="82" customFormat="1" x14ac:dyDescent="0.2">
      <c r="Y208" s="132"/>
      <c r="Z208" s="132"/>
      <c r="AA208" s="132"/>
      <c r="AB208" s="95"/>
      <c r="AC208" s="126"/>
      <c r="AD208" s="340"/>
      <c r="AE208" s="132"/>
      <c r="AF208" s="132"/>
      <c r="AG208" s="132"/>
      <c r="AH208" s="132"/>
      <c r="AI208" s="132"/>
      <c r="AJ208" s="95"/>
      <c r="AK208" s="95"/>
      <c r="AL208" s="95"/>
      <c r="AM208" s="95"/>
      <c r="AN208" s="132"/>
      <c r="AO208" s="132"/>
      <c r="AP208" s="95"/>
      <c r="AQ208" s="132"/>
      <c r="AR208" s="132"/>
    </row>
    <row r="209" spans="25:44" s="82" customFormat="1" x14ac:dyDescent="0.2">
      <c r="Y209" s="132"/>
      <c r="Z209" s="132"/>
      <c r="AA209" s="132"/>
      <c r="AB209" s="95"/>
      <c r="AC209" s="126"/>
      <c r="AD209" s="340"/>
      <c r="AE209" s="132"/>
      <c r="AF209" s="132"/>
      <c r="AG209" s="132"/>
      <c r="AH209" s="132"/>
      <c r="AI209" s="132"/>
      <c r="AJ209" s="95"/>
      <c r="AK209" s="95"/>
      <c r="AL209" s="95"/>
      <c r="AM209" s="95"/>
      <c r="AN209" s="132"/>
      <c r="AO209" s="132"/>
      <c r="AP209" s="95"/>
      <c r="AQ209" s="132"/>
      <c r="AR209" s="132"/>
    </row>
    <row r="210" spans="25:44" s="82" customFormat="1" x14ac:dyDescent="0.2">
      <c r="Y210" s="132"/>
      <c r="Z210" s="132"/>
      <c r="AA210" s="132"/>
      <c r="AB210" s="95"/>
      <c r="AC210" s="126"/>
      <c r="AD210" s="340"/>
      <c r="AE210" s="132"/>
      <c r="AF210" s="132"/>
      <c r="AG210" s="132"/>
      <c r="AH210" s="132"/>
      <c r="AI210" s="132"/>
      <c r="AJ210" s="95"/>
      <c r="AK210" s="95"/>
      <c r="AL210" s="95"/>
      <c r="AM210" s="95"/>
      <c r="AN210" s="132"/>
      <c r="AO210" s="132"/>
      <c r="AP210" s="95"/>
      <c r="AQ210" s="132"/>
      <c r="AR210" s="132"/>
    </row>
    <row r="211" spans="25:44" s="82" customFormat="1" x14ac:dyDescent="0.2">
      <c r="Y211" s="132"/>
      <c r="Z211" s="132"/>
      <c r="AA211" s="132"/>
      <c r="AB211" s="95"/>
      <c r="AC211" s="126"/>
      <c r="AD211" s="340"/>
      <c r="AE211" s="132"/>
      <c r="AF211" s="132"/>
      <c r="AG211" s="132"/>
      <c r="AH211" s="132"/>
      <c r="AI211" s="132"/>
      <c r="AJ211" s="95"/>
      <c r="AK211" s="95"/>
      <c r="AL211" s="95"/>
      <c r="AM211" s="95"/>
      <c r="AN211" s="132"/>
      <c r="AO211" s="132"/>
      <c r="AP211" s="95"/>
      <c r="AQ211" s="132"/>
      <c r="AR211" s="132"/>
    </row>
    <row r="212" spans="25:44" s="82" customFormat="1" x14ac:dyDescent="0.2">
      <c r="Y212" s="132"/>
      <c r="Z212" s="132"/>
      <c r="AA212" s="132"/>
      <c r="AB212" s="95"/>
      <c r="AC212" s="126"/>
      <c r="AD212" s="340"/>
      <c r="AE212" s="132"/>
      <c r="AF212" s="132"/>
      <c r="AG212" s="132"/>
      <c r="AH212" s="132"/>
      <c r="AI212" s="132"/>
      <c r="AJ212" s="95"/>
      <c r="AK212" s="95"/>
      <c r="AL212" s="95"/>
      <c r="AM212" s="95"/>
      <c r="AN212" s="132"/>
      <c r="AO212" s="132"/>
      <c r="AP212" s="95"/>
      <c r="AQ212" s="132"/>
      <c r="AR212" s="132"/>
    </row>
    <row r="213" spans="25:44" s="82" customFormat="1" x14ac:dyDescent="0.2">
      <c r="Y213" s="132"/>
      <c r="Z213" s="132"/>
      <c r="AA213" s="132"/>
      <c r="AB213" s="95"/>
      <c r="AC213" s="126"/>
      <c r="AD213" s="340"/>
      <c r="AE213" s="132"/>
      <c r="AF213" s="132"/>
      <c r="AG213" s="132"/>
      <c r="AH213" s="132"/>
      <c r="AI213" s="132"/>
      <c r="AJ213" s="95"/>
      <c r="AK213" s="95"/>
      <c r="AL213" s="95"/>
      <c r="AM213" s="95"/>
      <c r="AN213" s="132"/>
      <c r="AO213" s="132"/>
      <c r="AP213" s="95"/>
      <c r="AQ213" s="132"/>
      <c r="AR213" s="132"/>
    </row>
    <row r="214" spans="25:44" s="82" customFormat="1" x14ac:dyDescent="0.2">
      <c r="Y214" s="132"/>
      <c r="Z214" s="132"/>
      <c r="AA214" s="132"/>
      <c r="AB214" s="95"/>
      <c r="AC214" s="126"/>
      <c r="AD214" s="340"/>
      <c r="AE214" s="132"/>
      <c r="AF214" s="132"/>
      <c r="AG214" s="132"/>
      <c r="AH214" s="132"/>
      <c r="AI214" s="132"/>
      <c r="AJ214" s="95"/>
      <c r="AK214" s="95"/>
      <c r="AL214" s="95"/>
      <c r="AM214" s="95"/>
      <c r="AN214" s="132"/>
      <c r="AO214" s="132"/>
      <c r="AP214" s="95"/>
      <c r="AQ214" s="132"/>
      <c r="AR214" s="132"/>
    </row>
    <row r="215" spans="25:44" s="82" customFormat="1" x14ac:dyDescent="0.2">
      <c r="Y215" s="132"/>
      <c r="Z215" s="132"/>
      <c r="AA215" s="132"/>
      <c r="AB215" s="95"/>
      <c r="AC215" s="126"/>
      <c r="AD215" s="340"/>
      <c r="AE215" s="132"/>
      <c r="AF215" s="132"/>
      <c r="AG215" s="132"/>
      <c r="AH215" s="132"/>
      <c r="AI215" s="132"/>
      <c r="AJ215" s="95"/>
      <c r="AK215" s="95"/>
      <c r="AL215" s="95"/>
      <c r="AM215" s="95"/>
      <c r="AN215" s="132"/>
      <c r="AO215" s="132"/>
      <c r="AP215" s="95"/>
      <c r="AQ215" s="132"/>
      <c r="AR215" s="132"/>
    </row>
    <row r="216" spans="25:44" s="82" customFormat="1" x14ac:dyDescent="0.2">
      <c r="Y216" s="132"/>
      <c r="Z216" s="132"/>
      <c r="AA216" s="132"/>
      <c r="AB216" s="95"/>
      <c r="AC216" s="126"/>
      <c r="AD216" s="340"/>
      <c r="AE216" s="132"/>
      <c r="AF216" s="132"/>
      <c r="AG216" s="132"/>
      <c r="AH216" s="132"/>
      <c r="AI216" s="132"/>
      <c r="AJ216" s="95"/>
      <c r="AK216" s="95"/>
      <c r="AL216" s="95"/>
      <c r="AM216" s="95"/>
      <c r="AN216" s="132"/>
      <c r="AO216" s="132"/>
      <c r="AP216" s="95"/>
      <c r="AQ216" s="132"/>
      <c r="AR216" s="132"/>
    </row>
    <row r="217" spans="25:44" s="82" customFormat="1" x14ac:dyDescent="0.2">
      <c r="Y217" s="132"/>
      <c r="Z217" s="132"/>
      <c r="AA217" s="132"/>
      <c r="AB217" s="95"/>
      <c r="AC217" s="126"/>
      <c r="AD217" s="340"/>
      <c r="AE217" s="132"/>
      <c r="AF217" s="132"/>
      <c r="AG217" s="132"/>
      <c r="AH217" s="132"/>
      <c r="AI217" s="132"/>
      <c r="AJ217" s="95"/>
      <c r="AK217" s="95"/>
      <c r="AL217" s="95"/>
      <c r="AM217" s="95"/>
      <c r="AN217" s="132"/>
      <c r="AO217" s="132"/>
      <c r="AP217" s="95"/>
      <c r="AQ217" s="132"/>
      <c r="AR217" s="132"/>
    </row>
    <row r="218" spans="25:44" s="82" customFormat="1" x14ac:dyDescent="0.2">
      <c r="Y218" s="132"/>
      <c r="Z218" s="132"/>
      <c r="AA218" s="132"/>
      <c r="AB218" s="95"/>
      <c r="AC218" s="126"/>
      <c r="AD218" s="340"/>
      <c r="AE218" s="132"/>
      <c r="AF218" s="132"/>
      <c r="AG218" s="132"/>
      <c r="AH218" s="132"/>
      <c r="AI218" s="132"/>
      <c r="AJ218" s="95"/>
      <c r="AK218" s="95"/>
      <c r="AL218" s="95"/>
      <c r="AM218" s="95"/>
      <c r="AN218" s="132"/>
      <c r="AO218" s="132"/>
      <c r="AP218" s="95"/>
      <c r="AQ218" s="132"/>
      <c r="AR218" s="132"/>
    </row>
    <row r="219" spans="25:44" s="82" customFormat="1" x14ac:dyDescent="0.2">
      <c r="Y219" s="132"/>
      <c r="Z219" s="132"/>
      <c r="AA219" s="132"/>
      <c r="AB219" s="95"/>
      <c r="AC219" s="126"/>
      <c r="AD219" s="340"/>
      <c r="AE219" s="132"/>
      <c r="AF219" s="132"/>
      <c r="AG219" s="132"/>
      <c r="AH219" s="132"/>
      <c r="AI219" s="132"/>
      <c r="AJ219" s="95"/>
      <c r="AK219" s="95"/>
      <c r="AL219" s="95"/>
      <c r="AM219" s="95"/>
      <c r="AN219" s="132"/>
      <c r="AO219" s="132"/>
      <c r="AP219" s="95"/>
      <c r="AQ219" s="132"/>
      <c r="AR219" s="132"/>
    </row>
    <row r="220" spans="25:44" s="82" customFormat="1" x14ac:dyDescent="0.2">
      <c r="Y220" s="132"/>
      <c r="Z220" s="132"/>
      <c r="AA220" s="132"/>
      <c r="AB220" s="95"/>
      <c r="AC220" s="126"/>
      <c r="AD220" s="340"/>
      <c r="AE220" s="132"/>
      <c r="AF220" s="132"/>
      <c r="AG220" s="132"/>
      <c r="AH220" s="132"/>
      <c r="AI220" s="132"/>
      <c r="AJ220" s="95"/>
      <c r="AK220" s="95"/>
      <c r="AL220" s="95"/>
      <c r="AM220" s="95"/>
      <c r="AN220" s="132"/>
      <c r="AO220" s="132"/>
      <c r="AP220" s="95"/>
      <c r="AQ220" s="132"/>
      <c r="AR220" s="132"/>
    </row>
    <row r="221" spans="25:44" s="82" customFormat="1" x14ac:dyDescent="0.2">
      <c r="Y221" s="132"/>
      <c r="Z221" s="132"/>
      <c r="AA221" s="132"/>
      <c r="AB221" s="95"/>
      <c r="AC221" s="126"/>
      <c r="AD221" s="340"/>
      <c r="AE221" s="132"/>
      <c r="AF221" s="132"/>
      <c r="AG221" s="132"/>
      <c r="AH221" s="132"/>
      <c r="AI221" s="132"/>
      <c r="AJ221" s="95"/>
      <c r="AK221" s="95"/>
      <c r="AL221" s="95"/>
      <c r="AM221" s="95"/>
      <c r="AN221" s="132"/>
      <c r="AO221" s="132"/>
      <c r="AP221" s="95"/>
      <c r="AQ221" s="132"/>
      <c r="AR221" s="132"/>
    </row>
    <row r="222" spans="25:44" s="82" customFormat="1" x14ac:dyDescent="0.2">
      <c r="Y222" s="132"/>
      <c r="Z222" s="132"/>
      <c r="AA222" s="132"/>
      <c r="AB222" s="95"/>
      <c r="AC222" s="126"/>
      <c r="AD222" s="340"/>
      <c r="AE222" s="132"/>
      <c r="AF222" s="132"/>
      <c r="AG222" s="132"/>
      <c r="AH222" s="132"/>
      <c r="AI222" s="132"/>
      <c r="AJ222" s="95"/>
      <c r="AK222" s="95"/>
      <c r="AL222" s="95"/>
      <c r="AM222" s="95"/>
      <c r="AN222" s="132"/>
      <c r="AO222" s="132"/>
      <c r="AP222" s="95"/>
      <c r="AQ222" s="132"/>
      <c r="AR222" s="132"/>
    </row>
    <row r="223" spans="25:44" s="82" customFormat="1" x14ac:dyDescent="0.2">
      <c r="Y223" s="132"/>
      <c r="Z223" s="132"/>
      <c r="AA223" s="132"/>
      <c r="AB223" s="95"/>
      <c r="AC223" s="126"/>
      <c r="AD223" s="340"/>
      <c r="AE223" s="132"/>
      <c r="AF223" s="132"/>
      <c r="AG223" s="132"/>
      <c r="AH223" s="132"/>
      <c r="AI223" s="132"/>
      <c r="AJ223" s="95"/>
      <c r="AK223" s="95"/>
      <c r="AL223" s="95"/>
      <c r="AM223" s="95"/>
      <c r="AN223" s="132"/>
      <c r="AO223" s="132"/>
      <c r="AP223" s="95"/>
      <c r="AQ223" s="132"/>
      <c r="AR223" s="132"/>
    </row>
    <row r="224" spans="25:44" s="82" customFormat="1" x14ac:dyDescent="0.2">
      <c r="Y224" s="132"/>
      <c r="Z224" s="132"/>
      <c r="AA224" s="132"/>
      <c r="AB224" s="95"/>
      <c r="AC224" s="126"/>
      <c r="AD224" s="340"/>
      <c r="AE224" s="132"/>
      <c r="AF224" s="132"/>
      <c r="AG224" s="132"/>
      <c r="AH224" s="132"/>
      <c r="AI224" s="132"/>
      <c r="AJ224" s="95"/>
      <c r="AK224" s="95"/>
      <c r="AL224" s="95"/>
      <c r="AM224" s="95"/>
      <c r="AN224" s="132"/>
      <c r="AO224" s="132"/>
      <c r="AP224" s="95"/>
      <c r="AQ224" s="132"/>
      <c r="AR224" s="132"/>
    </row>
    <row r="225" spans="25:44" s="82" customFormat="1" x14ac:dyDescent="0.2">
      <c r="Y225" s="132"/>
      <c r="Z225" s="132"/>
      <c r="AA225" s="132"/>
      <c r="AB225" s="95"/>
      <c r="AC225" s="126"/>
      <c r="AD225" s="340"/>
      <c r="AE225" s="132"/>
      <c r="AF225" s="132"/>
      <c r="AG225" s="132"/>
      <c r="AH225" s="132"/>
      <c r="AI225" s="132"/>
      <c r="AJ225" s="95"/>
      <c r="AK225" s="95"/>
      <c r="AL225" s="95"/>
      <c r="AM225" s="95"/>
      <c r="AN225" s="132"/>
      <c r="AO225" s="132"/>
      <c r="AP225" s="95"/>
      <c r="AQ225" s="132"/>
      <c r="AR225" s="132"/>
    </row>
    <row r="226" spans="25:44" s="82" customFormat="1" x14ac:dyDescent="0.2">
      <c r="Y226" s="132"/>
      <c r="Z226" s="132"/>
      <c r="AA226" s="132"/>
      <c r="AB226" s="95"/>
      <c r="AC226" s="126"/>
      <c r="AD226" s="340"/>
      <c r="AE226" s="132"/>
      <c r="AF226" s="132"/>
      <c r="AG226" s="132"/>
      <c r="AH226" s="132"/>
      <c r="AI226" s="132"/>
      <c r="AJ226" s="95"/>
      <c r="AK226" s="95"/>
      <c r="AL226" s="95"/>
      <c r="AM226" s="95"/>
      <c r="AN226" s="132"/>
      <c r="AO226" s="132"/>
      <c r="AP226" s="95"/>
      <c r="AQ226" s="132"/>
      <c r="AR226" s="132"/>
    </row>
    <row r="227" spans="25:44" s="82" customFormat="1" x14ac:dyDescent="0.2">
      <c r="Y227" s="132"/>
      <c r="Z227" s="132"/>
      <c r="AA227" s="132"/>
      <c r="AB227" s="95"/>
      <c r="AC227" s="126"/>
      <c r="AD227" s="340"/>
      <c r="AE227" s="132"/>
      <c r="AF227" s="132"/>
      <c r="AG227" s="132"/>
      <c r="AH227" s="132"/>
      <c r="AI227" s="132"/>
      <c r="AJ227" s="95"/>
      <c r="AK227" s="95"/>
      <c r="AL227" s="95"/>
      <c r="AM227" s="95"/>
      <c r="AN227" s="132"/>
      <c r="AO227" s="132"/>
      <c r="AP227" s="95"/>
      <c r="AQ227" s="132"/>
      <c r="AR227" s="132"/>
    </row>
    <row r="228" spans="25:44" s="82" customFormat="1" x14ac:dyDescent="0.2">
      <c r="Y228" s="132"/>
      <c r="Z228" s="132"/>
      <c r="AA228" s="132"/>
      <c r="AB228" s="95"/>
      <c r="AC228" s="126"/>
      <c r="AD228" s="340"/>
      <c r="AE228" s="132"/>
      <c r="AF228" s="132"/>
      <c r="AG228" s="132"/>
      <c r="AH228" s="132"/>
      <c r="AI228" s="132"/>
      <c r="AJ228" s="95"/>
      <c r="AK228" s="95"/>
      <c r="AL228" s="95"/>
      <c r="AM228" s="95"/>
      <c r="AN228" s="132"/>
      <c r="AO228" s="132"/>
      <c r="AP228" s="95"/>
      <c r="AQ228" s="132"/>
      <c r="AR228" s="132"/>
    </row>
    <row r="229" spans="25:44" s="82" customFormat="1" x14ac:dyDescent="0.2">
      <c r="Y229" s="132"/>
      <c r="Z229" s="132"/>
      <c r="AA229" s="132"/>
      <c r="AB229" s="95"/>
      <c r="AC229" s="126"/>
      <c r="AD229" s="340"/>
      <c r="AE229" s="132"/>
      <c r="AF229" s="132"/>
      <c r="AG229" s="132"/>
      <c r="AH229" s="132"/>
      <c r="AI229" s="132"/>
      <c r="AJ229" s="95"/>
      <c r="AK229" s="95"/>
      <c r="AL229" s="95"/>
      <c r="AM229" s="95"/>
      <c r="AN229" s="132"/>
      <c r="AO229" s="132"/>
      <c r="AP229" s="95"/>
      <c r="AQ229" s="132"/>
      <c r="AR229" s="132"/>
    </row>
    <row r="230" spans="25:44" s="82" customFormat="1" x14ac:dyDescent="0.2">
      <c r="Y230" s="132"/>
      <c r="Z230" s="132"/>
      <c r="AA230" s="132"/>
      <c r="AB230" s="95"/>
      <c r="AC230" s="126"/>
      <c r="AD230" s="340"/>
      <c r="AE230" s="132"/>
      <c r="AF230" s="132"/>
      <c r="AG230" s="132"/>
      <c r="AH230" s="132"/>
      <c r="AI230" s="132"/>
      <c r="AJ230" s="95"/>
      <c r="AK230" s="95"/>
      <c r="AL230" s="95"/>
      <c r="AM230" s="95"/>
      <c r="AN230" s="132"/>
      <c r="AO230" s="132"/>
      <c r="AP230" s="95"/>
      <c r="AQ230" s="132"/>
      <c r="AR230" s="132"/>
    </row>
    <row r="231" spans="25:44" s="82" customFormat="1" x14ac:dyDescent="0.2">
      <c r="Y231" s="132"/>
      <c r="Z231" s="132"/>
      <c r="AA231" s="132"/>
      <c r="AB231" s="95"/>
      <c r="AC231" s="126"/>
      <c r="AD231" s="340"/>
      <c r="AE231" s="132"/>
      <c r="AF231" s="132"/>
      <c r="AG231" s="132"/>
      <c r="AH231" s="132"/>
      <c r="AI231" s="132"/>
      <c r="AJ231" s="95"/>
      <c r="AK231" s="95"/>
      <c r="AL231" s="95"/>
      <c r="AM231" s="95"/>
      <c r="AN231" s="132"/>
      <c r="AO231" s="132"/>
      <c r="AP231" s="95"/>
      <c r="AQ231" s="132"/>
      <c r="AR231" s="132"/>
    </row>
    <row r="232" spans="25:44" s="82" customFormat="1" x14ac:dyDescent="0.2">
      <c r="Y232" s="132"/>
      <c r="Z232" s="132"/>
      <c r="AA232" s="132"/>
      <c r="AB232" s="95"/>
      <c r="AC232" s="126"/>
      <c r="AD232" s="340"/>
      <c r="AE232" s="132"/>
      <c r="AF232" s="132"/>
      <c r="AG232" s="132"/>
      <c r="AH232" s="132"/>
      <c r="AI232" s="132"/>
      <c r="AJ232" s="95"/>
      <c r="AK232" s="95"/>
      <c r="AL232" s="95"/>
      <c r="AM232" s="95"/>
      <c r="AN232" s="132"/>
      <c r="AO232" s="132"/>
      <c r="AP232" s="95"/>
      <c r="AQ232" s="132"/>
      <c r="AR232" s="132"/>
    </row>
    <row r="233" spans="25:44" s="82" customFormat="1" x14ac:dyDescent="0.2">
      <c r="Y233" s="132"/>
      <c r="Z233" s="132"/>
      <c r="AA233" s="132"/>
      <c r="AB233" s="95"/>
      <c r="AC233" s="126"/>
      <c r="AD233" s="340"/>
      <c r="AE233" s="132"/>
      <c r="AF233" s="132"/>
      <c r="AG233" s="132"/>
      <c r="AH233" s="132"/>
      <c r="AI233" s="132"/>
      <c r="AJ233" s="95"/>
      <c r="AK233" s="95"/>
      <c r="AL233" s="95"/>
      <c r="AM233" s="95"/>
      <c r="AN233" s="132"/>
      <c r="AO233" s="132"/>
      <c r="AP233" s="95"/>
      <c r="AQ233" s="132"/>
      <c r="AR233" s="132"/>
    </row>
    <row r="234" spans="25:44" s="82" customFormat="1" x14ac:dyDescent="0.2">
      <c r="Y234" s="132"/>
      <c r="Z234" s="132"/>
      <c r="AA234" s="132"/>
      <c r="AB234" s="95"/>
      <c r="AC234" s="126"/>
      <c r="AD234" s="340"/>
      <c r="AE234" s="132"/>
      <c r="AF234" s="132"/>
      <c r="AG234" s="132"/>
      <c r="AH234" s="132"/>
      <c r="AI234" s="132"/>
      <c r="AJ234" s="95"/>
      <c r="AK234" s="95"/>
      <c r="AL234" s="95"/>
      <c r="AM234" s="95"/>
      <c r="AN234" s="132"/>
      <c r="AO234" s="132"/>
      <c r="AP234" s="95"/>
      <c r="AQ234" s="132"/>
      <c r="AR234" s="132"/>
    </row>
    <row r="235" spans="25:44" s="82" customFormat="1" x14ac:dyDescent="0.2">
      <c r="Y235" s="132"/>
      <c r="Z235" s="132"/>
      <c r="AA235" s="132"/>
      <c r="AB235" s="95"/>
      <c r="AC235" s="126"/>
      <c r="AD235" s="340"/>
      <c r="AE235" s="132"/>
      <c r="AF235" s="132"/>
      <c r="AG235" s="132"/>
      <c r="AH235" s="132"/>
      <c r="AI235" s="132"/>
      <c r="AJ235" s="95"/>
      <c r="AK235" s="95"/>
      <c r="AL235" s="95"/>
      <c r="AM235" s="95"/>
      <c r="AN235" s="132"/>
      <c r="AO235" s="132"/>
      <c r="AP235" s="95"/>
      <c r="AQ235" s="132"/>
      <c r="AR235" s="132"/>
    </row>
    <row r="236" spans="25:44" s="82" customFormat="1" x14ac:dyDescent="0.2">
      <c r="Y236" s="132"/>
      <c r="Z236" s="132"/>
      <c r="AA236" s="132"/>
      <c r="AB236" s="95"/>
      <c r="AC236" s="126"/>
      <c r="AD236" s="340"/>
      <c r="AE236" s="132"/>
      <c r="AF236" s="132"/>
      <c r="AG236" s="132"/>
      <c r="AH236" s="132"/>
      <c r="AI236" s="132"/>
      <c r="AJ236" s="95"/>
      <c r="AK236" s="95"/>
      <c r="AL236" s="95"/>
      <c r="AM236" s="95"/>
      <c r="AN236" s="132"/>
      <c r="AO236" s="132"/>
      <c r="AP236" s="95"/>
      <c r="AQ236" s="132"/>
      <c r="AR236" s="132"/>
    </row>
    <row r="237" spans="25:44" s="82" customFormat="1" x14ac:dyDescent="0.2">
      <c r="Y237" s="132"/>
      <c r="Z237" s="132"/>
      <c r="AA237" s="132"/>
      <c r="AB237" s="95"/>
      <c r="AC237" s="126"/>
      <c r="AD237" s="340"/>
      <c r="AE237" s="132"/>
      <c r="AF237" s="132"/>
      <c r="AG237" s="132"/>
      <c r="AH237" s="132"/>
      <c r="AI237" s="132"/>
      <c r="AJ237" s="95"/>
      <c r="AK237" s="95"/>
      <c r="AL237" s="95"/>
      <c r="AM237" s="95"/>
      <c r="AN237" s="132"/>
      <c r="AO237" s="132"/>
      <c r="AP237" s="95"/>
      <c r="AQ237" s="132"/>
      <c r="AR237" s="132"/>
    </row>
    <row r="238" spans="25:44" s="82" customFormat="1" x14ac:dyDescent="0.2">
      <c r="Y238" s="132"/>
      <c r="Z238" s="132"/>
      <c r="AA238" s="132"/>
      <c r="AB238" s="95"/>
      <c r="AC238" s="126"/>
      <c r="AD238" s="340"/>
      <c r="AE238" s="132"/>
      <c r="AF238" s="132"/>
      <c r="AG238" s="132"/>
      <c r="AH238" s="132"/>
      <c r="AI238" s="132"/>
      <c r="AJ238" s="95"/>
      <c r="AK238" s="95"/>
      <c r="AL238" s="95"/>
      <c r="AM238" s="95"/>
      <c r="AN238" s="132"/>
      <c r="AO238" s="132"/>
      <c r="AP238" s="95"/>
      <c r="AQ238" s="132"/>
      <c r="AR238" s="132"/>
    </row>
    <row r="239" spans="25:44" s="82" customFormat="1" x14ac:dyDescent="0.2">
      <c r="Y239" s="132"/>
      <c r="Z239" s="132"/>
      <c r="AA239" s="132"/>
      <c r="AB239" s="95"/>
      <c r="AC239" s="126"/>
      <c r="AD239" s="340"/>
      <c r="AE239" s="132"/>
      <c r="AF239" s="132"/>
      <c r="AG239" s="132"/>
      <c r="AH239" s="132"/>
      <c r="AI239" s="132"/>
      <c r="AJ239" s="95"/>
      <c r="AK239" s="95"/>
      <c r="AL239" s="95"/>
      <c r="AM239" s="95"/>
      <c r="AN239" s="132"/>
      <c r="AO239" s="132"/>
      <c r="AP239" s="95"/>
      <c r="AQ239" s="132"/>
      <c r="AR239" s="132"/>
    </row>
    <row r="240" spans="25:44" s="82" customFormat="1" x14ac:dyDescent="0.2">
      <c r="Y240" s="132"/>
      <c r="Z240" s="132"/>
      <c r="AA240" s="132"/>
      <c r="AB240" s="95"/>
      <c r="AC240" s="126"/>
      <c r="AD240" s="340"/>
      <c r="AE240" s="132"/>
      <c r="AF240" s="132"/>
      <c r="AG240" s="132"/>
      <c r="AH240" s="132"/>
      <c r="AI240" s="132"/>
      <c r="AJ240" s="95"/>
      <c r="AK240" s="95"/>
      <c r="AL240" s="95"/>
      <c r="AM240" s="95"/>
      <c r="AN240" s="132"/>
      <c r="AO240" s="132"/>
      <c r="AP240" s="95"/>
      <c r="AQ240" s="132"/>
      <c r="AR240" s="132"/>
    </row>
    <row r="241" spans="25:44" s="82" customFormat="1" x14ac:dyDescent="0.2">
      <c r="Y241" s="132"/>
      <c r="Z241" s="132"/>
      <c r="AA241" s="132"/>
      <c r="AB241" s="95"/>
      <c r="AC241" s="126"/>
      <c r="AD241" s="340"/>
      <c r="AE241" s="132"/>
      <c r="AF241" s="132"/>
      <c r="AG241" s="132"/>
      <c r="AH241" s="132"/>
      <c r="AI241" s="132"/>
      <c r="AJ241" s="95"/>
      <c r="AK241" s="95"/>
      <c r="AL241" s="95"/>
      <c r="AM241" s="95"/>
      <c r="AN241" s="132"/>
      <c r="AO241" s="132"/>
      <c r="AP241" s="95"/>
      <c r="AQ241" s="132"/>
      <c r="AR241" s="132"/>
    </row>
    <row r="242" spans="25:44" s="82" customFormat="1" x14ac:dyDescent="0.2">
      <c r="Y242" s="132"/>
      <c r="Z242" s="132"/>
      <c r="AA242" s="132"/>
      <c r="AB242" s="95"/>
      <c r="AC242" s="126"/>
      <c r="AD242" s="340"/>
      <c r="AE242" s="132"/>
      <c r="AF242" s="132"/>
      <c r="AG242" s="132"/>
      <c r="AH242" s="132"/>
      <c r="AI242" s="132"/>
      <c r="AJ242" s="95"/>
      <c r="AK242" s="95"/>
      <c r="AL242" s="95"/>
      <c r="AM242" s="95"/>
      <c r="AN242" s="132"/>
      <c r="AO242" s="132"/>
      <c r="AP242" s="95"/>
      <c r="AQ242" s="132"/>
      <c r="AR242" s="132"/>
    </row>
    <row r="243" spans="25:44" s="82" customFormat="1" x14ac:dyDescent="0.2">
      <c r="Y243" s="132"/>
      <c r="Z243" s="132"/>
      <c r="AA243" s="132"/>
      <c r="AB243" s="95"/>
      <c r="AC243" s="126"/>
      <c r="AD243" s="340"/>
      <c r="AE243" s="132"/>
      <c r="AF243" s="132"/>
      <c r="AG243" s="132"/>
      <c r="AH243" s="132"/>
      <c r="AI243" s="132"/>
      <c r="AJ243" s="95"/>
      <c r="AK243" s="95"/>
      <c r="AL243" s="95"/>
      <c r="AM243" s="95"/>
      <c r="AN243" s="132"/>
      <c r="AO243" s="132"/>
      <c r="AP243" s="95"/>
      <c r="AQ243" s="132"/>
      <c r="AR243" s="132"/>
    </row>
    <row r="244" spans="25:44" s="82" customFormat="1" x14ac:dyDescent="0.2">
      <c r="Y244" s="132"/>
      <c r="Z244" s="132"/>
      <c r="AA244" s="132"/>
      <c r="AB244" s="95"/>
      <c r="AC244" s="126"/>
      <c r="AD244" s="340"/>
      <c r="AE244" s="132"/>
      <c r="AF244" s="132"/>
      <c r="AG244" s="132"/>
      <c r="AH244" s="132"/>
      <c r="AI244" s="132"/>
      <c r="AJ244" s="95"/>
      <c r="AK244" s="95"/>
      <c r="AL244" s="95"/>
      <c r="AM244" s="95"/>
      <c r="AN244" s="132"/>
      <c r="AO244" s="132"/>
      <c r="AP244" s="95"/>
      <c r="AQ244" s="132"/>
      <c r="AR244" s="132"/>
    </row>
    <row r="245" spans="25:44" s="82" customFormat="1" x14ac:dyDescent="0.2">
      <c r="Y245" s="132"/>
      <c r="Z245" s="132"/>
      <c r="AA245" s="132"/>
      <c r="AB245" s="95"/>
      <c r="AC245" s="126"/>
      <c r="AD245" s="340"/>
      <c r="AE245" s="132"/>
      <c r="AF245" s="132"/>
      <c r="AG245" s="132"/>
      <c r="AH245" s="132"/>
      <c r="AI245" s="132"/>
      <c r="AJ245" s="95"/>
      <c r="AK245" s="95"/>
      <c r="AL245" s="95"/>
      <c r="AM245" s="95"/>
      <c r="AN245" s="132"/>
      <c r="AO245" s="132"/>
      <c r="AP245" s="95"/>
      <c r="AQ245" s="132"/>
      <c r="AR245" s="132"/>
    </row>
    <row r="246" spans="25:44" s="82" customFormat="1" x14ac:dyDescent="0.2">
      <c r="Y246" s="132"/>
      <c r="Z246" s="132"/>
      <c r="AA246" s="132"/>
      <c r="AB246" s="95"/>
      <c r="AC246" s="126"/>
      <c r="AD246" s="340"/>
      <c r="AE246" s="132"/>
      <c r="AF246" s="132"/>
      <c r="AG246" s="132"/>
      <c r="AH246" s="132"/>
      <c r="AI246" s="132"/>
      <c r="AJ246" s="95"/>
      <c r="AK246" s="95"/>
      <c r="AL246" s="95"/>
      <c r="AM246" s="95"/>
      <c r="AN246" s="132"/>
      <c r="AO246" s="132"/>
      <c r="AP246" s="95"/>
      <c r="AQ246" s="132"/>
      <c r="AR246" s="132"/>
    </row>
    <row r="247" spans="25:44" s="82" customFormat="1" x14ac:dyDescent="0.2">
      <c r="Y247" s="132"/>
      <c r="Z247" s="132"/>
      <c r="AA247" s="132"/>
      <c r="AB247" s="95"/>
      <c r="AC247" s="126"/>
      <c r="AD247" s="340"/>
      <c r="AE247" s="132"/>
      <c r="AF247" s="132"/>
      <c r="AG247" s="132"/>
      <c r="AH247" s="132"/>
      <c r="AI247" s="132"/>
      <c r="AJ247" s="95"/>
      <c r="AK247" s="95"/>
      <c r="AL247" s="95"/>
      <c r="AM247" s="95"/>
      <c r="AN247" s="132"/>
      <c r="AO247" s="132"/>
      <c r="AP247" s="95"/>
      <c r="AQ247" s="132"/>
      <c r="AR247" s="132"/>
    </row>
    <row r="248" spans="25:44" s="82" customFormat="1" x14ac:dyDescent="0.2">
      <c r="Y248" s="132"/>
      <c r="Z248" s="132"/>
      <c r="AA248" s="132"/>
      <c r="AB248" s="95"/>
      <c r="AC248" s="126"/>
      <c r="AD248" s="340"/>
      <c r="AE248" s="132"/>
      <c r="AF248" s="132"/>
      <c r="AG248" s="132"/>
      <c r="AH248" s="132"/>
      <c r="AI248" s="132"/>
      <c r="AJ248" s="95"/>
      <c r="AK248" s="95"/>
      <c r="AL248" s="95"/>
      <c r="AM248" s="95"/>
      <c r="AN248" s="132"/>
      <c r="AO248" s="132"/>
      <c r="AP248" s="95"/>
      <c r="AQ248" s="132"/>
      <c r="AR248" s="132"/>
    </row>
    <row r="249" spans="25:44" s="82" customFormat="1" x14ac:dyDescent="0.2">
      <c r="Y249" s="132"/>
      <c r="Z249" s="132"/>
      <c r="AA249" s="132"/>
      <c r="AB249" s="95"/>
      <c r="AC249" s="126"/>
      <c r="AD249" s="340"/>
      <c r="AE249" s="132"/>
      <c r="AF249" s="132"/>
      <c r="AG249" s="132"/>
      <c r="AH249" s="132"/>
      <c r="AI249" s="132"/>
      <c r="AJ249" s="95"/>
      <c r="AK249" s="95"/>
      <c r="AL249" s="95"/>
      <c r="AM249" s="95"/>
      <c r="AN249" s="132"/>
      <c r="AO249" s="132"/>
      <c r="AP249" s="95"/>
      <c r="AQ249" s="132"/>
      <c r="AR249" s="132"/>
    </row>
    <row r="250" spans="25:44" s="82" customFormat="1" x14ac:dyDescent="0.2">
      <c r="Y250" s="132"/>
      <c r="Z250" s="132"/>
      <c r="AA250" s="132"/>
      <c r="AB250" s="95"/>
      <c r="AC250" s="126"/>
      <c r="AD250" s="340"/>
      <c r="AE250" s="132"/>
      <c r="AF250" s="132"/>
      <c r="AG250" s="132"/>
      <c r="AH250" s="132"/>
      <c r="AI250" s="132"/>
      <c r="AJ250" s="95"/>
      <c r="AK250" s="95"/>
      <c r="AL250" s="95"/>
      <c r="AM250" s="95"/>
      <c r="AN250" s="132"/>
      <c r="AO250" s="132"/>
      <c r="AP250" s="95"/>
      <c r="AQ250" s="132"/>
      <c r="AR250" s="132"/>
    </row>
    <row r="251" spans="25:44" s="82" customFormat="1" x14ac:dyDescent="0.2">
      <c r="Y251" s="132"/>
      <c r="Z251" s="132"/>
      <c r="AA251" s="132"/>
      <c r="AB251" s="95"/>
      <c r="AC251" s="126"/>
      <c r="AD251" s="340"/>
      <c r="AE251" s="132"/>
      <c r="AF251" s="132"/>
      <c r="AG251" s="132"/>
      <c r="AH251" s="132"/>
      <c r="AI251" s="132"/>
      <c r="AJ251" s="95"/>
      <c r="AK251" s="95"/>
      <c r="AL251" s="95"/>
      <c r="AM251" s="95"/>
      <c r="AN251" s="132"/>
      <c r="AO251" s="132"/>
      <c r="AP251" s="95"/>
      <c r="AQ251" s="132"/>
      <c r="AR251" s="132"/>
    </row>
    <row r="252" spans="25:44" s="82" customFormat="1" x14ac:dyDescent="0.2">
      <c r="Y252" s="132"/>
      <c r="Z252" s="132"/>
      <c r="AA252" s="132"/>
      <c r="AB252" s="95"/>
      <c r="AC252" s="126"/>
      <c r="AD252" s="340"/>
      <c r="AE252" s="132"/>
      <c r="AF252" s="132"/>
      <c r="AG252" s="132"/>
      <c r="AH252" s="132"/>
      <c r="AI252" s="132"/>
      <c r="AJ252" s="95"/>
      <c r="AK252" s="95"/>
      <c r="AL252" s="95"/>
      <c r="AM252" s="95"/>
      <c r="AN252" s="132"/>
      <c r="AO252" s="132"/>
      <c r="AP252" s="95"/>
      <c r="AQ252" s="132"/>
      <c r="AR252" s="132"/>
    </row>
    <row r="253" spans="25:44" s="82" customFormat="1" x14ac:dyDescent="0.2">
      <c r="Y253" s="132"/>
      <c r="Z253" s="132"/>
      <c r="AA253" s="132"/>
      <c r="AB253" s="95"/>
      <c r="AC253" s="126"/>
      <c r="AD253" s="340"/>
      <c r="AE253" s="132"/>
      <c r="AF253" s="132"/>
      <c r="AG253" s="132"/>
      <c r="AH253" s="132"/>
      <c r="AI253" s="132"/>
      <c r="AJ253" s="95"/>
      <c r="AK253" s="95"/>
      <c r="AL253" s="95"/>
      <c r="AM253" s="95"/>
      <c r="AN253" s="132"/>
      <c r="AO253" s="132"/>
      <c r="AP253" s="95"/>
      <c r="AQ253" s="132"/>
      <c r="AR253" s="132"/>
    </row>
    <row r="254" spans="25:44" s="82" customFormat="1" x14ac:dyDescent="0.2">
      <c r="Y254" s="132"/>
      <c r="Z254" s="132"/>
      <c r="AA254" s="132"/>
      <c r="AB254" s="95"/>
      <c r="AC254" s="126"/>
      <c r="AD254" s="340"/>
      <c r="AE254" s="132"/>
      <c r="AF254" s="132"/>
      <c r="AG254" s="132"/>
      <c r="AH254" s="132"/>
      <c r="AI254" s="132"/>
      <c r="AJ254" s="95"/>
      <c r="AK254" s="95"/>
      <c r="AL254" s="95"/>
      <c r="AM254" s="95"/>
      <c r="AN254" s="132"/>
      <c r="AO254" s="132"/>
      <c r="AP254" s="95"/>
      <c r="AQ254" s="132"/>
      <c r="AR254" s="132"/>
    </row>
    <row r="255" spans="25:44" s="82" customFormat="1" x14ac:dyDescent="0.2">
      <c r="Y255" s="132"/>
      <c r="Z255" s="132"/>
      <c r="AA255" s="132"/>
      <c r="AB255" s="95"/>
      <c r="AC255" s="126"/>
      <c r="AD255" s="340"/>
      <c r="AE255" s="132"/>
      <c r="AF255" s="132"/>
      <c r="AG255" s="132"/>
      <c r="AH255" s="132"/>
      <c r="AI255" s="132"/>
      <c r="AJ255" s="95"/>
      <c r="AK255" s="95"/>
      <c r="AL255" s="95"/>
      <c r="AM255" s="95"/>
      <c r="AN255" s="132"/>
      <c r="AO255" s="132"/>
      <c r="AP255" s="95"/>
      <c r="AQ255" s="132"/>
      <c r="AR255" s="132"/>
    </row>
    <row r="256" spans="25:44" s="82" customFormat="1" x14ac:dyDescent="0.2">
      <c r="Y256" s="132"/>
      <c r="Z256" s="132"/>
      <c r="AA256" s="132"/>
      <c r="AB256" s="95"/>
      <c r="AC256" s="126"/>
      <c r="AD256" s="340"/>
      <c r="AE256" s="132"/>
      <c r="AF256" s="132"/>
      <c r="AG256" s="132"/>
      <c r="AH256" s="132"/>
      <c r="AI256" s="132"/>
      <c r="AJ256" s="95"/>
      <c r="AK256" s="95"/>
      <c r="AL256" s="95"/>
      <c r="AM256" s="95"/>
      <c r="AN256" s="132"/>
      <c r="AO256" s="132"/>
      <c r="AP256" s="95"/>
      <c r="AQ256" s="132"/>
      <c r="AR256" s="132"/>
    </row>
    <row r="257" spans="25:44" s="82" customFormat="1" x14ac:dyDescent="0.2">
      <c r="Y257" s="132"/>
      <c r="Z257" s="132"/>
      <c r="AA257" s="132"/>
      <c r="AB257" s="95"/>
      <c r="AC257" s="126"/>
      <c r="AD257" s="340"/>
      <c r="AE257" s="132"/>
      <c r="AF257" s="132"/>
      <c r="AG257" s="132"/>
      <c r="AH257" s="132"/>
      <c r="AI257" s="132"/>
      <c r="AJ257" s="95"/>
      <c r="AK257" s="95"/>
      <c r="AL257" s="95"/>
      <c r="AM257" s="95"/>
      <c r="AN257" s="132"/>
      <c r="AO257" s="132"/>
      <c r="AP257" s="95"/>
      <c r="AQ257" s="132"/>
      <c r="AR257" s="132"/>
    </row>
    <row r="258" spans="25:44" s="82" customFormat="1" x14ac:dyDescent="0.2">
      <c r="Y258" s="132"/>
      <c r="Z258" s="132"/>
      <c r="AA258" s="132"/>
      <c r="AB258" s="95"/>
      <c r="AC258" s="126"/>
      <c r="AD258" s="340"/>
      <c r="AE258" s="132"/>
      <c r="AF258" s="132"/>
      <c r="AG258" s="132"/>
      <c r="AH258" s="132"/>
      <c r="AI258" s="132"/>
      <c r="AJ258" s="95"/>
      <c r="AK258" s="95"/>
      <c r="AL258" s="95"/>
      <c r="AM258" s="95"/>
      <c r="AN258" s="132"/>
      <c r="AO258" s="132"/>
      <c r="AP258" s="95"/>
      <c r="AQ258" s="132"/>
      <c r="AR258" s="132"/>
    </row>
    <row r="259" spans="25:44" s="82" customFormat="1" x14ac:dyDescent="0.2">
      <c r="Y259" s="132"/>
      <c r="Z259" s="132"/>
      <c r="AA259" s="132"/>
      <c r="AB259" s="95"/>
      <c r="AC259" s="126"/>
      <c r="AD259" s="340"/>
      <c r="AE259" s="132"/>
      <c r="AF259" s="132"/>
      <c r="AG259" s="132"/>
      <c r="AH259" s="132"/>
      <c r="AI259" s="132"/>
      <c r="AJ259" s="95"/>
      <c r="AK259" s="95"/>
      <c r="AL259" s="95"/>
      <c r="AM259" s="95"/>
      <c r="AN259" s="132"/>
      <c r="AO259" s="132"/>
      <c r="AP259" s="95"/>
      <c r="AQ259" s="132"/>
      <c r="AR259" s="132"/>
    </row>
    <row r="260" spans="25:44" s="82" customFormat="1" x14ac:dyDescent="0.2">
      <c r="Y260" s="132"/>
      <c r="Z260" s="132"/>
      <c r="AA260" s="132"/>
      <c r="AB260" s="95"/>
      <c r="AC260" s="126"/>
      <c r="AD260" s="340"/>
      <c r="AE260" s="132"/>
      <c r="AF260" s="132"/>
      <c r="AG260" s="132"/>
      <c r="AH260" s="132"/>
      <c r="AI260" s="132"/>
      <c r="AJ260" s="95"/>
      <c r="AK260" s="95"/>
      <c r="AL260" s="95"/>
      <c r="AM260" s="95"/>
      <c r="AN260" s="132"/>
      <c r="AO260" s="132"/>
      <c r="AP260" s="95"/>
      <c r="AQ260" s="132"/>
      <c r="AR260" s="132"/>
    </row>
    <row r="261" spans="25:44" s="82" customFormat="1" x14ac:dyDescent="0.2">
      <c r="Y261" s="132"/>
      <c r="Z261" s="132"/>
      <c r="AA261" s="132"/>
      <c r="AB261" s="95"/>
      <c r="AC261" s="126"/>
      <c r="AD261" s="340"/>
      <c r="AE261" s="132"/>
      <c r="AF261" s="132"/>
      <c r="AG261" s="132"/>
      <c r="AH261" s="132"/>
      <c r="AI261" s="132"/>
      <c r="AJ261" s="95"/>
      <c r="AK261" s="95"/>
      <c r="AL261" s="95"/>
      <c r="AM261" s="95"/>
      <c r="AN261" s="132"/>
      <c r="AO261" s="132"/>
      <c r="AP261" s="95"/>
      <c r="AQ261" s="132"/>
      <c r="AR261" s="132"/>
    </row>
    <row r="262" spans="25:44" s="82" customFormat="1" x14ac:dyDescent="0.2">
      <c r="Y262" s="132"/>
      <c r="Z262" s="132"/>
      <c r="AA262" s="132"/>
      <c r="AB262" s="95"/>
      <c r="AC262" s="126"/>
      <c r="AD262" s="340"/>
      <c r="AE262" s="132"/>
      <c r="AF262" s="132"/>
      <c r="AG262" s="132"/>
      <c r="AH262" s="132"/>
      <c r="AI262" s="132"/>
      <c r="AJ262" s="95"/>
      <c r="AK262" s="95"/>
      <c r="AL262" s="95"/>
      <c r="AM262" s="95"/>
      <c r="AN262" s="132"/>
      <c r="AO262" s="132"/>
      <c r="AP262" s="95"/>
      <c r="AQ262" s="132"/>
      <c r="AR262" s="132"/>
    </row>
    <row r="263" spans="25:44" s="82" customFormat="1" x14ac:dyDescent="0.2">
      <c r="Y263" s="132"/>
      <c r="Z263" s="132"/>
      <c r="AA263" s="132"/>
      <c r="AB263" s="95"/>
      <c r="AC263" s="126"/>
      <c r="AD263" s="340"/>
      <c r="AE263" s="132"/>
      <c r="AF263" s="132"/>
      <c r="AG263" s="132"/>
      <c r="AH263" s="132"/>
      <c r="AI263" s="132"/>
      <c r="AJ263" s="95"/>
      <c r="AK263" s="95"/>
      <c r="AL263" s="95"/>
      <c r="AM263" s="95"/>
      <c r="AN263" s="132"/>
      <c r="AO263" s="132"/>
      <c r="AP263" s="95"/>
      <c r="AQ263" s="132"/>
      <c r="AR263" s="132"/>
    </row>
    <row r="264" spans="25:44" s="82" customFormat="1" x14ac:dyDescent="0.2">
      <c r="Y264" s="132"/>
      <c r="Z264" s="132"/>
      <c r="AA264" s="132"/>
      <c r="AB264" s="95"/>
      <c r="AC264" s="126"/>
      <c r="AD264" s="340"/>
      <c r="AE264" s="132"/>
      <c r="AF264" s="132"/>
      <c r="AG264" s="132"/>
      <c r="AH264" s="132"/>
      <c r="AI264" s="132"/>
      <c r="AJ264" s="95"/>
      <c r="AK264" s="95"/>
      <c r="AL264" s="95"/>
      <c r="AM264" s="95"/>
      <c r="AN264" s="132"/>
      <c r="AO264" s="132"/>
      <c r="AP264" s="95"/>
      <c r="AQ264" s="132"/>
      <c r="AR264" s="132"/>
    </row>
    <row r="265" spans="25:44" s="82" customFormat="1" x14ac:dyDescent="0.2">
      <c r="Y265" s="132"/>
      <c r="Z265" s="132"/>
      <c r="AA265" s="132"/>
      <c r="AB265" s="95"/>
      <c r="AC265" s="126"/>
      <c r="AD265" s="340"/>
      <c r="AE265" s="132"/>
      <c r="AF265" s="132"/>
      <c r="AG265" s="132"/>
      <c r="AH265" s="132"/>
      <c r="AI265" s="132"/>
      <c r="AJ265" s="95"/>
      <c r="AK265" s="95"/>
      <c r="AL265" s="95"/>
      <c r="AM265" s="95"/>
      <c r="AN265" s="132"/>
      <c r="AO265" s="132"/>
      <c r="AP265" s="95"/>
      <c r="AQ265" s="132"/>
      <c r="AR265" s="132"/>
    </row>
    <row r="266" spans="25:44" s="82" customFormat="1" x14ac:dyDescent="0.2">
      <c r="Y266" s="132"/>
      <c r="Z266" s="132"/>
      <c r="AA266" s="132"/>
      <c r="AB266" s="95"/>
      <c r="AC266" s="126"/>
      <c r="AD266" s="340"/>
      <c r="AE266" s="132"/>
      <c r="AF266" s="132"/>
      <c r="AG266" s="132"/>
      <c r="AH266" s="132"/>
      <c r="AI266" s="132"/>
      <c r="AJ266" s="95"/>
      <c r="AK266" s="95"/>
      <c r="AL266" s="95"/>
      <c r="AM266" s="95"/>
      <c r="AN266" s="132"/>
      <c r="AO266" s="132"/>
      <c r="AP266" s="95"/>
      <c r="AQ266" s="132"/>
      <c r="AR266" s="132"/>
    </row>
    <row r="267" spans="25:44" s="82" customFormat="1" x14ac:dyDescent="0.2">
      <c r="Y267" s="132"/>
      <c r="Z267" s="132"/>
      <c r="AA267" s="132"/>
      <c r="AB267" s="95"/>
      <c r="AC267" s="126"/>
      <c r="AD267" s="340"/>
      <c r="AE267" s="132"/>
      <c r="AF267" s="132"/>
      <c r="AG267" s="132"/>
      <c r="AH267" s="132"/>
      <c r="AI267" s="132"/>
      <c r="AJ267" s="95"/>
      <c r="AK267" s="95"/>
      <c r="AL267" s="95"/>
      <c r="AM267" s="95"/>
      <c r="AN267" s="132"/>
      <c r="AO267" s="132"/>
      <c r="AP267" s="95"/>
      <c r="AQ267" s="132"/>
      <c r="AR267" s="132"/>
    </row>
    <row r="268" spans="25:44" s="82" customFormat="1" x14ac:dyDescent="0.2">
      <c r="Y268" s="132"/>
      <c r="Z268" s="132"/>
      <c r="AA268" s="132"/>
      <c r="AB268" s="95"/>
      <c r="AC268" s="126"/>
      <c r="AD268" s="340"/>
      <c r="AE268" s="132"/>
      <c r="AF268" s="132"/>
      <c r="AG268" s="132"/>
      <c r="AH268" s="132"/>
      <c r="AI268" s="132"/>
      <c r="AJ268" s="95"/>
      <c r="AK268" s="95"/>
      <c r="AL268" s="95"/>
      <c r="AM268" s="95"/>
      <c r="AN268" s="132"/>
      <c r="AO268" s="132"/>
      <c r="AP268" s="95"/>
      <c r="AQ268" s="132"/>
      <c r="AR268" s="132"/>
    </row>
    <row r="269" spans="25:44" s="82" customFormat="1" x14ac:dyDescent="0.2">
      <c r="Y269" s="132"/>
      <c r="Z269" s="132"/>
      <c r="AA269" s="132"/>
      <c r="AB269" s="95"/>
      <c r="AC269" s="126"/>
      <c r="AD269" s="340"/>
      <c r="AE269" s="132"/>
      <c r="AF269" s="132"/>
      <c r="AG269" s="132"/>
      <c r="AH269" s="132"/>
      <c r="AI269" s="132"/>
      <c r="AJ269" s="95"/>
      <c r="AK269" s="95"/>
      <c r="AL269" s="95"/>
      <c r="AM269" s="95"/>
      <c r="AN269" s="132"/>
      <c r="AO269" s="132"/>
      <c r="AP269" s="95"/>
      <c r="AQ269" s="132"/>
      <c r="AR269" s="132"/>
    </row>
    <row r="270" spans="25:44" s="82" customFormat="1" x14ac:dyDescent="0.2">
      <c r="Y270" s="132"/>
      <c r="Z270" s="132"/>
      <c r="AA270" s="132"/>
      <c r="AB270" s="95"/>
      <c r="AC270" s="126"/>
      <c r="AD270" s="340"/>
      <c r="AE270" s="132"/>
      <c r="AF270" s="132"/>
      <c r="AG270" s="132"/>
      <c r="AH270" s="132"/>
      <c r="AI270" s="132"/>
      <c r="AJ270" s="95"/>
      <c r="AK270" s="95"/>
      <c r="AL270" s="95"/>
      <c r="AM270" s="95"/>
      <c r="AN270" s="132"/>
      <c r="AO270" s="132"/>
      <c r="AP270" s="95"/>
      <c r="AQ270" s="132"/>
      <c r="AR270" s="132"/>
    </row>
    <row r="271" spans="25:44" s="82" customFormat="1" x14ac:dyDescent="0.2">
      <c r="Y271" s="132"/>
      <c r="Z271" s="132"/>
      <c r="AA271" s="132"/>
      <c r="AB271" s="95"/>
      <c r="AC271" s="126"/>
      <c r="AD271" s="340"/>
      <c r="AE271" s="132"/>
      <c r="AF271" s="132"/>
      <c r="AG271" s="132"/>
      <c r="AH271" s="132"/>
      <c r="AI271" s="132"/>
      <c r="AJ271" s="95"/>
      <c r="AK271" s="95"/>
      <c r="AL271" s="95"/>
      <c r="AM271" s="95"/>
      <c r="AN271" s="132"/>
      <c r="AO271" s="132"/>
      <c r="AP271" s="95"/>
      <c r="AQ271" s="132"/>
      <c r="AR271" s="132"/>
    </row>
    <row r="272" spans="25:44" s="82" customFormat="1" x14ac:dyDescent="0.2">
      <c r="Y272" s="132"/>
      <c r="Z272" s="132"/>
      <c r="AA272" s="132"/>
      <c r="AB272" s="95"/>
      <c r="AC272" s="126"/>
      <c r="AD272" s="340"/>
      <c r="AE272" s="132"/>
      <c r="AF272" s="132"/>
      <c r="AG272" s="132"/>
      <c r="AH272" s="132"/>
      <c r="AI272" s="132"/>
      <c r="AJ272" s="95"/>
      <c r="AK272" s="95"/>
      <c r="AL272" s="95"/>
      <c r="AM272" s="95"/>
      <c r="AN272" s="132"/>
      <c r="AO272" s="132"/>
      <c r="AP272" s="95"/>
      <c r="AQ272" s="132"/>
      <c r="AR272" s="132"/>
    </row>
    <row r="273" spans="25:44" s="82" customFormat="1" x14ac:dyDescent="0.2">
      <c r="Y273" s="132"/>
      <c r="Z273" s="132"/>
      <c r="AA273" s="132"/>
      <c r="AB273" s="95"/>
      <c r="AC273" s="126"/>
      <c r="AD273" s="340"/>
      <c r="AE273" s="132"/>
      <c r="AF273" s="132"/>
      <c r="AG273" s="132"/>
      <c r="AH273" s="132"/>
      <c r="AI273" s="132"/>
      <c r="AJ273" s="95"/>
      <c r="AK273" s="95"/>
      <c r="AL273" s="95"/>
      <c r="AM273" s="95"/>
      <c r="AN273" s="132"/>
      <c r="AO273" s="132"/>
      <c r="AP273" s="95"/>
      <c r="AQ273" s="132"/>
      <c r="AR273" s="132"/>
    </row>
    <row r="274" spans="25:44" s="82" customFormat="1" x14ac:dyDescent="0.2">
      <c r="Y274" s="132"/>
      <c r="Z274" s="132"/>
      <c r="AA274" s="132"/>
      <c r="AB274" s="95"/>
      <c r="AC274" s="126"/>
      <c r="AD274" s="340"/>
      <c r="AE274" s="132"/>
      <c r="AF274" s="132"/>
      <c r="AG274" s="132"/>
      <c r="AH274" s="132"/>
      <c r="AI274" s="132"/>
      <c r="AJ274" s="95"/>
      <c r="AK274" s="95"/>
      <c r="AL274" s="95"/>
      <c r="AM274" s="95"/>
      <c r="AN274" s="132"/>
      <c r="AO274" s="132"/>
      <c r="AP274" s="95"/>
      <c r="AQ274" s="132"/>
      <c r="AR274" s="132"/>
    </row>
    <row r="275" spans="25:44" s="82" customFormat="1" x14ac:dyDescent="0.2">
      <c r="Y275" s="132"/>
      <c r="Z275" s="132"/>
      <c r="AA275" s="132"/>
      <c r="AB275" s="95"/>
      <c r="AC275" s="126"/>
      <c r="AD275" s="340"/>
      <c r="AE275" s="132"/>
      <c r="AF275" s="132"/>
      <c r="AG275" s="132"/>
      <c r="AH275" s="132"/>
      <c r="AI275" s="132"/>
      <c r="AJ275" s="95"/>
      <c r="AK275" s="95"/>
      <c r="AL275" s="95"/>
      <c r="AM275" s="95"/>
      <c r="AN275" s="132"/>
      <c r="AO275" s="132"/>
      <c r="AP275" s="95"/>
      <c r="AQ275" s="132"/>
      <c r="AR275" s="132"/>
    </row>
    <row r="276" spans="25:44" s="82" customFormat="1" x14ac:dyDescent="0.2">
      <c r="Y276" s="132"/>
      <c r="Z276" s="132"/>
      <c r="AA276" s="132"/>
      <c r="AB276" s="95"/>
      <c r="AC276" s="126"/>
      <c r="AD276" s="340"/>
      <c r="AE276" s="132"/>
      <c r="AF276" s="132"/>
      <c r="AG276" s="132"/>
      <c r="AH276" s="132"/>
      <c r="AI276" s="132"/>
      <c r="AJ276" s="95"/>
      <c r="AK276" s="95"/>
      <c r="AL276" s="95"/>
      <c r="AM276" s="95"/>
      <c r="AN276" s="132"/>
      <c r="AO276" s="132"/>
      <c r="AP276" s="95"/>
      <c r="AQ276" s="132"/>
      <c r="AR276" s="132"/>
    </row>
    <row r="277" spans="25:44" s="82" customFormat="1" x14ac:dyDescent="0.2">
      <c r="Y277" s="132"/>
      <c r="Z277" s="132"/>
      <c r="AA277" s="132"/>
      <c r="AB277" s="95"/>
      <c r="AC277" s="126"/>
      <c r="AD277" s="340"/>
      <c r="AE277" s="132"/>
      <c r="AF277" s="132"/>
      <c r="AG277" s="132"/>
      <c r="AH277" s="132"/>
      <c r="AI277" s="132"/>
      <c r="AJ277" s="95"/>
      <c r="AK277" s="95"/>
      <c r="AL277" s="95"/>
      <c r="AM277" s="95"/>
      <c r="AN277" s="132"/>
      <c r="AO277" s="132"/>
      <c r="AP277" s="95"/>
      <c r="AQ277" s="132"/>
      <c r="AR277" s="132"/>
    </row>
    <row r="278" spans="25:44" s="82" customFormat="1" x14ac:dyDescent="0.2">
      <c r="Y278" s="132"/>
      <c r="Z278" s="132"/>
      <c r="AA278" s="132"/>
      <c r="AB278" s="95"/>
      <c r="AC278" s="126"/>
      <c r="AD278" s="340"/>
      <c r="AE278" s="132"/>
      <c r="AF278" s="132"/>
      <c r="AG278" s="132"/>
      <c r="AH278" s="132"/>
      <c r="AI278" s="132"/>
      <c r="AJ278" s="95"/>
      <c r="AK278" s="95"/>
      <c r="AL278" s="95"/>
      <c r="AM278" s="95"/>
      <c r="AN278" s="132"/>
      <c r="AO278" s="132"/>
      <c r="AP278" s="95"/>
      <c r="AQ278" s="132"/>
      <c r="AR278" s="132"/>
    </row>
    <row r="279" spans="25:44" s="82" customFormat="1" x14ac:dyDescent="0.2">
      <c r="Y279" s="132"/>
      <c r="Z279" s="132"/>
      <c r="AA279" s="132"/>
      <c r="AB279" s="95"/>
      <c r="AC279" s="126"/>
      <c r="AD279" s="340"/>
      <c r="AE279" s="132"/>
      <c r="AF279" s="132"/>
      <c r="AG279" s="132"/>
      <c r="AH279" s="132"/>
      <c r="AI279" s="132"/>
      <c r="AJ279" s="95"/>
      <c r="AK279" s="95"/>
      <c r="AL279" s="95"/>
      <c r="AM279" s="95"/>
      <c r="AN279" s="132"/>
      <c r="AO279" s="132"/>
      <c r="AP279" s="95"/>
      <c r="AQ279" s="132"/>
      <c r="AR279" s="132"/>
    </row>
    <row r="280" spans="25:44" s="82" customFormat="1" x14ac:dyDescent="0.2">
      <c r="Y280" s="132"/>
      <c r="Z280" s="132"/>
      <c r="AA280" s="132"/>
      <c r="AB280" s="95"/>
      <c r="AC280" s="126"/>
      <c r="AD280" s="340"/>
      <c r="AE280" s="132"/>
      <c r="AF280" s="132"/>
      <c r="AG280" s="132"/>
      <c r="AH280" s="132"/>
      <c r="AI280" s="132"/>
      <c r="AJ280" s="95"/>
      <c r="AK280" s="95"/>
      <c r="AL280" s="95"/>
      <c r="AM280" s="95"/>
      <c r="AN280" s="132"/>
      <c r="AO280" s="132"/>
      <c r="AP280" s="95"/>
      <c r="AQ280" s="132"/>
      <c r="AR280" s="132"/>
    </row>
    <row r="281" spans="25:44" s="82" customFormat="1" x14ac:dyDescent="0.2">
      <c r="Y281" s="132"/>
      <c r="Z281" s="132"/>
      <c r="AA281" s="132"/>
      <c r="AB281" s="95"/>
      <c r="AC281" s="126"/>
      <c r="AD281" s="340"/>
      <c r="AE281" s="132"/>
      <c r="AF281" s="132"/>
      <c r="AG281" s="132"/>
      <c r="AH281" s="132"/>
      <c r="AI281" s="132"/>
      <c r="AJ281" s="95"/>
      <c r="AK281" s="95"/>
      <c r="AL281" s="95"/>
      <c r="AM281" s="95"/>
      <c r="AN281" s="132"/>
      <c r="AO281" s="132"/>
      <c r="AP281" s="95"/>
      <c r="AQ281" s="132"/>
      <c r="AR281" s="132"/>
    </row>
    <row r="282" spans="25:44" s="82" customFormat="1" x14ac:dyDescent="0.2">
      <c r="Y282" s="132"/>
      <c r="Z282" s="132"/>
      <c r="AA282" s="132"/>
      <c r="AB282" s="95"/>
      <c r="AC282" s="126"/>
      <c r="AD282" s="340"/>
      <c r="AE282" s="132"/>
      <c r="AF282" s="132"/>
      <c r="AG282" s="132"/>
      <c r="AH282" s="132"/>
      <c r="AI282" s="132"/>
      <c r="AJ282" s="95"/>
      <c r="AK282" s="95"/>
      <c r="AL282" s="95"/>
      <c r="AM282" s="95"/>
      <c r="AN282" s="132"/>
      <c r="AO282" s="132"/>
      <c r="AP282" s="95"/>
      <c r="AQ282" s="132"/>
      <c r="AR282" s="132"/>
    </row>
    <row r="283" spans="25:44" s="82" customFormat="1" x14ac:dyDescent="0.2">
      <c r="Y283" s="132"/>
      <c r="Z283" s="132"/>
      <c r="AA283" s="132"/>
      <c r="AB283" s="95"/>
      <c r="AC283" s="126"/>
      <c r="AD283" s="340"/>
      <c r="AE283" s="132"/>
      <c r="AF283" s="132"/>
      <c r="AG283" s="132"/>
      <c r="AH283" s="132"/>
      <c r="AI283" s="132"/>
      <c r="AJ283" s="95"/>
      <c r="AK283" s="95"/>
      <c r="AL283" s="95"/>
      <c r="AM283" s="95"/>
      <c r="AN283" s="132"/>
      <c r="AO283" s="132"/>
      <c r="AP283" s="95"/>
      <c r="AQ283" s="132"/>
      <c r="AR283" s="132"/>
    </row>
    <row r="284" spans="25:44" s="82" customFormat="1" x14ac:dyDescent="0.2">
      <c r="Y284" s="132"/>
      <c r="Z284" s="132"/>
      <c r="AA284" s="132"/>
      <c r="AB284" s="95"/>
      <c r="AC284" s="126"/>
      <c r="AD284" s="340"/>
      <c r="AE284" s="132"/>
      <c r="AF284" s="132"/>
      <c r="AG284" s="132"/>
      <c r="AH284" s="132"/>
      <c r="AI284" s="132"/>
      <c r="AJ284" s="95"/>
      <c r="AK284" s="95"/>
      <c r="AL284" s="95"/>
      <c r="AM284" s="95"/>
      <c r="AN284" s="132"/>
      <c r="AO284" s="132"/>
      <c r="AP284" s="95"/>
      <c r="AQ284" s="132"/>
      <c r="AR284" s="132"/>
    </row>
    <row r="285" spans="25:44" s="82" customFormat="1" x14ac:dyDescent="0.2">
      <c r="Y285" s="132"/>
      <c r="Z285" s="132"/>
      <c r="AA285" s="132"/>
      <c r="AB285" s="95"/>
      <c r="AC285" s="126"/>
      <c r="AD285" s="340"/>
      <c r="AE285" s="132"/>
      <c r="AF285" s="132"/>
      <c r="AG285" s="132"/>
      <c r="AH285" s="132"/>
      <c r="AI285" s="132"/>
      <c r="AJ285" s="95"/>
      <c r="AK285" s="95"/>
      <c r="AL285" s="95"/>
      <c r="AM285" s="95"/>
      <c r="AN285" s="132"/>
      <c r="AO285" s="132"/>
      <c r="AP285" s="95"/>
      <c r="AQ285" s="132"/>
      <c r="AR285" s="132"/>
    </row>
    <row r="286" spans="25:44" s="82" customFormat="1" x14ac:dyDescent="0.2">
      <c r="Y286" s="132"/>
      <c r="Z286" s="132"/>
      <c r="AA286" s="132"/>
      <c r="AB286" s="95"/>
      <c r="AC286" s="126"/>
      <c r="AD286" s="340"/>
      <c r="AE286" s="132"/>
      <c r="AF286" s="132"/>
      <c r="AG286" s="132"/>
      <c r="AH286" s="132"/>
      <c r="AI286" s="132"/>
      <c r="AJ286" s="95"/>
      <c r="AK286" s="95"/>
      <c r="AL286" s="95"/>
      <c r="AM286" s="95"/>
      <c r="AN286" s="132"/>
      <c r="AO286" s="132"/>
      <c r="AP286" s="95"/>
      <c r="AQ286" s="132"/>
      <c r="AR286" s="132"/>
    </row>
    <row r="287" spans="25:44" s="82" customFormat="1" x14ac:dyDescent="0.2">
      <c r="Y287" s="132"/>
      <c r="Z287" s="132"/>
      <c r="AA287" s="132"/>
      <c r="AB287" s="95"/>
      <c r="AC287" s="126"/>
      <c r="AD287" s="340"/>
      <c r="AE287" s="132"/>
      <c r="AF287" s="132"/>
      <c r="AG287" s="132"/>
      <c r="AH287" s="132"/>
      <c r="AI287" s="132"/>
      <c r="AJ287" s="95"/>
      <c r="AK287" s="95"/>
      <c r="AL287" s="95"/>
      <c r="AM287" s="95"/>
      <c r="AN287" s="132"/>
      <c r="AO287" s="132"/>
      <c r="AP287" s="95"/>
      <c r="AQ287" s="132"/>
      <c r="AR287" s="132"/>
    </row>
    <row r="288" spans="25:44" s="82" customFormat="1" x14ac:dyDescent="0.2">
      <c r="Y288" s="132"/>
      <c r="Z288" s="132"/>
      <c r="AA288" s="132"/>
      <c r="AB288" s="95"/>
      <c r="AC288" s="126"/>
      <c r="AD288" s="340"/>
      <c r="AE288" s="132"/>
      <c r="AF288" s="132"/>
      <c r="AG288" s="132"/>
      <c r="AH288" s="132"/>
      <c r="AI288" s="132"/>
      <c r="AJ288" s="95"/>
      <c r="AK288" s="95"/>
      <c r="AL288" s="95"/>
      <c r="AM288" s="95"/>
      <c r="AN288" s="132"/>
      <c r="AO288" s="132"/>
      <c r="AP288" s="95"/>
      <c r="AQ288" s="132"/>
      <c r="AR288" s="132"/>
    </row>
    <row r="289" spans="25:44" s="82" customFormat="1" x14ac:dyDescent="0.2">
      <c r="Y289" s="132"/>
      <c r="Z289" s="132"/>
      <c r="AA289" s="132"/>
      <c r="AB289" s="95"/>
      <c r="AC289" s="126"/>
      <c r="AD289" s="340"/>
      <c r="AE289" s="132"/>
      <c r="AF289" s="132"/>
      <c r="AG289" s="132"/>
      <c r="AH289" s="132"/>
      <c r="AI289" s="132"/>
      <c r="AJ289" s="95"/>
      <c r="AK289" s="95"/>
      <c r="AL289" s="95"/>
      <c r="AM289" s="95"/>
      <c r="AN289" s="132"/>
      <c r="AO289" s="132"/>
      <c r="AP289" s="95"/>
      <c r="AQ289" s="132"/>
      <c r="AR289" s="132"/>
    </row>
    <row r="290" spans="25:44" s="82" customFormat="1" x14ac:dyDescent="0.2">
      <c r="Y290" s="132"/>
      <c r="Z290" s="132"/>
      <c r="AA290" s="132"/>
      <c r="AB290" s="95"/>
      <c r="AC290" s="126"/>
      <c r="AD290" s="340"/>
      <c r="AE290" s="132"/>
      <c r="AF290" s="132"/>
      <c r="AG290" s="132"/>
      <c r="AH290" s="132"/>
      <c r="AI290" s="132"/>
      <c r="AJ290" s="95"/>
      <c r="AK290" s="95"/>
      <c r="AL290" s="95"/>
      <c r="AM290" s="95"/>
      <c r="AN290" s="132"/>
      <c r="AO290" s="132"/>
      <c r="AP290" s="95"/>
      <c r="AQ290" s="132"/>
      <c r="AR290" s="132"/>
    </row>
    <row r="291" spans="25:44" s="82" customFormat="1" x14ac:dyDescent="0.2">
      <c r="Y291" s="132"/>
      <c r="Z291" s="132"/>
      <c r="AA291" s="132"/>
      <c r="AB291" s="95"/>
      <c r="AC291" s="126"/>
      <c r="AD291" s="340"/>
      <c r="AE291" s="132"/>
      <c r="AF291" s="132"/>
      <c r="AG291" s="132"/>
      <c r="AH291" s="132"/>
      <c r="AI291" s="132"/>
      <c r="AJ291" s="95"/>
      <c r="AK291" s="95"/>
      <c r="AL291" s="95"/>
      <c r="AM291" s="95"/>
      <c r="AN291" s="132"/>
      <c r="AO291" s="132"/>
      <c r="AP291" s="95"/>
      <c r="AQ291" s="132"/>
      <c r="AR291" s="132"/>
    </row>
    <row r="292" spans="25:44" s="82" customFormat="1" x14ac:dyDescent="0.2">
      <c r="Y292" s="132"/>
      <c r="Z292" s="132"/>
      <c r="AA292" s="132"/>
      <c r="AB292" s="95"/>
      <c r="AC292" s="126"/>
      <c r="AD292" s="340"/>
      <c r="AE292" s="132"/>
      <c r="AF292" s="132"/>
      <c r="AG292" s="132"/>
      <c r="AH292" s="132"/>
      <c r="AI292" s="132"/>
      <c r="AJ292" s="95"/>
      <c r="AK292" s="95"/>
      <c r="AL292" s="95"/>
      <c r="AM292" s="95"/>
      <c r="AN292" s="132"/>
      <c r="AO292" s="132"/>
      <c r="AP292" s="95"/>
      <c r="AQ292" s="132"/>
      <c r="AR292" s="132"/>
    </row>
    <row r="293" spans="25:44" s="82" customFormat="1" x14ac:dyDescent="0.2">
      <c r="Y293" s="132"/>
      <c r="Z293" s="132"/>
      <c r="AA293" s="132"/>
      <c r="AB293" s="95"/>
      <c r="AC293" s="126"/>
      <c r="AD293" s="340"/>
      <c r="AE293" s="132"/>
      <c r="AF293" s="132"/>
      <c r="AG293" s="132"/>
      <c r="AH293" s="132"/>
      <c r="AI293" s="132"/>
      <c r="AJ293" s="95"/>
      <c r="AK293" s="95"/>
      <c r="AL293" s="95"/>
      <c r="AM293" s="95"/>
      <c r="AN293" s="132"/>
      <c r="AO293" s="132"/>
      <c r="AP293" s="95"/>
      <c r="AQ293" s="132"/>
      <c r="AR293" s="132"/>
    </row>
    <row r="294" spans="25:44" s="82" customFormat="1" x14ac:dyDescent="0.2">
      <c r="Y294" s="132"/>
      <c r="Z294" s="132"/>
      <c r="AA294" s="132"/>
      <c r="AB294" s="95"/>
      <c r="AC294" s="126"/>
      <c r="AD294" s="340"/>
      <c r="AE294" s="132"/>
      <c r="AF294" s="132"/>
      <c r="AG294" s="132"/>
      <c r="AH294" s="132"/>
      <c r="AI294" s="132"/>
      <c r="AJ294" s="95"/>
      <c r="AK294" s="95"/>
      <c r="AL294" s="95"/>
      <c r="AM294" s="95"/>
      <c r="AN294" s="132"/>
      <c r="AO294" s="132"/>
      <c r="AP294" s="95"/>
      <c r="AQ294" s="132"/>
      <c r="AR294" s="132"/>
    </row>
    <row r="295" spans="25:44" s="82" customFormat="1" x14ac:dyDescent="0.2">
      <c r="Y295" s="132"/>
      <c r="Z295" s="132"/>
      <c r="AA295" s="132"/>
      <c r="AB295" s="95"/>
      <c r="AC295" s="126"/>
      <c r="AD295" s="340"/>
      <c r="AE295" s="132"/>
      <c r="AF295" s="132"/>
      <c r="AG295" s="132"/>
      <c r="AH295" s="132"/>
      <c r="AI295" s="132"/>
      <c r="AJ295" s="95"/>
      <c r="AK295" s="95"/>
      <c r="AL295" s="95"/>
      <c r="AM295" s="95"/>
      <c r="AN295" s="132"/>
      <c r="AO295" s="132"/>
      <c r="AP295" s="95"/>
      <c r="AQ295" s="132"/>
      <c r="AR295" s="132"/>
    </row>
    <row r="296" spans="25:44" s="82" customFormat="1" x14ac:dyDescent="0.2">
      <c r="Y296" s="132"/>
      <c r="Z296" s="132"/>
      <c r="AA296" s="132"/>
      <c r="AB296" s="95"/>
      <c r="AC296" s="126"/>
      <c r="AD296" s="340"/>
      <c r="AE296" s="132"/>
      <c r="AF296" s="132"/>
      <c r="AG296" s="132"/>
      <c r="AH296" s="132"/>
      <c r="AI296" s="132"/>
      <c r="AJ296" s="95"/>
      <c r="AK296" s="95"/>
      <c r="AL296" s="95"/>
      <c r="AM296" s="95"/>
      <c r="AN296" s="132"/>
      <c r="AO296" s="132"/>
      <c r="AP296" s="95"/>
      <c r="AQ296" s="132"/>
      <c r="AR296" s="132"/>
    </row>
    <row r="297" spans="25:44" s="82" customFormat="1" x14ac:dyDescent="0.2">
      <c r="Y297" s="132"/>
      <c r="Z297" s="132"/>
      <c r="AA297" s="132"/>
      <c r="AB297" s="95"/>
      <c r="AC297" s="126"/>
      <c r="AD297" s="340"/>
      <c r="AE297" s="132"/>
      <c r="AF297" s="132"/>
      <c r="AG297" s="132"/>
      <c r="AH297" s="132"/>
      <c r="AI297" s="132"/>
      <c r="AJ297" s="95"/>
      <c r="AK297" s="95"/>
      <c r="AL297" s="95"/>
      <c r="AM297" s="95"/>
      <c r="AN297" s="132"/>
      <c r="AO297" s="132"/>
      <c r="AP297" s="95"/>
      <c r="AQ297" s="132"/>
      <c r="AR297" s="132"/>
    </row>
    <row r="298" spans="25:44" s="82" customFormat="1" x14ac:dyDescent="0.2">
      <c r="Y298" s="132"/>
      <c r="Z298" s="132"/>
      <c r="AA298" s="132"/>
      <c r="AB298" s="95"/>
      <c r="AC298" s="126"/>
      <c r="AD298" s="340"/>
      <c r="AE298" s="132"/>
      <c r="AF298" s="132"/>
      <c r="AG298" s="132"/>
      <c r="AH298" s="132"/>
      <c r="AI298" s="132"/>
      <c r="AJ298" s="95"/>
      <c r="AK298" s="95"/>
      <c r="AL298" s="95"/>
      <c r="AM298" s="95"/>
      <c r="AN298" s="132"/>
      <c r="AO298" s="132"/>
      <c r="AP298" s="95"/>
      <c r="AQ298" s="132"/>
      <c r="AR298" s="132"/>
    </row>
    <row r="299" spans="25:44" s="82" customFormat="1" x14ac:dyDescent="0.2">
      <c r="Y299" s="132"/>
      <c r="Z299" s="132"/>
      <c r="AA299" s="132"/>
      <c r="AB299" s="95"/>
      <c r="AC299" s="126"/>
      <c r="AD299" s="340"/>
      <c r="AE299" s="132"/>
      <c r="AF299" s="132"/>
      <c r="AG299" s="132"/>
      <c r="AH299" s="132"/>
      <c r="AI299" s="132"/>
      <c r="AJ299" s="95"/>
      <c r="AK299" s="95"/>
      <c r="AL299" s="95"/>
      <c r="AM299" s="95"/>
      <c r="AN299" s="132"/>
      <c r="AO299" s="132"/>
      <c r="AP299" s="95"/>
      <c r="AQ299" s="132"/>
      <c r="AR299" s="132"/>
    </row>
    <row r="300" spans="25:44" s="82" customFormat="1" x14ac:dyDescent="0.2">
      <c r="Y300" s="132"/>
      <c r="Z300" s="132"/>
      <c r="AA300" s="132"/>
      <c r="AB300" s="95"/>
      <c r="AC300" s="126"/>
      <c r="AD300" s="340"/>
      <c r="AE300" s="132"/>
      <c r="AF300" s="132"/>
      <c r="AG300" s="132"/>
      <c r="AH300" s="132"/>
      <c r="AI300" s="132"/>
      <c r="AJ300" s="95"/>
      <c r="AK300" s="95"/>
      <c r="AL300" s="95"/>
      <c r="AM300" s="95"/>
      <c r="AN300" s="132"/>
      <c r="AO300" s="132"/>
      <c r="AP300" s="95"/>
      <c r="AQ300" s="132"/>
      <c r="AR300" s="132"/>
    </row>
    <row r="301" spans="25:44" s="82" customFormat="1" x14ac:dyDescent="0.2">
      <c r="Y301" s="132"/>
      <c r="Z301" s="132"/>
      <c r="AA301" s="132"/>
      <c r="AB301" s="95"/>
      <c r="AC301" s="126"/>
      <c r="AD301" s="340"/>
      <c r="AE301" s="132"/>
      <c r="AF301" s="132"/>
      <c r="AG301" s="132"/>
      <c r="AH301" s="132"/>
      <c r="AI301" s="132"/>
      <c r="AJ301" s="95"/>
      <c r="AK301" s="95"/>
      <c r="AL301" s="95"/>
      <c r="AM301" s="95"/>
      <c r="AN301" s="132"/>
      <c r="AO301" s="132"/>
      <c r="AP301" s="95"/>
      <c r="AQ301" s="132"/>
      <c r="AR301" s="132"/>
    </row>
    <row r="302" spans="25:44" s="82" customFormat="1" x14ac:dyDescent="0.2">
      <c r="Y302" s="132"/>
      <c r="Z302" s="132"/>
      <c r="AA302" s="132"/>
      <c r="AB302" s="95"/>
      <c r="AC302" s="126"/>
      <c r="AD302" s="340"/>
      <c r="AE302" s="132"/>
      <c r="AF302" s="132"/>
      <c r="AG302" s="132"/>
      <c r="AH302" s="132"/>
      <c r="AI302" s="132"/>
      <c r="AJ302" s="95"/>
      <c r="AK302" s="95"/>
      <c r="AL302" s="95"/>
      <c r="AM302" s="95"/>
      <c r="AN302" s="132"/>
      <c r="AO302" s="132"/>
      <c r="AP302" s="95"/>
      <c r="AQ302" s="132"/>
      <c r="AR302" s="132"/>
    </row>
    <row r="303" spans="25:44" s="82" customFormat="1" x14ac:dyDescent="0.2">
      <c r="Y303" s="132"/>
      <c r="Z303" s="132"/>
      <c r="AA303" s="132"/>
      <c r="AB303" s="95"/>
      <c r="AC303" s="126"/>
      <c r="AD303" s="340"/>
      <c r="AE303" s="132"/>
      <c r="AF303" s="132"/>
      <c r="AG303" s="132"/>
      <c r="AH303" s="132"/>
      <c r="AI303" s="132"/>
      <c r="AJ303" s="95"/>
      <c r="AK303" s="95"/>
      <c r="AL303" s="95"/>
      <c r="AM303" s="95"/>
      <c r="AN303" s="132"/>
      <c r="AO303" s="132"/>
      <c r="AP303" s="95"/>
      <c r="AQ303" s="132"/>
      <c r="AR303" s="132"/>
    </row>
    <row r="304" spans="25:44" s="82" customFormat="1" x14ac:dyDescent="0.2">
      <c r="Y304" s="132"/>
      <c r="Z304" s="132"/>
      <c r="AA304" s="132"/>
      <c r="AB304" s="95"/>
      <c r="AC304" s="126"/>
      <c r="AD304" s="340"/>
      <c r="AE304" s="132"/>
      <c r="AF304" s="132"/>
      <c r="AG304" s="132"/>
      <c r="AH304" s="132"/>
      <c r="AI304" s="132"/>
      <c r="AJ304" s="95"/>
      <c r="AK304" s="95"/>
      <c r="AL304" s="95"/>
      <c r="AM304" s="95"/>
      <c r="AN304" s="132"/>
      <c r="AO304" s="132"/>
      <c r="AP304" s="95"/>
      <c r="AQ304" s="132"/>
      <c r="AR304" s="132"/>
    </row>
    <row r="305" spans="25:44" s="82" customFormat="1" x14ac:dyDescent="0.2">
      <c r="Y305" s="132"/>
      <c r="Z305" s="132"/>
      <c r="AA305" s="132"/>
      <c r="AB305" s="95"/>
      <c r="AC305" s="126"/>
      <c r="AD305" s="340"/>
      <c r="AE305" s="132"/>
      <c r="AF305" s="132"/>
      <c r="AG305" s="132"/>
      <c r="AH305" s="132"/>
      <c r="AI305" s="132"/>
      <c r="AJ305" s="95"/>
      <c r="AK305" s="95"/>
      <c r="AL305" s="95"/>
      <c r="AM305" s="95"/>
      <c r="AN305" s="132"/>
      <c r="AO305" s="132"/>
      <c r="AP305" s="95"/>
      <c r="AQ305" s="132"/>
      <c r="AR305" s="132"/>
    </row>
    <row r="306" spans="25:44" s="82" customFormat="1" x14ac:dyDescent="0.2">
      <c r="Y306" s="132"/>
      <c r="Z306" s="132"/>
      <c r="AA306" s="132"/>
      <c r="AB306" s="95"/>
      <c r="AC306" s="126"/>
      <c r="AD306" s="340"/>
      <c r="AE306" s="132"/>
      <c r="AF306" s="132"/>
      <c r="AG306" s="132"/>
      <c r="AH306" s="132"/>
      <c r="AI306" s="132"/>
      <c r="AJ306" s="95"/>
      <c r="AK306" s="95"/>
      <c r="AL306" s="95"/>
      <c r="AM306" s="95"/>
      <c r="AN306" s="132"/>
      <c r="AO306" s="132"/>
      <c r="AP306" s="95"/>
      <c r="AQ306" s="132"/>
      <c r="AR306" s="132"/>
    </row>
    <row r="307" spans="25:44" s="82" customFormat="1" x14ac:dyDescent="0.2">
      <c r="Y307" s="132"/>
      <c r="Z307" s="132"/>
      <c r="AA307" s="132"/>
      <c r="AB307" s="95"/>
      <c r="AC307" s="126"/>
      <c r="AD307" s="340"/>
      <c r="AE307" s="132"/>
      <c r="AF307" s="132"/>
      <c r="AG307" s="132"/>
      <c r="AH307" s="132"/>
      <c r="AI307" s="132"/>
      <c r="AJ307" s="95"/>
      <c r="AK307" s="95"/>
      <c r="AL307" s="95"/>
      <c r="AM307" s="95"/>
      <c r="AN307" s="132"/>
      <c r="AO307" s="132"/>
      <c r="AP307" s="95"/>
      <c r="AQ307" s="132"/>
      <c r="AR307" s="132"/>
    </row>
    <row r="308" spans="25:44" s="82" customFormat="1" x14ac:dyDescent="0.2">
      <c r="Y308" s="132"/>
      <c r="Z308" s="132"/>
      <c r="AA308" s="132"/>
      <c r="AB308" s="95"/>
      <c r="AC308" s="126"/>
      <c r="AD308" s="340"/>
      <c r="AE308" s="132"/>
      <c r="AF308" s="132"/>
      <c r="AG308" s="132"/>
      <c r="AH308" s="132"/>
      <c r="AI308" s="132"/>
      <c r="AJ308" s="95"/>
      <c r="AK308" s="95"/>
      <c r="AL308" s="95"/>
      <c r="AM308" s="95"/>
      <c r="AN308" s="132"/>
      <c r="AO308" s="132"/>
      <c r="AP308" s="95"/>
      <c r="AQ308" s="132"/>
      <c r="AR308" s="132"/>
    </row>
    <row r="309" spans="25:44" s="82" customFormat="1" x14ac:dyDescent="0.2">
      <c r="Y309" s="132"/>
      <c r="Z309" s="132"/>
      <c r="AA309" s="132"/>
      <c r="AB309" s="95"/>
      <c r="AC309" s="126"/>
      <c r="AD309" s="340"/>
      <c r="AE309" s="132"/>
      <c r="AF309" s="132"/>
      <c r="AG309" s="132"/>
      <c r="AH309" s="132"/>
      <c r="AI309" s="132"/>
      <c r="AJ309" s="95"/>
      <c r="AK309" s="95"/>
      <c r="AL309" s="95"/>
      <c r="AM309" s="95"/>
      <c r="AN309" s="132"/>
      <c r="AO309" s="132"/>
      <c r="AP309" s="95"/>
      <c r="AQ309" s="132"/>
      <c r="AR309" s="132"/>
    </row>
    <row r="310" spans="25:44" s="82" customFormat="1" x14ac:dyDescent="0.2">
      <c r="Y310" s="132"/>
      <c r="Z310" s="132"/>
      <c r="AA310" s="132"/>
      <c r="AB310" s="95"/>
      <c r="AC310" s="126"/>
      <c r="AD310" s="340"/>
      <c r="AE310" s="132"/>
      <c r="AF310" s="132"/>
      <c r="AG310" s="132"/>
      <c r="AH310" s="132"/>
      <c r="AI310" s="132"/>
      <c r="AJ310" s="95"/>
      <c r="AK310" s="95"/>
      <c r="AL310" s="95"/>
      <c r="AM310" s="95"/>
      <c r="AN310" s="132"/>
      <c r="AO310" s="132"/>
      <c r="AP310" s="95"/>
      <c r="AQ310" s="132"/>
      <c r="AR310" s="132"/>
    </row>
    <row r="311" spans="25:44" s="82" customFormat="1" x14ac:dyDescent="0.2">
      <c r="Y311" s="132"/>
      <c r="Z311" s="132"/>
      <c r="AA311" s="132"/>
      <c r="AB311" s="95"/>
      <c r="AC311" s="126"/>
      <c r="AD311" s="340"/>
      <c r="AE311" s="132"/>
      <c r="AF311" s="132"/>
      <c r="AG311" s="132"/>
      <c r="AH311" s="132"/>
      <c r="AI311" s="132"/>
      <c r="AJ311" s="95"/>
      <c r="AK311" s="95"/>
      <c r="AL311" s="95"/>
      <c r="AM311" s="95"/>
      <c r="AN311" s="132"/>
      <c r="AO311" s="132"/>
      <c r="AP311" s="95"/>
      <c r="AQ311" s="132"/>
      <c r="AR311" s="132"/>
    </row>
    <row r="312" spans="25:44" s="82" customFormat="1" x14ac:dyDescent="0.2">
      <c r="Y312" s="132"/>
      <c r="Z312" s="132"/>
      <c r="AA312" s="132"/>
      <c r="AB312" s="95"/>
      <c r="AC312" s="126"/>
      <c r="AD312" s="340"/>
      <c r="AE312" s="132"/>
      <c r="AF312" s="132"/>
      <c r="AG312" s="132"/>
      <c r="AH312" s="132"/>
      <c r="AI312" s="132"/>
      <c r="AJ312" s="95"/>
      <c r="AK312" s="95"/>
      <c r="AL312" s="95"/>
      <c r="AM312" s="95"/>
      <c r="AN312" s="132"/>
      <c r="AO312" s="132"/>
      <c r="AP312" s="95"/>
      <c r="AQ312" s="132"/>
      <c r="AR312" s="132"/>
    </row>
    <row r="313" spans="25:44" s="82" customFormat="1" x14ac:dyDescent="0.2">
      <c r="Y313" s="132"/>
      <c r="Z313" s="132"/>
      <c r="AA313" s="132"/>
      <c r="AB313" s="95"/>
      <c r="AC313" s="126"/>
      <c r="AD313" s="340"/>
      <c r="AE313" s="132"/>
      <c r="AF313" s="132"/>
      <c r="AG313" s="132"/>
      <c r="AH313" s="132"/>
      <c r="AI313" s="132"/>
      <c r="AJ313" s="95"/>
      <c r="AK313" s="95"/>
      <c r="AL313" s="95"/>
      <c r="AM313" s="95"/>
      <c r="AN313" s="132"/>
      <c r="AO313" s="132"/>
      <c r="AP313" s="95"/>
      <c r="AQ313" s="132"/>
      <c r="AR313" s="132"/>
    </row>
    <row r="314" spans="25:44" s="82" customFormat="1" x14ac:dyDescent="0.2">
      <c r="Y314" s="132"/>
      <c r="Z314" s="132"/>
      <c r="AA314" s="132"/>
      <c r="AB314" s="95"/>
      <c r="AC314" s="126"/>
      <c r="AD314" s="340"/>
      <c r="AE314" s="132"/>
      <c r="AF314" s="132"/>
      <c r="AG314" s="132"/>
      <c r="AH314" s="132"/>
      <c r="AI314" s="132"/>
      <c r="AJ314" s="95"/>
      <c r="AK314" s="95"/>
      <c r="AL314" s="95"/>
      <c r="AM314" s="95"/>
      <c r="AN314" s="132"/>
      <c r="AO314" s="132"/>
      <c r="AP314" s="95"/>
      <c r="AQ314" s="132"/>
      <c r="AR314" s="132"/>
    </row>
    <row r="315" spans="25:44" s="82" customFormat="1" x14ac:dyDescent="0.2">
      <c r="Y315" s="132"/>
      <c r="Z315" s="132"/>
      <c r="AA315" s="132"/>
      <c r="AB315" s="95"/>
      <c r="AC315" s="126"/>
      <c r="AD315" s="340"/>
      <c r="AE315" s="132"/>
      <c r="AF315" s="132"/>
      <c r="AG315" s="132"/>
      <c r="AH315" s="132"/>
      <c r="AI315" s="132"/>
      <c r="AJ315" s="95"/>
      <c r="AK315" s="95"/>
      <c r="AL315" s="95"/>
      <c r="AM315" s="95"/>
      <c r="AN315" s="132"/>
      <c r="AO315" s="132"/>
      <c r="AP315" s="95"/>
      <c r="AQ315" s="132"/>
      <c r="AR315" s="132"/>
    </row>
    <row r="316" spans="25:44" s="82" customFormat="1" x14ac:dyDescent="0.2">
      <c r="Y316" s="132"/>
      <c r="Z316" s="132"/>
      <c r="AA316" s="132"/>
      <c r="AB316" s="95"/>
      <c r="AC316" s="126"/>
      <c r="AD316" s="340"/>
      <c r="AE316" s="132"/>
      <c r="AF316" s="132"/>
      <c r="AG316" s="132"/>
      <c r="AH316" s="132"/>
      <c r="AI316" s="132"/>
      <c r="AJ316" s="95"/>
      <c r="AK316" s="95"/>
      <c r="AL316" s="95"/>
      <c r="AM316" s="95"/>
      <c r="AN316" s="132"/>
      <c r="AO316" s="132"/>
      <c r="AP316" s="95"/>
      <c r="AQ316" s="132"/>
      <c r="AR316" s="132"/>
    </row>
    <row r="317" spans="25:44" s="82" customFormat="1" x14ac:dyDescent="0.2">
      <c r="Y317" s="132"/>
      <c r="Z317" s="132"/>
      <c r="AA317" s="132"/>
      <c r="AB317" s="95"/>
      <c r="AC317" s="126"/>
      <c r="AD317" s="340"/>
      <c r="AE317" s="132"/>
      <c r="AF317" s="132"/>
      <c r="AG317" s="132"/>
      <c r="AH317" s="132"/>
      <c r="AI317" s="132"/>
      <c r="AJ317" s="95"/>
      <c r="AK317" s="95"/>
      <c r="AL317" s="95"/>
      <c r="AM317" s="95"/>
      <c r="AN317" s="132"/>
      <c r="AO317" s="132"/>
      <c r="AP317" s="95"/>
      <c r="AQ317" s="132"/>
      <c r="AR317" s="132"/>
    </row>
    <row r="318" spans="25:44" s="82" customFormat="1" x14ac:dyDescent="0.2">
      <c r="Y318" s="132"/>
      <c r="Z318" s="132"/>
      <c r="AA318" s="132"/>
      <c r="AB318" s="95"/>
      <c r="AC318" s="126"/>
      <c r="AD318" s="340"/>
      <c r="AE318" s="132"/>
      <c r="AF318" s="132"/>
      <c r="AG318" s="132"/>
      <c r="AH318" s="132"/>
      <c r="AI318" s="132"/>
      <c r="AJ318" s="95"/>
      <c r="AK318" s="95"/>
      <c r="AL318" s="95"/>
      <c r="AM318" s="95"/>
      <c r="AN318" s="132"/>
      <c r="AO318" s="132"/>
      <c r="AP318" s="95"/>
      <c r="AQ318" s="132"/>
      <c r="AR318" s="132"/>
    </row>
    <row r="319" spans="25:44" s="82" customFormat="1" x14ac:dyDescent="0.2">
      <c r="Y319" s="132"/>
      <c r="Z319" s="132"/>
      <c r="AA319" s="132"/>
      <c r="AB319" s="95"/>
      <c r="AC319" s="126"/>
      <c r="AD319" s="340"/>
      <c r="AE319" s="132"/>
      <c r="AF319" s="132"/>
      <c r="AG319" s="132"/>
      <c r="AH319" s="132"/>
      <c r="AI319" s="132"/>
      <c r="AJ319" s="95"/>
      <c r="AK319" s="95"/>
      <c r="AL319" s="95"/>
      <c r="AM319" s="95"/>
      <c r="AN319" s="132"/>
      <c r="AO319" s="132"/>
      <c r="AP319" s="95"/>
      <c r="AQ319" s="132"/>
      <c r="AR319" s="132"/>
    </row>
    <row r="320" spans="25:44" s="82" customFormat="1" x14ac:dyDescent="0.2">
      <c r="Y320" s="132"/>
      <c r="Z320" s="132"/>
      <c r="AA320" s="132"/>
      <c r="AB320" s="95"/>
      <c r="AC320" s="126"/>
      <c r="AD320" s="340"/>
      <c r="AE320" s="132"/>
      <c r="AF320" s="132"/>
      <c r="AG320" s="132"/>
      <c r="AH320" s="132"/>
      <c r="AI320" s="132"/>
      <c r="AJ320" s="95"/>
      <c r="AK320" s="95"/>
      <c r="AL320" s="95"/>
      <c r="AM320" s="95"/>
      <c r="AN320" s="132"/>
      <c r="AO320" s="132"/>
      <c r="AP320" s="95"/>
      <c r="AQ320" s="132"/>
      <c r="AR320" s="132"/>
    </row>
    <row r="321" spans="25:44" s="82" customFormat="1" x14ac:dyDescent="0.2">
      <c r="Y321" s="132"/>
      <c r="Z321" s="132"/>
      <c r="AA321" s="132"/>
      <c r="AB321" s="95"/>
      <c r="AC321" s="126"/>
      <c r="AD321" s="340"/>
      <c r="AE321" s="132"/>
      <c r="AF321" s="132"/>
      <c r="AG321" s="132"/>
      <c r="AH321" s="132"/>
      <c r="AI321" s="132"/>
      <c r="AJ321" s="95"/>
      <c r="AK321" s="95"/>
      <c r="AL321" s="95"/>
      <c r="AM321" s="95"/>
      <c r="AN321" s="132"/>
      <c r="AO321" s="132"/>
      <c r="AP321" s="95"/>
      <c r="AQ321" s="132"/>
      <c r="AR321" s="132"/>
    </row>
    <row r="322" spans="25:44" s="82" customFormat="1" x14ac:dyDescent="0.2">
      <c r="Y322" s="132"/>
      <c r="Z322" s="132"/>
      <c r="AA322" s="132"/>
      <c r="AB322" s="95"/>
      <c r="AC322" s="126"/>
      <c r="AD322" s="340"/>
      <c r="AE322" s="132"/>
      <c r="AF322" s="132"/>
      <c r="AG322" s="132"/>
      <c r="AH322" s="132"/>
      <c r="AI322" s="132"/>
      <c r="AJ322" s="95"/>
      <c r="AK322" s="95"/>
      <c r="AL322" s="95"/>
      <c r="AM322" s="95"/>
      <c r="AN322" s="132"/>
      <c r="AO322" s="132"/>
      <c r="AP322" s="95"/>
      <c r="AQ322" s="132"/>
      <c r="AR322" s="132"/>
    </row>
    <row r="323" spans="25:44" s="82" customFormat="1" x14ac:dyDescent="0.2">
      <c r="Y323" s="132"/>
      <c r="Z323" s="132"/>
      <c r="AA323" s="132"/>
      <c r="AB323" s="95"/>
      <c r="AC323" s="126"/>
      <c r="AD323" s="340"/>
      <c r="AE323" s="132"/>
      <c r="AF323" s="132"/>
      <c r="AG323" s="132"/>
      <c r="AH323" s="132"/>
      <c r="AI323" s="132"/>
      <c r="AJ323" s="95"/>
      <c r="AK323" s="95"/>
      <c r="AL323" s="95"/>
      <c r="AM323" s="95"/>
      <c r="AN323" s="132"/>
      <c r="AO323" s="132"/>
      <c r="AP323" s="95"/>
      <c r="AQ323" s="132"/>
      <c r="AR323" s="132"/>
    </row>
    <row r="324" spans="25:44" s="82" customFormat="1" x14ac:dyDescent="0.2">
      <c r="Y324" s="132"/>
      <c r="Z324" s="132"/>
      <c r="AA324" s="132"/>
      <c r="AB324" s="95"/>
      <c r="AC324" s="126"/>
      <c r="AD324" s="340"/>
      <c r="AE324" s="132"/>
      <c r="AF324" s="132"/>
      <c r="AG324" s="132"/>
      <c r="AH324" s="132"/>
      <c r="AI324" s="132"/>
      <c r="AJ324" s="95"/>
      <c r="AK324" s="95"/>
      <c r="AL324" s="95"/>
      <c r="AM324" s="95"/>
      <c r="AN324" s="132"/>
      <c r="AO324" s="132"/>
      <c r="AP324" s="95"/>
      <c r="AQ324" s="132"/>
      <c r="AR324" s="132"/>
    </row>
    <row r="325" spans="25:44" s="82" customFormat="1" x14ac:dyDescent="0.2">
      <c r="Y325" s="132"/>
      <c r="Z325" s="132"/>
      <c r="AA325" s="132"/>
      <c r="AB325" s="95"/>
      <c r="AC325" s="126"/>
      <c r="AD325" s="340"/>
      <c r="AE325" s="132"/>
      <c r="AF325" s="132"/>
      <c r="AG325" s="132"/>
      <c r="AH325" s="132"/>
      <c r="AI325" s="132"/>
      <c r="AJ325" s="95"/>
      <c r="AK325" s="95"/>
      <c r="AL325" s="95"/>
      <c r="AM325" s="95"/>
      <c r="AN325" s="132"/>
      <c r="AO325" s="132"/>
      <c r="AP325" s="95"/>
      <c r="AQ325" s="132"/>
      <c r="AR325" s="132"/>
    </row>
    <row r="326" spans="25:44" s="82" customFormat="1" x14ac:dyDescent="0.2">
      <c r="Y326" s="132"/>
      <c r="Z326" s="132"/>
      <c r="AA326" s="132"/>
      <c r="AB326" s="95"/>
      <c r="AC326" s="126"/>
      <c r="AD326" s="340"/>
      <c r="AE326" s="132"/>
      <c r="AF326" s="132"/>
      <c r="AG326" s="132"/>
      <c r="AH326" s="132"/>
      <c r="AI326" s="132"/>
      <c r="AJ326" s="95"/>
      <c r="AK326" s="95"/>
      <c r="AL326" s="95"/>
      <c r="AM326" s="95"/>
      <c r="AN326" s="132"/>
      <c r="AO326" s="132"/>
      <c r="AP326" s="95"/>
      <c r="AQ326" s="132"/>
      <c r="AR326" s="132"/>
    </row>
    <row r="327" spans="25:44" s="82" customFormat="1" x14ac:dyDescent="0.2">
      <c r="Y327" s="132"/>
      <c r="Z327" s="132"/>
      <c r="AA327" s="132"/>
      <c r="AB327" s="95"/>
      <c r="AC327" s="126"/>
      <c r="AD327" s="340"/>
      <c r="AE327" s="132"/>
      <c r="AF327" s="132"/>
      <c r="AG327" s="132"/>
      <c r="AH327" s="132"/>
      <c r="AI327" s="132"/>
      <c r="AJ327" s="95"/>
      <c r="AK327" s="95"/>
      <c r="AL327" s="95"/>
      <c r="AM327" s="95"/>
      <c r="AN327" s="132"/>
      <c r="AO327" s="132"/>
      <c r="AP327" s="95"/>
      <c r="AQ327" s="132"/>
      <c r="AR327" s="132"/>
    </row>
    <row r="328" spans="25:44" s="82" customFormat="1" x14ac:dyDescent="0.2">
      <c r="Y328" s="132"/>
      <c r="Z328" s="132"/>
      <c r="AA328" s="132"/>
      <c r="AB328" s="95"/>
      <c r="AC328" s="126"/>
      <c r="AD328" s="340"/>
      <c r="AE328" s="132"/>
      <c r="AF328" s="132"/>
      <c r="AG328" s="132"/>
      <c r="AH328" s="132"/>
      <c r="AI328" s="132"/>
      <c r="AJ328" s="95"/>
      <c r="AK328" s="95"/>
      <c r="AL328" s="95"/>
      <c r="AM328" s="95"/>
      <c r="AN328" s="132"/>
      <c r="AO328" s="132"/>
      <c r="AP328" s="95"/>
      <c r="AQ328" s="132"/>
      <c r="AR328" s="132"/>
    </row>
    <row r="329" spans="25:44" s="82" customFormat="1" x14ac:dyDescent="0.2">
      <c r="Y329" s="132"/>
      <c r="Z329" s="132"/>
      <c r="AA329" s="132"/>
      <c r="AB329" s="95"/>
      <c r="AC329" s="126"/>
      <c r="AD329" s="340"/>
      <c r="AE329" s="132"/>
      <c r="AF329" s="132"/>
      <c r="AG329" s="132"/>
      <c r="AH329" s="132"/>
      <c r="AI329" s="132"/>
      <c r="AJ329" s="95"/>
      <c r="AK329" s="95"/>
      <c r="AL329" s="95"/>
      <c r="AM329" s="95"/>
      <c r="AN329" s="132"/>
      <c r="AO329" s="132"/>
      <c r="AP329" s="95"/>
      <c r="AQ329" s="132"/>
      <c r="AR329" s="132"/>
    </row>
    <row r="330" spans="25:44" s="82" customFormat="1" x14ac:dyDescent="0.2">
      <c r="Y330" s="132"/>
      <c r="Z330" s="132"/>
      <c r="AA330" s="132"/>
      <c r="AB330" s="95"/>
      <c r="AC330" s="126"/>
      <c r="AD330" s="340"/>
      <c r="AE330" s="132"/>
      <c r="AF330" s="132"/>
      <c r="AG330" s="132"/>
      <c r="AH330" s="132"/>
      <c r="AI330" s="132"/>
      <c r="AJ330" s="95"/>
      <c r="AK330" s="95"/>
      <c r="AL330" s="95"/>
      <c r="AM330" s="95"/>
      <c r="AN330" s="132"/>
      <c r="AO330" s="132"/>
      <c r="AP330" s="95"/>
      <c r="AQ330" s="132"/>
      <c r="AR330" s="132"/>
    </row>
    <row r="331" spans="25:44" s="82" customFormat="1" x14ac:dyDescent="0.2">
      <c r="Y331" s="132"/>
      <c r="Z331" s="132"/>
      <c r="AA331" s="132"/>
      <c r="AB331" s="95"/>
      <c r="AC331" s="126"/>
      <c r="AD331" s="340"/>
      <c r="AE331" s="132"/>
      <c r="AF331" s="132"/>
      <c r="AG331" s="132"/>
      <c r="AH331" s="132"/>
      <c r="AI331" s="132"/>
      <c r="AJ331" s="95"/>
      <c r="AK331" s="95"/>
      <c r="AL331" s="95"/>
      <c r="AM331" s="95"/>
      <c r="AN331" s="132"/>
      <c r="AO331" s="132"/>
      <c r="AP331" s="95"/>
      <c r="AQ331" s="132"/>
      <c r="AR331" s="132"/>
    </row>
    <row r="332" spans="25:44" s="82" customFormat="1" x14ac:dyDescent="0.2">
      <c r="Y332" s="132"/>
      <c r="Z332" s="132"/>
      <c r="AA332" s="132"/>
      <c r="AB332" s="95"/>
      <c r="AC332" s="126"/>
      <c r="AD332" s="340"/>
      <c r="AE332" s="132"/>
      <c r="AF332" s="132"/>
      <c r="AG332" s="132"/>
      <c r="AH332" s="132"/>
      <c r="AI332" s="132"/>
      <c r="AJ332" s="95"/>
      <c r="AK332" s="95"/>
      <c r="AL332" s="95"/>
      <c r="AM332" s="95"/>
      <c r="AN332" s="132"/>
      <c r="AO332" s="132"/>
      <c r="AP332" s="95"/>
      <c r="AQ332" s="132"/>
      <c r="AR332" s="132"/>
    </row>
    <row r="333" spans="25:44" s="82" customFormat="1" x14ac:dyDescent="0.2">
      <c r="Y333" s="132"/>
      <c r="Z333" s="132"/>
      <c r="AA333" s="132"/>
      <c r="AB333" s="95"/>
      <c r="AC333" s="126"/>
      <c r="AD333" s="340"/>
      <c r="AE333" s="132"/>
      <c r="AF333" s="132"/>
      <c r="AG333" s="132"/>
      <c r="AH333" s="132"/>
      <c r="AI333" s="132"/>
      <c r="AJ333" s="95"/>
      <c r="AK333" s="95"/>
      <c r="AL333" s="95"/>
      <c r="AM333" s="95"/>
      <c r="AN333" s="132"/>
      <c r="AO333" s="132"/>
      <c r="AP333" s="95"/>
      <c r="AQ333" s="132"/>
      <c r="AR333" s="132"/>
    </row>
    <row r="334" spans="25:44" s="82" customFormat="1" x14ac:dyDescent="0.2">
      <c r="Y334" s="132"/>
      <c r="Z334" s="132"/>
      <c r="AA334" s="132"/>
      <c r="AB334" s="95"/>
      <c r="AC334" s="126"/>
      <c r="AD334" s="340"/>
      <c r="AE334" s="132"/>
      <c r="AF334" s="132"/>
      <c r="AG334" s="132"/>
      <c r="AH334" s="132"/>
      <c r="AI334" s="132"/>
      <c r="AJ334" s="95"/>
      <c r="AK334" s="95"/>
      <c r="AL334" s="95"/>
      <c r="AM334" s="95"/>
      <c r="AN334" s="132"/>
      <c r="AO334" s="132"/>
      <c r="AP334" s="95"/>
      <c r="AQ334" s="132"/>
      <c r="AR334" s="132"/>
    </row>
    <row r="335" spans="25:44" s="82" customFormat="1" x14ac:dyDescent="0.2">
      <c r="Y335" s="132"/>
      <c r="Z335" s="132"/>
      <c r="AA335" s="132"/>
      <c r="AB335" s="95"/>
      <c r="AC335" s="126"/>
      <c r="AD335" s="340"/>
      <c r="AE335" s="132"/>
      <c r="AF335" s="132"/>
      <c r="AG335" s="132"/>
      <c r="AH335" s="132"/>
      <c r="AI335" s="132"/>
      <c r="AJ335" s="95"/>
      <c r="AK335" s="95"/>
      <c r="AL335" s="95"/>
      <c r="AM335" s="95"/>
      <c r="AN335" s="132"/>
      <c r="AO335" s="132"/>
      <c r="AP335" s="95"/>
      <c r="AQ335" s="132"/>
      <c r="AR335" s="132"/>
    </row>
    <row r="336" spans="25:44" s="82" customFormat="1" x14ac:dyDescent="0.2">
      <c r="Y336" s="132"/>
      <c r="Z336" s="132"/>
      <c r="AA336" s="132"/>
      <c r="AB336" s="95"/>
      <c r="AC336" s="126"/>
      <c r="AD336" s="340"/>
      <c r="AE336" s="132"/>
      <c r="AF336" s="132"/>
      <c r="AG336" s="132"/>
      <c r="AH336" s="132"/>
      <c r="AI336" s="132"/>
      <c r="AJ336" s="95"/>
      <c r="AK336" s="95"/>
      <c r="AL336" s="95"/>
      <c r="AM336" s="95"/>
      <c r="AN336" s="132"/>
      <c r="AO336" s="132"/>
      <c r="AP336" s="95"/>
      <c r="AQ336" s="132"/>
      <c r="AR336" s="132"/>
    </row>
    <row r="337" spans="25:44" s="82" customFormat="1" x14ac:dyDescent="0.2">
      <c r="Y337" s="132"/>
      <c r="Z337" s="132"/>
      <c r="AA337" s="132"/>
      <c r="AB337" s="95"/>
      <c r="AC337" s="126"/>
      <c r="AD337" s="340"/>
      <c r="AE337" s="132"/>
      <c r="AF337" s="132"/>
      <c r="AG337" s="132"/>
      <c r="AH337" s="132"/>
      <c r="AI337" s="132"/>
      <c r="AJ337" s="95"/>
      <c r="AK337" s="95"/>
      <c r="AL337" s="95"/>
      <c r="AM337" s="95"/>
      <c r="AN337" s="132"/>
      <c r="AO337" s="132"/>
      <c r="AP337" s="95"/>
      <c r="AQ337" s="132"/>
      <c r="AR337" s="132"/>
    </row>
    <row r="338" spans="25:44" s="82" customFormat="1" x14ac:dyDescent="0.2">
      <c r="Y338" s="132"/>
      <c r="Z338" s="132"/>
      <c r="AA338" s="132"/>
      <c r="AB338" s="95"/>
      <c r="AC338" s="126"/>
      <c r="AD338" s="340"/>
      <c r="AE338" s="132"/>
      <c r="AF338" s="132"/>
      <c r="AG338" s="132"/>
      <c r="AH338" s="132"/>
      <c r="AI338" s="132"/>
      <c r="AJ338" s="95"/>
      <c r="AK338" s="95"/>
      <c r="AL338" s="95"/>
      <c r="AM338" s="95"/>
      <c r="AN338" s="132"/>
      <c r="AO338" s="132"/>
      <c r="AP338" s="95"/>
      <c r="AQ338" s="132"/>
      <c r="AR338" s="132"/>
    </row>
    <row r="339" spans="25:44" s="82" customFormat="1" x14ac:dyDescent="0.2">
      <c r="Y339" s="132"/>
      <c r="Z339" s="132"/>
      <c r="AA339" s="132"/>
      <c r="AB339" s="95"/>
      <c r="AC339" s="126"/>
      <c r="AD339" s="340"/>
      <c r="AE339" s="132"/>
      <c r="AF339" s="132"/>
      <c r="AG339" s="132"/>
      <c r="AH339" s="132"/>
      <c r="AI339" s="132"/>
      <c r="AJ339" s="95"/>
      <c r="AK339" s="95"/>
      <c r="AL339" s="95"/>
      <c r="AM339" s="95"/>
      <c r="AN339" s="132"/>
      <c r="AO339" s="132"/>
      <c r="AP339" s="95"/>
      <c r="AQ339" s="132"/>
      <c r="AR339" s="132"/>
    </row>
    <row r="340" spans="25:44" s="82" customFormat="1" x14ac:dyDescent="0.2">
      <c r="Y340" s="132"/>
      <c r="Z340" s="132"/>
      <c r="AA340" s="132"/>
      <c r="AB340" s="95"/>
      <c r="AC340" s="126"/>
      <c r="AD340" s="340"/>
      <c r="AE340" s="132"/>
      <c r="AF340" s="132"/>
      <c r="AG340" s="132"/>
      <c r="AH340" s="132"/>
      <c r="AI340" s="132"/>
      <c r="AJ340" s="95"/>
      <c r="AK340" s="95"/>
      <c r="AL340" s="95"/>
      <c r="AM340" s="95"/>
      <c r="AN340" s="132"/>
      <c r="AO340" s="132"/>
      <c r="AP340" s="95"/>
      <c r="AQ340" s="132"/>
      <c r="AR340" s="132"/>
    </row>
    <row r="341" spans="25:44" s="82" customFormat="1" x14ac:dyDescent="0.2">
      <c r="Y341" s="132"/>
      <c r="Z341" s="132"/>
      <c r="AA341" s="132"/>
      <c r="AB341" s="95"/>
      <c r="AC341" s="126"/>
      <c r="AD341" s="340"/>
      <c r="AE341" s="132"/>
      <c r="AF341" s="132"/>
      <c r="AG341" s="132"/>
      <c r="AH341" s="132"/>
      <c r="AI341" s="132"/>
      <c r="AJ341" s="95"/>
      <c r="AK341" s="95"/>
      <c r="AL341" s="95"/>
      <c r="AM341" s="95"/>
      <c r="AN341" s="132"/>
      <c r="AO341" s="132"/>
      <c r="AP341" s="95"/>
      <c r="AQ341" s="132"/>
      <c r="AR341" s="132"/>
    </row>
    <row r="342" spans="25:44" s="82" customFormat="1" x14ac:dyDescent="0.2">
      <c r="Y342" s="132"/>
      <c r="Z342" s="132"/>
      <c r="AA342" s="132"/>
      <c r="AB342" s="95"/>
      <c r="AC342" s="126"/>
      <c r="AD342" s="340"/>
      <c r="AE342" s="132"/>
      <c r="AF342" s="132"/>
      <c r="AG342" s="132"/>
      <c r="AH342" s="132"/>
      <c r="AI342" s="132"/>
      <c r="AJ342" s="95"/>
      <c r="AK342" s="95"/>
      <c r="AL342" s="95"/>
      <c r="AM342" s="95"/>
      <c r="AN342" s="132"/>
      <c r="AO342" s="132"/>
      <c r="AP342" s="95"/>
      <c r="AQ342" s="132"/>
      <c r="AR342" s="132"/>
    </row>
    <row r="343" spans="25:44" s="82" customFormat="1" x14ac:dyDescent="0.2">
      <c r="Y343" s="132"/>
      <c r="Z343" s="132"/>
      <c r="AA343" s="132"/>
      <c r="AB343" s="95"/>
      <c r="AC343" s="126"/>
      <c r="AD343" s="340"/>
      <c r="AE343" s="132"/>
      <c r="AF343" s="132"/>
      <c r="AG343" s="132"/>
      <c r="AH343" s="132"/>
      <c r="AI343" s="132"/>
      <c r="AJ343" s="95"/>
      <c r="AK343" s="95"/>
      <c r="AL343" s="95"/>
      <c r="AM343" s="95"/>
      <c r="AN343" s="132"/>
      <c r="AO343" s="132"/>
      <c r="AP343" s="95"/>
      <c r="AQ343" s="132"/>
      <c r="AR343" s="132"/>
    </row>
    <row r="344" spans="25:44" s="82" customFormat="1" x14ac:dyDescent="0.2">
      <c r="Y344" s="132"/>
      <c r="Z344" s="132"/>
      <c r="AA344" s="132"/>
      <c r="AB344" s="95"/>
      <c r="AC344" s="126"/>
      <c r="AD344" s="340"/>
      <c r="AE344" s="132"/>
      <c r="AF344" s="132"/>
      <c r="AG344" s="132"/>
      <c r="AH344" s="132"/>
      <c r="AI344" s="132"/>
      <c r="AJ344" s="95"/>
      <c r="AK344" s="95"/>
      <c r="AL344" s="95"/>
      <c r="AM344" s="95"/>
      <c r="AN344" s="132"/>
      <c r="AO344" s="132"/>
      <c r="AP344" s="95"/>
      <c r="AQ344" s="132"/>
      <c r="AR344" s="132"/>
    </row>
    <row r="345" spans="25:44" s="82" customFormat="1" x14ac:dyDescent="0.2">
      <c r="Y345" s="132"/>
      <c r="Z345" s="132"/>
      <c r="AA345" s="132"/>
      <c r="AB345" s="95"/>
      <c r="AC345" s="126"/>
      <c r="AD345" s="340"/>
      <c r="AE345" s="132"/>
      <c r="AF345" s="132"/>
      <c r="AG345" s="132"/>
      <c r="AH345" s="132"/>
      <c r="AI345" s="132"/>
      <c r="AJ345" s="95"/>
      <c r="AK345" s="95"/>
      <c r="AL345" s="95"/>
      <c r="AM345" s="95"/>
      <c r="AN345" s="132"/>
      <c r="AO345" s="132"/>
      <c r="AP345" s="95"/>
      <c r="AQ345" s="132"/>
      <c r="AR345" s="132"/>
    </row>
    <row r="346" spans="25:44" s="82" customFormat="1" x14ac:dyDescent="0.2">
      <c r="Y346" s="132"/>
      <c r="Z346" s="132"/>
      <c r="AA346" s="132"/>
      <c r="AB346" s="95"/>
      <c r="AC346" s="126"/>
      <c r="AD346" s="340"/>
      <c r="AE346" s="132"/>
      <c r="AF346" s="132"/>
      <c r="AG346" s="132"/>
      <c r="AH346" s="132"/>
      <c r="AI346" s="132"/>
      <c r="AJ346" s="95"/>
      <c r="AK346" s="95"/>
      <c r="AL346" s="95"/>
      <c r="AM346" s="95"/>
      <c r="AN346" s="132"/>
      <c r="AO346" s="132"/>
      <c r="AP346" s="95"/>
      <c r="AQ346" s="132"/>
      <c r="AR346" s="132"/>
    </row>
    <row r="347" spans="25:44" s="82" customFormat="1" x14ac:dyDescent="0.2">
      <c r="Y347" s="132"/>
      <c r="Z347" s="132"/>
      <c r="AA347" s="132"/>
      <c r="AB347" s="95"/>
      <c r="AC347" s="126"/>
      <c r="AD347" s="340"/>
      <c r="AE347" s="132"/>
      <c r="AF347" s="132"/>
      <c r="AG347" s="132"/>
      <c r="AH347" s="132"/>
      <c r="AI347" s="132"/>
      <c r="AJ347" s="95"/>
      <c r="AK347" s="95"/>
      <c r="AL347" s="95"/>
      <c r="AM347" s="95"/>
      <c r="AN347" s="132"/>
      <c r="AO347" s="132"/>
      <c r="AP347" s="95"/>
      <c r="AQ347" s="132"/>
      <c r="AR347" s="132"/>
    </row>
    <row r="348" spans="25:44" s="82" customFormat="1" x14ac:dyDescent="0.2">
      <c r="Y348" s="132"/>
      <c r="Z348" s="132"/>
      <c r="AA348" s="132"/>
      <c r="AB348" s="95"/>
      <c r="AC348" s="126"/>
      <c r="AD348" s="340"/>
      <c r="AE348" s="132"/>
      <c r="AF348" s="132"/>
      <c r="AG348" s="132"/>
      <c r="AH348" s="132"/>
      <c r="AI348" s="132"/>
      <c r="AJ348" s="95"/>
      <c r="AK348" s="95"/>
      <c r="AL348" s="95"/>
      <c r="AM348" s="95"/>
      <c r="AN348" s="132"/>
      <c r="AO348" s="132"/>
      <c r="AP348" s="95"/>
      <c r="AQ348" s="132"/>
      <c r="AR348" s="132"/>
    </row>
    <row r="349" spans="25:44" s="82" customFormat="1" x14ac:dyDescent="0.2">
      <c r="Y349" s="132"/>
      <c r="Z349" s="132"/>
      <c r="AA349" s="132"/>
      <c r="AB349" s="95"/>
      <c r="AC349" s="126"/>
      <c r="AD349" s="340"/>
      <c r="AE349" s="132"/>
      <c r="AF349" s="132"/>
      <c r="AG349" s="132"/>
      <c r="AH349" s="132"/>
      <c r="AI349" s="132"/>
      <c r="AJ349" s="95"/>
      <c r="AK349" s="95"/>
      <c r="AL349" s="95"/>
      <c r="AM349" s="95"/>
      <c r="AN349" s="132"/>
      <c r="AO349" s="132"/>
      <c r="AP349" s="95"/>
      <c r="AQ349" s="132"/>
      <c r="AR349" s="132"/>
    </row>
    <row r="350" spans="25:44" s="82" customFormat="1" x14ac:dyDescent="0.2">
      <c r="Y350" s="132"/>
      <c r="Z350" s="132"/>
      <c r="AA350" s="132"/>
      <c r="AB350" s="95"/>
      <c r="AC350" s="126"/>
      <c r="AD350" s="340"/>
      <c r="AE350" s="132"/>
      <c r="AF350" s="132"/>
      <c r="AG350" s="132"/>
      <c r="AH350" s="132"/>
      <c r="AI350" s="132"/>
      <c r="AJ350" s="95"/>
      <c r="AK350" s="95"/>
      <c r="AL350" s="95"/>
      <c r="AM350" s="95"/>
      <c r="AN350" s="132"/>
      <c r="AO350" s="132"/>
      <c r="AP350" s="95"/>
      <c r="AQ350" s="132"/>
      <c r="AR350" s="132"/>
    </row>
    <row r="351" spans="25:44" s="82" customFormat="1" x14ac:dyDescent="0.2">
      <c r="Y351" s="132"/>
      <c r="Z351" s="132"/>
      <c r="AA351" s="132"/>
      <c r="AB351" s="95"/>
      <c r="AC351" s="126"/>
      <c r="AD351" s="340"/>
      <c r="AE351" s="132"/>
      <c r="AF351" s="132"/>
      <c r="AG351" s="132"/>
      <c r="AH351" s="132"/>
      <c r="AI351" s="132"/>
      <c r="AJ351" s="95"/>
      <c r="AK351" s="95"/>
      <c r="AL351" s="95"/>
      <c r="AM351" s="95"/>
      <c r="AN351" s="132"/>
      <c r="AO351" s="132"/>
      <c r="AP351" s="95"/>
      <c r="AQ351" s="132"/>
      <c r="AR351" s="132"/>
    </row>
    <row r="352" spans="25:44" s="82" customFormat="1" x14ac:dyDescent="0.2">
      <c r="Y352" s="132"/>
      <c r="Z352" s="132"/>
      <c r="AA352" s="132"/>
      <c r="AB352" s="95"/>
      <c r="AC352" s="126"/>
      <c r="AD352" s="340"/>
      <c r="AE352" s="132"/>
      <c r="AF352" s="132"/>
      <c r="AG352" s="132"/>
      <c r="AH352" s="132"/>
      <c r="AI352" s="132"/>
      <c r="AJ352" s="95"/>
      <c r="AK352" s="95"/>
      <c r="AL352" s="95"/>
      <c r="AM352" s="95"/>
      <c r="AN352" s="132"/>
      <c r="AO352" s="132"/>
      <c r="AP352" s="95"/>
      <c r="AQ352" s="132"/>
      <c r="AR352" s="132"/>
    </row>
    <row r="353" spans="25:44" s="82" customFormat="1" x14ac:dyDescent="0.2">
      <c r="Y353" s="132"/>
      <c r="Z353" s="132"/>
      <c r="AA353" s="132"/>
      <c r="AB353" s="95"/>
      <c r="AC353" s="126"/>
      <c r="AD353" s="340"/>
      <c r="AE353" s="132"/>
      <c r="AF353" s="132"/>
      <c r="AG353" s="132"/>
      <c r="AH353" s="132"/>
      <c r="AI353" s="132"/>
      <c r="AJ353" s="95"/>
      <c r="AK353" s="95"/>
      <c r="AL353" s="95"/>
      <c r="AM353" s="95"/>
      <c r="AN353" s="132"/>
      <c r="AO353" s="132"/>
      <c r="AP353" s="95"/>
      <c r="AQ353" s="132"/>
      <c r="AR353" s="132"/>
    </row>
    <row r="354" spans="25:44" s="82" customFormat="1" x14ac:dyDescent="0.2">
      <c r="Y354" s="132"/>
      <c r="Z354" s="132"/>
      <c r="AA354" s="132"/>
      <c r="AB354" s="95"/>
      <c r="AC354" s="126"/>
      <c r="AD354" s="340"/>
      <c r="AE354" s="132"/>
      <c r="AF354" s="132"/>
      <c r="AG354" s="132"/>
      <c r="AH354" s="132"/>
      <c r="AI354" s="132"/>
      <c r="AJ354" s="95"/>
      <c r="AK354" s="95"/>
      <c r="AL354" s="95"/>
      <c r="AM354" s="95"/>
      <c r="AN354" s="132"/>
      <c r="AO354" s="132"/>
      <c r="AP354" s="95"/>
      <c r="AQ354" s="132"/>
      <c r="AR354" s="132"/>
    </row>
    <row r="355" spans="25:44" s="82" customFormat="1" x14ac:dyDescent="0.2">
      <c r="Y355" s="132"/>
      <c r="Z355" s="132"/>
      <c r="AA355" s="132"/>
      <c r="AB355" s="95"/>
      <c r="AC355" s="126"/>
      <c r="AD355" s="340"/>
      <c r="AE355" s="132"/>
      <c r="AF355" s="132"/>
      <c r="AG355" s="132"/>
      <c r="AH355" s="132"/>
      <c r="AI355" s="132"/>
      <c r="AJ355" s="95"/>
      <c r="AK355" s="95"/>
      <c r="AL355" s="95"/>
      <c r="AM355" s="95"/>
      <c r="AN355" s="132"/>
      <c r="AO355" s="132"/>
      <c r="AP355" s="95"/>
      <c r="AQ355" s="132"/>
      <c r="AR355" s="132"/>
    </row>
    <row r="356" spans="25:44" s="82" customFormat="1" x14ac:dyDescent="0.2">
      <c r="Y356" s="132"/>
      <c r="Z356" s="132"/>
      <c r="AA356" s="132"/>
      <c r="AB356" s="95"/>
      <c r="AC356" s="126"/>
      <c r="AD356" s="340"/>
      <c r="AE356" s="132"/>
      <c r="AF356" s="132"/>
      <c r="AG356" s="132"/>
      <c r="AH356" s="132"/>
      <c r="AI356" s="132"/>
      <c r="AJ356" s="95"/>
      <c r="AK356" s="95"/>
      <c r="AL356" s="95"/>
      <c r="AM356" s="95"/>
      <c r="AN356" s="132"/>
      <c r="AO356" s="132"/>
      <c r="AP356" s="95"/>
      <c r="AQ356" s="132"/>
      <c r="AR356" s="132"/>
    </row>
    <row r="357" spans="25:44" s="82" customFormat="1" x14ac:dyDescent="0.2">
      <c r="Y357" s="132"/>
      <c r="Z357" s="132"/>
      <c r="AA357" s="132"/>
      <c r="AB357" s="95"/>
      <c r="AC357" s="126"/>
      <c r="AD357" s="340"/>
      <c r="AE357" s="132"/>
      <c r="AF357" s="132"/>
      <c r="AG357" s="132"/>
      <c r="AH357" s="132"/>
      <c r="AI357" s="132"/>
      <c r="AJ357" s="95"/>
      <c r="AK357" s="95"/>
      <c r="AL357" s="95"/>
      <c r="AM357" s="95"/>
      <c r="AN357" s="132"/>
      <c r="AO357" s="132"/>
      <c r="AP357" s="95"/>
      <c r="AQ357" s="132"/>
      <c r="AR357" s="132"/>
    </row>
    <row r="358" spans="25:44" s="82" customFormat="1" x14ac:dyDescent="0.2">
      <c r="Y358" s="132"/>
      <c r="Z358" s="132"/>
      <c r="AA358" s="132"/>
      <c r="AB358" s="95"/>
      <c r="AC358" s="126"/>
      <c r="AD358" s="340"/>
      <c r="AE358" s="132"/>
      <c r="AF358" s="132"/>
      <c r="AG358" s="132"/>
      <c r="AH358" s="132"/>
      <c r="AI358" s="132"/>
      <c r="AJ358" s="95"/>
      <c r="AK358" s="95"/>
      <c r="AL358" s="95"/>
      <c r="AM358" s="95"/>
      <c r="AN358" s="132"/>
      <c r="AO358" s="132"/>
      <c r="AP358" s="95"/>
      <c r="AQ358" s="132"/>
      <c r="AR358" s="132"/>
    </row>
    <row r="359" spans="25:44" s="82" customFormat="1" x14ac:dyDescent="0.2">
      <c r="Y359" s="132"/>
      <c r="Z359" s="132"/>
      <c r="AA359" s="132"/>
      <c r="AB359" s="95"/>
      <c r="AC359" s="126"/>
      <c r="AD359" s="340"/>
      <c r="AE359" s="132"/>
      <c r="AF359" s="132"/>
      <c r="AG359" s="132"/>
      <c r="AH359" s="132"/>
      <c r="AI359" s="132"/>
      <c r="AJ359" s="95"/>
      <c r="AK359" s="95"/>
      <c r="AL359" s="95"/>
      <c r="AM359" s="95"/>
      <c r="AN359" s="132"/>
      <c r="AO359" s="132"/>
      <c r="AP359" s="95"/>
      <c r="AQ359" s="132"/>
      <c r="AR359" s="132"/>
    </row>
    <row r="360" spans="25:44" s="82" customFormat="1" x14ac:dyDescent="0.2">
      <c r="Y360" s="132"/>
      <c r="Z360" s="132"/>
      <c r="AA360" s="132"/>
      <c r="AB360" s="95"/>
      <c r="AC360" s="126"/>
      <c r="AD360" s="340"/>
      <c r="AE360" s="132"/>
      <c r="AF360" s="132"/>
      <c r="AG360" s="132"/>
      <c r="AH360" s="132"/>
      <c r="AI360" s="132"/>
      <c r="AJ360" s="95"/>
      <c r="AK360" s="95"/>
      <c r="AL360" s="95"/>
      <c r="AM360" s="95"/>
      <c r="AN360" s="132"/>
      <c r="AO360" s="132"/>
      <c r="AP360" s="95"/>
      <c r="AQ360" s="132"/>
      <c r="AR360" s="132"/>
    </row>
    <row r="361" spans="25:44" s="82" customFormat="1" x14ac:dyDescent="0.2">
      <c r="Y361" s="132"/>
      <c r="Z361" s="132"/>
      <c r="AA361" s="132"/>
      <c r="AB361" s="95"/>
      <c r="AC361" s="126"/>
      <c r="AD361" s="340"/>
      <c r="AE361" s="132"/>
      <c r="AF361" s="132"/>
      <c r="AG361" s="132"/>
      <c r="AH361" s="132"/>
      <c r="AI361" s="132"/>
      <c r="AJ361" s="95"/>
      <c r="AK361" s="95"/>
      <c r="AL361" s="95"/>
      <c r="AM361" s="95"/>
      <c r="AN361" s="132"/>
      <c r="AO361" s="132"/>
      <c r="AP361" s="95"/>
      <c r="AQ361" s="132"/>
      <c r="AR361" s="132"/>
    </row>
    <row r="362" spans="25:44" s="82" customFormat="1" x14ac:dyDescent="0.2">
      <c r="Y362" s="132"/>
      <c r="Z362" s="132"/>
      <c r="AA362" s="132"/>
      <c r="AB362" s="95"/>
      <c r="AC362" s="126"/>
      <c r="AD362" s="340"/>
      <c r="AE362" s="132"/>
      <c r="AF362" s="132"/>
      <c r="AG362" s="132"/>
      <c r="AH362" s="132"/>
      <c r="AI362" s="132"/>
      <c r="AJ362" s="95"/>
      <c r="AK362" s="95"/>
      <c r="AL362" s="95"/>
      <c r="AM362" s="95"/>
      <c r="AN362" s="132"/>
      <c r="AO362" s="132"/>
      <c r="AP362" s="95"/>
      <c r="AQ362" s="132"/>
      <c r="AR362" s="132"/>
    </row>
    <row r="363" spans="25:44" s="82" customFormat="1" x14ac:dyDescent="0.2">
      <c r="Y363" s="132"/>
      <c r="Z363" s="132"/>
      <c r="AA363" s="132"/>
      <c r="AB363" s="95"/>
      <c r="AC363" s="126"/>
      <c r="AD363" s="340"/>
      <c r="AE363" s="132"/>
      <c r="AF363" s="132"/>
      <c r="AG363" s="132"/>
      <c r="AH363" s="132"/>
      <c r="AI363" s="132"/>
      <c r="AJ363" s="95"/>
      <c r="AK363" s="95"/>
      <c r="AL363" s="95"/>
      <c r="AM363" s="95"/>
      <c r="AN363" s="132"/>
      <c r="AO363" s="132"/>
      <c r="AP363" s="95"/>
      <c r="AQ363" s="132"/>
      <c r="AR363" s="132"/>
    </row>
    <row r="364" spans="25:44" s="82" customFormat="1" x14ac:dyDescent="0.2">
      <c r="Y364" s="132"/>
      <c r="Z364" s="132"/>
      <c r="AA364" s="132"/>
      <c r="AB364" s="95"/>
      <c r="AC364" s="126"/>
      <c r="AD364" s="340"/>
      <c r="AE364" s="132"/>
      <c r="AF364" s="132"/>
      <c r="AG364" s="132"/>
      <c r="AH364" s="132"/>
      <c r="AI364" s="132"/>
      <c r="AJ364" s="95"/>
      <c r="AK364" s="95"/>
      <c r="AL364" s="95"/>
      <c r="AM364" s="95"/>
      <c r="AN364" s="132"/>
      <c r="AO364" s="132"/>
      <c r="AP364" s="95"/>
      <c r="AQ364" s="132"/>
      <c r="AR364" s="132"/>
    </row>
    <row r="365" spans="25:44" s="82" customFormat="1" x14ac:dyDescent="0.2">
      <c r="Y365" s="132"/>
      <c r="Z365" s="132"/>
      <c r="AA365" s="132"/>
      <c r="AB365" s="95"/>
      <c r="AC365" s="126"/>
      <c r="AD365" s="340"/>
      <c r="AE365" s="132"/>
      <c r="AF365" s="132"/>
      <c r="AG365" s="132"/>
      <c r="AH365" s="132"/>
      <c r="AI365" s="132"/>
      <c r="AJ365" s="95"/>
      <c r="AK365" s="95"/>
      <c r="AL365" s="95"/>
      <c r="AM365" s="95"/>
      <c r="AN365" s="132"/>
      <c r="AO365" s="132"/>
      <c r="AP365" s="95"/>
      <c r="AQ365" s="132"/>
      <c r="AR365" s="132"/>
    </row>
    <row r="366" spans="25:44" s="82" customFormat="1" x14ac:dyDescent="0.2">
      <c r="Y366" s="132"/>
      <c r="Z366" s="132"/>
      <c r="AA366" s="132"/>
      <c r="AB366" s="95"/>
      <c r="AC366" s="126"/>
      <c r="AD366" s="340"/>
      <c r="AE366" s="132"/>
      <c r="AF366" s="132"/>
      <c r="AG366" s="132"/>
      <c r="AH366" s="132"/>
      <c r="AI366" s="132"/>
      <c r="AJ366" s="95"/>
      <c r="AK366" s="95"/>
      <c r="AL366" s="95"/>
      <c r="AM366" s="95"/>
      <c r="AN366" s="132"/>
      <c r="AO366" s="132"/>
      <c r="AP366" s="95"/>
      <c r="AQ366" s="132"/>
      <c r="AR366" s="132"/>
    </row>
    <row r="367" spans="25:44" s="82" customFormat="1" x14ac:dyDescent="0.2">
      <c r="Y367" s="132"/>
      <c r="Z367" s="132"/>
      <c r="AA367" s="132"/>
      <c r="AB367" s="95"/>
      <c r="AC367" s="126"/>
      <c r="AD367" s="340"/>
      <c r="AE367" s="132"/>
      <c r="AF367" s="132"/>
      <c r="AG367" s="132"/>
      <c r="AH367" s="132"/>
      <c r="AI367" s="132"/>
      <c r="AJ367" s="95"/>
      <c r="AK367" s="95"/>
      <c r="AL367" s="95"/>
      <c r="AM367" s="95"/>
      <c r="AN367" s="132"/>
      <c r="AO367" s="132"/>
      <c r="AP367" s="95"/>
      <c r="AQ367" s="132"/>
      <c r="AR367" s="132"/>
    </row>
    <row r="368" spans="25:44" s="82" customFormat="1" x14ac:dyDescent="0.2">
      <c r="Y368" s="132"/>
      <c r="Z368" s="132"/>
      <c r="AA368" s="132"/>
      <c r="AB368" s="95"/>
      <c r="AC368" s="126"/>
      <c r="AD368" s="340"/>
      <c r="AE368" s="132"/>
      <c r="AF368" s="132"/>
      <c r="AG368" s="132"/>
      <c r="AH368" s="132"/>
      <c r="AI368" s="132"/>
      <c r="AJ368" s="95"/>
      <c r="AK368" s="95"/>
      <c r="AL368" s="95"/>
      <c r="AM368" s="95"/>
      <c r="AN368" s="132"/>
      <c r="AO368" s="132"/>
      <c r="AP368" s="95"/>
      <c r="AQ368" s="132"/>
      <c r="AR368" s="132"/>
    </row>
    <row r="369" spans="25:44" s="82" customFormat="1" x14ac:dyDescent="0.2">
      <c r="Y369" s="132"/>
      <c r="Z369" s="132"/>
      <c r="AA369" s="132"/>
      <c r="AB369" s="95"/>
      <c r="AC369" s="126"/>
      <c r="AD369" s="340"/>
      <c r="AE369" s="132"/>
      <c r="AF369" s="132"/>
      <c r="AG369" s="132"/>
      <c r="AH369" s="132"/>
      <c r="AI369" s="132"/>
      <c r="AJ369" s="95"/>
      <c r="AK369" s="95"/>
      <c r="AL369" s="95"/>
      <c r="AM369" s="95"/>
      <c r="AN369" s="132"/>
      <c r="AO369" s="132"/>
      <c r="AP369" s="95"/>
      <c r="AQ369" s="132"/>
      <c r="AR369" s="132"/>
    </row>
    <row r="370" spans="25:44" s="82" customFormat="1" x14ac:dyDescent="0.2">
      <c r="Y370" s="132"/>
      <c r="Z370" s="132"/>
      <c r="AA370" s="132"/>
      <c r="AB370" s="95"/>
      <c r="AC370" s="126"/>
      <c r="AD370" s="340"/>
      <c r="AE370" s="132"/>
      <c r="AF370" s="132"/>
      <c r="AG370" s="132"/>
      <c r="AH370" s="132"/>
      <c r="AI370" s="132"/>
      <c r="AJ370" s="95"/>
      <c r="AK370" s="95"/>
      <c r="AL370" s="95"/>
      <c r="AM370" s="95"/>
      <c r="AN370" s="132"/>
      <c r="AO370" s="132"/>
      <c r="AP370" s="95"/>
      <c r="AQ370" s="132"/>
      <c r="AR370" s="132"/>
    </row>
    <row r="371" spans="25:44" s="82" customFormat="1" x14ac:dyDescent="0.2">
      <c r="Y371" s="132"/>
      <c r="Z371" s="132"/>
      <c r="AA371" s="132"/>
      <c r="AB371" s="95"/>
      <c r="AC371" s="126"/>
      <c r="AD371" s="340"/>
      <c r="AE371" s="132"/>
      <c r="AF371" s="132"/>
      <c r="AG371" s="132"/>
      <c r="AH371" s="132"/>
      <c r="AI371" s="132"/>
      <c r="AJ371" s="95"/>
      <c r="AK371" s="95"/>
      <c r="AL371" s="95"/>
      <c r="AM371" s="95"/>
      <c r="AN371" s="132"/>
      <c r="AO371" s="132"/>
      <c r="AP371" s="95"/>
      <c r="AQ371" s="132"/>
      <c r="AR371" s="132"/>
    </row>
    <row r="372" spans="25:44" s="82" customFormat="1" x14ac:dyDescent="0.2">
      <c r="Y372" s="132"/>
      <c r="Z372" s="132"/>
      <c r="AA372" s="132"/>
      <c r="AB372" s="95"/>
      <c r="AC372" s="126"/>
      <c r="AD372" s="340"/>
      <c r="AE372" s="132"/>
      <c r="AF372" s="132"/>
      <c r="AG372" s="132"/>
      <c r="AH372" s="132"/>
      <c r="AI372" s="132"/>
      <c r="AJ372" s="95"/>
      <c r="AK372" s="95"/>
      <c r="AL372" s="95"/>
      <c r="AM372" s="95"/>
      <c r="AN372" s="132"/>
      <c r="AO372" s="132"/>
      <c r="AP372" s="95"/>
      <c r="AQ372" s="132"/>
      <c r="AR372" s="132"/>
    </row>
    <row r="373" spans="25:44" s="82" customFormat="1" x14ac:dyDescent="0.2">
      <c r="Y373" s="132"/>
      <c r="Z373" s="132"/>
      <c r="AA373" s="132"/>
      <c r="AB373" s="95"/>
      <c r="AC373" s="126"/>
      <c r="AD373" s="340"/>
      <c r="AE373" s="132"/>
      <c r="AF373" s="132"/>
      <c r="AG373" s="132"/>
      <c r="AH373" s="132"/>
      <c r="AI373" s="132"/>
      <c r="AJ373" s="95"/>
      <c r="AK373" s="95"/>
      <c r="AL373" s="95"/>
      <c r="AM373" s="95"/>
      <c r="AN373" s="132"/>
      <c r="AO373" s="132"/>
      <c r="AP373" s="95"/>
      <c r="AQ373" s="132"/>
      <c r="AR373" s="132"/>
    </row>
    <row r="374" spans="25:44" s="82" customFormat="1" x14ac:dyDescent="0.2">
      <c r="Y374" s="132"/>
      <c r="Z374" s="132"/>
      <c r="AA374" s="132"/>
      <c r="AB374" s="95"/>
      <c r="AC374" s="126"/>
      <c r="AD374" s="340"/>
      <c r="AE374" s="132"/>
      <c r="AF374" s="132"/>
      <c r="AG374" s="132"/>
      <c r="AH374" s="132"/>
      <c r="AI374" s="132"/>
      <c r="AJ374" s="95"/>
      <c r="AK374" s="95"/>
      <c r="AL374" s="95"/>
      <c r="AM374" s="95"/>
      <c r="AN374" s="132"/>
      <c r="AO374" s="132"/>
      <c r="AP374" s="95"/>
      <c r="AQ374" s="132"/>
      <c r="AR374" s="132"/>
    </row>
    <row r="375" spans="25:44" s="82" customFormat="1" x14ac:dyDescent="0.2">
      <c r="Y375" s="132"/>
      <c r="Z375" s="132"/>
      <c r="AA375" s="132"/>
      <c r="AB375" s="95"/>
      <c r="AC375" s="126"/>
      <c r="AD375" s="340"/>
      <c r="AE375" s="132"/>
      <c r="AF375" s="132"/>
      <c r="AG375" s="132"/>
      <c r="AH375" s="132"/>
      <c r="AI375" s="132"/>
      <c r="AJ375" s="95"/>
      <c r="AK375" s="95"/>
      <c r="AL375" s="95"/>
      <c r="AM375" s="95"/>
      <c r="AN375" s="132"/>
      <c r="AO375" s="132"/>
      <c r="AP375" s="95"/>
      <c r="AQ375" s="132"/>
      <c r="AR375" s="132"/>
    </row>
    <row r="376" spans="25:44" s="82" customFormat="1" x14ac:dyDescent="0.2">
      <c r="Y376" s="132"/>
      <c r="Z376" s="132"/>
      <c r="AA376" s="132"/>
      <c r="AB376" s="95"/>
      <c r="AC376" s="126"/>
      <c r="AD376" s="340"/>
      <c r="AE376" s="132"/>
      <c r="AF376" s="132"/>
      <c r="AG376" s="132"/>
      <c r="AH376" s="132"/>
      <c r="AI376" s="132"/>
      <c r="AJ376" s="95"/>
      <c r="AK376" s="95"/>
      <c r="AL376" s="95"/>
      <c r="AM376" s="95"/>
      <c r="AN376" s="132"/>
      <c r="AO376" s="132"/>
      <c r="AP376" s="95"/>
      <c r="AQ376" s="132"/>
      <c r="AR376" s="132"/>
    </row>
    <row r="377" spans="25:44" s="82" customFormat="1" x14ac:dyDescent="0.2">
      <c r="Y377" s="132"/>
      <c r="Z377" s="132"/>
      <c r="AA377" s="132"/>
      <c r="AB377" s="95"/>
      <c r="AC377" s="126"/>
      <c r="AD377" s="340"/>
      <c r="AE377" s="132"/>
      <c r="AF377" s="132"/>
      <c r="AG377" s="132"/>
      <c r="AH377" s="132"/>
      <c r="AI377" s="132"/>
      <c r="AJ377" s="95"/>
      <c r="AK377" s="95"/>
      <c r="AL377" s="95"/>
      <c r="AM377" s="95"/>
      <c r="AN377" s="132"/>
      <c r="AO377" s="132"/>
      <c r="AP377" s="95"/>
      <c r="AQ377" s="132"/>
      <c r="AR377" s="132"/>
    </row>
    <row r="378" spans="25:44" s="82" customFormat="1" x14ac:dyDescent="0.2">
      <c r="Y378" s="132"/>
      <c r="Z378" s="132"/>
      <c r="AA378" s="132"/>
      <c r="AB378" s="95"/>
      <c r="AC378" s="126"/>
      <c r="AD378" s="340"/>
      <c r="AE378" s="132"/>
      <c r="AF378" s="132"/>
      <c r="AG378" s="132"/>
      <c r="AH378" s="132"/>
      <c r="AI378" s="132"/>
      <c r="AJ378" s="95"/>
      <c r="AK378" s="95"/>
      <c r="AL378" s="95"/>
      <c r="AM378" s="95"/>
      <c r="AN378" s="132"/>
      <c r="AO378" s="132"/>
      <c r="AP378" s="95"/>
      <c r="AQ378" s="132"/>
      <c r="AR378" s="132"/>
    </row>
    <row r="379" spans="25:44" s="82" customFormat="1" x14ac:dyDescent="0.2">
      <c r="Y379" s="132"/>
      <c r="Z379" s="132"/>
      <c r="AA379" s="132"/>
      <c r="AB379" s="95"/>
      <c r="AC379" s="126"/>
      <c r="AD379" s="340"/>
      <c r="AE379" s="132"/>
      <c r="AF379" s="132"/>
      <c r="AG379" s="132"/>
      <c r="AH379" s="132"/>
      <c r="AI379" s="132"/>
      <c r="AJ379" s="95"/>
      <c r="AK379" s="95"/>
      <c r="AL379" s="95"/>
      <c r="AM379" s="95"/>
      <c r="AN379" s="132"/>
      <c r="AO379" s="132"/>
      <c r="AP379" s="95"/>
      <c r="AQ379" s="132"/>
      <c r="AR379" s="132"/>
    </row>
    <row r="380" spans="25:44" s="82" customFormat="1" x14ac:dyDescent="0.2">
      <c r="Y380" s="132"/>
      <c r="Z380" s="132"/>
      <c r="AA380" s="132"/>
      <c r="AB380" s="95"/>
      <c r="AC380" s="126"/>
      <c r="AD380" s="340"/>
      <c r="AE380" s="132"/>
      <c r="AF380" s="132"/>
      <c r="AG380" s="132"/>
      <c r="AH380" s="132"/>
      <c r="AI380" s="132"/>
      <c r="AJ380" s="95"/>
      <c r="AK380" s="95"/>
      <c r="AL380" s="95"/>
      <c r="AM380" s="95"/>
      <c r="AN380" s="132"/>
      <c r="AO380" s="132"/>
      <c r="AP380" s="95"/>
      <c r="AQ380" s="132"/>
      <c r="AR380" s="132"/>
    </row>
    <row r="381" spans="25:44" s="82" customFormat="1" x14ac:dyDescent="0.2">
      <c r="Y381" s="132"/>
      <c r="Z381" s="132"/>
      <c r="AA381" s="132"/>
      <c r="AB381" s="95"/>
      <c r="AC381" s="126"/>
      <c r="AD381" s="340"/>
      <c r="AE381" s="132"/>
      <c r="AF381" s="132"/>
      <c r="AG381" s="132"/>
      <c r="AH381" s="132"/>
      <c r="AI381" s="132"/>
      <c r="AJ381" s="95"/>
      <c r="AK381" s="95"/>
      <c r="AL381" s="95"/>
      <c r="AM381" s="95"/>
      <c r="AN381" s="132"/>
      <c r="AO381" s="132"/>
      <c r="AP381" s="95"/>
      <c r="AQ381" s="132"/>
      <c r="AR381" s="132"/>
    </row>
    <row r="382" spans="25:44" s="82" customFormat="1" x14ac:dyDescent="0.2">
      <c r="Y382" s="132"/>
      <c r="Z382" s="132"/>
      <c r="AA382" s="132"/>
      <c r="AB382" s="95"/>
      <c r="AC382" s="126"/>
      <c r="AD382" s="340"/>
      <c r="AE382" s="132"/>
      <c r="AF382" s="132"/>
      <c r="AG382" s="132"/>
      <c r="AH382" s="132"/>
      <c r="AI382" s="132"/>
      <c r="AJ382" s="95"/>
      <c r="AK382" s="95"/>
      <c r="AL382" s="95"/>
      <c r="AM382" s="95"/>
      <c r="AN382" s="132"/>
      <c r="AO382" s="132"/>
      <c r="AP382" s="95"/>
      <c r="AQ382" s="132"/>
      <c r="AR382" s="132"/>
    </row>
    <row r="383" spans="25:44" s="82" customFormat="1" x14ac:dyDescent="0.2">
      <c r="Y383" s="132"/>
      <c r="Z383" s="132"/>
      <c r="AA383" s="132"/>
      <c r="AB383" s="95"/>
      <c r="AC383" s="126"/>
      <c r="AD383" s="340"/>
      <c r="AE383" s="132"/>
      <c r="AF383" s="132"/>
      <c r="AG383" s="132"/>
      <c r="AH383" s="132"/>
      <c r="AI383" s="132"/>
      <c r="AJ383" s="95"/>
      <c r="AK383" s="95"/>
      <c r="AL383" s="95"/>
      <c r="AM383" s="95"/>
      <c r="AN383" s="132"/>
      <c r="AO383" s="132"/>
      <c r="AP383" s="95"/>
      <c r="AQ383" s="132"/>
      <c r="AR383" s="132"/>
    </row>
    <row r="384" spans="25:44" s="82" customFormat="1" x14ac:dyDescent="0.2">
      <c r="Y384" s="132"/>
      <c r="Z384" s="132"/>
      <c r="AA384" s="132"/>
      <c r="AB384" s="95"/>
      <c r="AC384" s="126"/>
      <c r="AD384" s="340"/>
      <c r="AE384" s="132"/>
      <c r="AF384" s="132"/>
      <c r="AG384" s="132"/>
      <c r="AH384" s="132"/>
      <c r="AI384" s="132"/>
      <c r="AJ384" s="95"/>
      <c r="AK384" s="95"/>
      <c r="AL384" s="95"/>
      <c r="AM384" s="95"/>
      <c r="AN384" s="132"/>
      <c r="AO384" s="132"/>
      <c r="AP384" s="95"/>
      <c r="AQ384" s="132"/>
      <c r="AR384" s="132"/>
    </row>
    <row r="385" spans="25:44" s="82" customFormat="1" x14ac:dyDescent="0.2">
      <c r="Y385" s="132"/>
      <c r="Z385" s="132"/>
      <c r="AA385" s="132"/>
      <c r="AB385" s="95"/>
      <c r="AC385" s="126"/>
      <c r="AD385" s="340"/>
      <c r="AE385" s="132"/>
      <c r="AF385" s="132"/>
      <c r="AG385" s="132"/>
      <c r="AH385" s="132"/>
      <c r="AI385" s="132"/>
      <c r="AJ385" s="95"/>
      <c r="AK385" s="95"/>
      <c r="AL385" s="95"/>
      <c r="AM385" s="95"/>
      <c r="AN385" s="132"/>
      <c r="AO385" s="132"/>
      <c r="AP385" s="95"/>
      <c r="AQ385" s="132"/>
      <c r="AR385" s="132"/>
    </row>
    <row r="386" spans="25:44" s="82" customFormat="1" x14ac:dyDescent="0.2">
      <c r="Y386" s="132"/>
      <c r="Z386" s="132"/>
      <c r="AA386" s="132"/>
      <c r="AB386" s="95"/>
      <c r="AC386" s="126"/>
      <c r="AD386" s="340"/>
      <c r="AE386" s="132"/>
      <c r="AF386" s="132"/>
      <c r="AG386" s="132"/>
      <c r="AH386" s="132"/>
      <c r="AI386" s="132"/>
      <c r="AJ386" s="95"/>
      <c r="AK386" s="95"/>
      <c r="AL386" s="95"/>
      <c r="AM386" s="95"/>
      <c r="AN386" s="132"/>
      <c r="AO386" s="132"/>
      <c r="AP386" s="95"/>
      <c r="AQ386" s="132"/>
      <c r="AR386" s="132"/>
    </row>
    <row r="387" spans="25:44" s="82" customFormat="1" x14ac:dyDescent="0.2">
      <c r="Y387" s="132"/>
      <c r="Z387" s="132"/>
      <c r="AA387" s="132"/>
      <c r="AB387" s="95"/>
      <c r="AC387" s="126"/>
      <c r="AD387" s="340"/>
      <c r="AE387" s="132"/>
      <c r="AF387" s="132"/>
      <c r="AG387" s="132"/>
      <c r="AH387" s="132"/>
      <c r="AI387" s="132"/>
      <c r="AJ387" s="95"/>
      <c r="AK387" s="95"/>
      <c r="AL387" s="95"/>
      <c r="AM387" s="95"/>
      <c r="AN387" s="132"/>
      <c r="AO387" s="132"/>
      <c r="AP387" s="95"/>
      <c r="AQ387" s="132"/>
      <c r="AR387" s="132"/>
    </row>
    <row r="388" spans="25:44" s="82" customFormat="1" x14ac:dyDescent="0.2">
      <c r="Y388" s="132"/>
      <c r="Z388" s="132"/>
      <c r="AA388" s="132"/>
      <c r="AB388" s="95"/>
      <c r="AC388" s="126"/>
      <c r="AD388" s="340"/>
      <c r="AE388" s="132"/>
      <c r="AF388" s="132"/>
      <c r="AG388" s="132"/>
      <c r="AH388" s="132"/>
      <c r="AI388" s="132"/>
      <c r="AJ388" s="95"/>
      <c r="AK388" s="95"/>
      <c r="AL388" s="95"/>
      <c r="AM388" s="95"/>
      <c r="AN388" s="132"/>
      <c r="AO388" s="132"/>
      <c r="AP388" s="95"/>
      <c r="AQ388" s="132"/>
      <c r="AR388" s="132"/>
    </row>
    <row r="389" spans="25:44" s="82" customFormat="1" x14ac:dyDescent="0.2">
      <c r="Y389" s="132"/>
      <c r="Z389" s="132"/>
      <c r="AA389" s="132"/>
      <c r="AB389" s="95"/>
      <c r="AC389" s="126"/>
      <c r="AD389" s="340"/>
      <c r="AE389" s="132"/>
      <c r="AF389" s="132"/>
      <c r="AG389" s="132"/>
      <c r="AH389" s="132"/>
      <c r="AI389" s="132"/>
      <c r="AJ389" s="95"/>
      <c r="AK389" s="95"/>
      <c r="AL389" s="95"/>
      <c r="AM389" s="95"/>
      <c r="AN389" s="132"/>
      <c r="AO389" s="132"/>
      <c r="AP389" s="95"/>
      <c r="AQ389" s="132"/>
      <c r="AR389" s="132"/>
    </row>
    <row r="390" spans="25:44" s="82" customFormat="1" x14ac:dyDescent="0.2">
      <c r="Y390" s="132"/>
      <c r="Z390" s="132"/>
      <c r="AA390" s="132"/>
      <c r="AB390" s="95"/>
      <c r="AC390" s="126"/>
      <c r="AD390" s="340"/>
      <c r="AE390" s="132"/>
      <c r="AF390" s="132"/>
      <c r="AG390" s="132"/>
      <c r="AH390" s="132"/>
      <c r="AI390" s="132"/>
      <c r="AJ390" s="95"/>
      <c r="AK390" s="95"/>
      <c r="AL390" s="95"/>
      <c r="AM390" s="95"/>
      <c r="AN390" s="132"/>
      <c r="AO390" s="132"/>
      <c r="AP390" s="95"/>
      <c r="AQ390" s="132"/>
      <c r="AR390" s="132"/>
    </row>
    <row r="391" spans="25:44" s="82" customFormat="1" x14ac:dyDescent="0.2">
      <c r="Y391" s="132"/>
      <c r="Z391" s="132"/>
      <c r="AA391" s="132"/>
      <c r="AB391" s="95"/>
      <c r="AC391" s="126"/>
      <c r="AD391" s="340"/>
      <c r="AE391" s="132"/>
      <c r="AF391" s="132"/>
      <c r="AG391" s="132"/>
      <c r="AH391" s="132"/>
      <c r="AI391" s="132"/>
      <c r="AJ391" s="95"/>
      <c r="AK391" s="95"/>
      <c r="AL391" s="95"/>
      <c r="AM391" s="95"/>
      <c r="AN391" s="132"/>
      <c r="AO391" s="132"/>
      <c r="AP391" s="95"/>
      <c r="AQ391" s="132"/>
      <c r="AR391" s="132"/>
    </row>
    <row r="392" spans="25:44" s="82" customFormat="1" x14ac:dyDescent="0.2">
      <c r="Y392" s="132"/>
      <c r="Z392" s="132"/>
      <c r="AA392" s="132"/>
      <c r="AB392" s="95"/>
      <c r="AC392" s="126"/>
      <c r="AD392" s="340"/>
      <c r="AE392" s="132"/>
      <c r="AF392" s="132"/>
      <c r="AG392" s="132"/>
      <c r="AH392" s="132"/>
      <c r="AI392" s="132"/>
      <c r="AJ392" s="95"/>
      <c r="AK392" s="95"/>
      <c r="AL392" s="95"/>
      <c r="AM392" s="95"/>
      <c r="AN392" s="132"/>
      <c r="AO392" s="132"/>
      <c r="AP392" s="95"/>
      <c r="AQ392" s="132"/>
      <c r="AR392" s="132"/>
    </row>
    <row r="393" spans="25:44" s="82" customFormat="1" x14ac:dyDescent="0.2">
      <c r="Y393" s="132"/>
      <c r="Z393" s="132"/>
      <c r="AA393" s="132"/>
      <c r="AB393" s="95"/>
      <c r="AC393" s="126"/>
      <c r="AD393" s="340"/>
      <c r="AE393" s="132"/>
      <c r="AF393" s="132"/>
      <c r="AG393" s="132"/>
      <c r="AH393" s="132"/>
      <c r="AI393" s="132"/>
      <c r="AJ393" s="95"/>
      <c r="AK393" s="95"/>
      <c r="AL393" s="95"/>
      <c r="AM393" s="95"/>
      <c r="AN393" s="132"/>
      <c r="AO393" s="132"/>
      <c r="AP393" s="95"/>
      <c r="AQ393" s="132"/>
      <c r="AR393" s="132"/>
    </row>
    <row r="394" spans="25:44" s="82" customFormat="1" x14ac:dyDescent="0.2">
      <c r="Y394" s="132"/>
      <c r="Z394" s="132"/>
      <c r="AA394" s="132"/>
      <c r="AB394" s="95"/>
      <c r="AC394" s="126"/>
      <c r="AD394" s="340"/>
      <c r="AE394" s="132"/>
      <c r="AF394" s="132"/>
      <c r="AG394" s="132"/>
      <c r="AH394" s="132"/>
      <c r="AI394" s="132"/>
      <c r="AJ394" s="95"/>
      <c r="AK394" s="95"/>
      <c r="AL394" s="95"/>
      <c r="AM394" s="95"/>
      <c r="AN394" s="132"/>
      <c r="AO394" s="132"/>
      <c r="AP394" s="95"/>
      <c r="AQ394" s="132"/>
      <c r="AR394" s="132"/>
    </row>
    <row r="395" spans="25:44" s="82" customFormat="1" x14ac:dyDescent="0.2">
      <c r="Y395" s="132"/>
      <c r="Z395" s="132"/>
      <c r="AA395" s="132"/>
      <c r="AB395" s="95"/>
      <c r="AC395" s="126"/>
      <c r="AD395" s="340"/>
      <c r="AE395" s="132"/>
      <c r="AF395" s="132"/>
      <c r="AG395" s="132"/>
      <c r="AH395" s="132"/>
      <c r="AI395" s="132"/>
      <c r="AJ395" s="95"/>
      <c r="AK395" s="95"/>
      <c r="AL395" s="95"/>
      <c r="AM395" s="95"/>
      <c r="AN395" s="132"/>
      <c r="AO395" s="132"/>
      <c r="AP395" s="95"/>
      <c r="AQ395" s="132"/>
      <c r="AR395" s="132"/>
    </row>
    <row r="396" spans="25:44" s="82" customFormat="1" x14ac:dyDescent="0.2">
      <c r="Y396" s="132"/>
      <c r="Z396" s="132"/>
      <c r="AA396" s="132"/>
      <c r="AB396" s="95"/>
      <c r="AC396" s="126"/>
      <c r="AD396" s="340"/>
      <c r="AE396" s="132"/>
      <c r="AF396" s="132"/>
      <c r="AG396" s="132"/>
      <c r="AH396" s="132"/>
      <c r="AI396" s="132"/>
      <c r="AJ396" s="95"/>
      <c r="AK396" s="95"/>
      <c r="AL396" s="95"/>
      <c r="AM396" s="95"/>
      <c r="AN396" s="132"/>
      <c r="AO396" s="132"/>
      <c r="AP396" s="95"/>
      <c r="AQ396" s="132"/>
      <c r="AR396" s="132"/>
    </row>
    <row r="397" spans="25:44" s="82" customFormat="1" x14ac:dyDescent="0.2">
      <c r="Y397" s="132"/>
      <c r="Z397" s="132"/>
      <c r="AA397" s="132"/>
      <c r="AB397" s="95"/>
      <c r="AC397" s="126"/>
      <c r="AD397" s="340"/>
      <c r="AE397" s="132"/>
      <c r="AF397" s="132"/>
      <c r="AG397" s="132"/>
      <c r="AH397" s="132"/>
      <c r="AI397" s="132"/>
      <c r="AJ397" s="95"/>
      <c r="AK397" s="95"/>
      <c r="AL397" s="95"/>
      <c r="AM397" s="95"/>
      <c r="AN397" s="132"/>
      <c r="AO397" s="132"/>
      <c r="AP397" s="95"/>
      <c r="AQ397" s="132"/>
      <c r="AR397" s="132"/>
    </row>
    <row r="398" spans="25:44" s="82" customFormat="1" x14ac:dyDescent="0.2">
      <c r="Y398" s="132"/>
      <c r="Z398" s="132"/>
      <c r="AA398" s="132"/>
      <c r="AB398" s="95"/>
      <c r="AC398" s="126"/>
      <c r="AD398" s="340"/>
      <c r="AE398" s="132"/>
      <c r="AF398" s="132"/>
      <c r="AG398" s="132"/>
      <c r="AH398" s="132"/>
      <c r="AI398" s="132"/>
      <c r="AJ398" s="95"/>
      <c r="AK398" s="95"/>
      <c r="AL398" s="95"/>
      <c r="AM398" s="95"/>
      <c r="AN398" s="132"/>
      <c r="AO398" s="132"/>
      <c r="AP398" s="95"/>
      <c r="AQ398" s="132"/>
      <c r="AR398" s="132"/>
    </row>
    <row r="399" spans="25:44" s="82" customFormat="1" x14ac:dyDescent="0.2">
      <c r="Y399" s="132"/>
      <c r="Z399" s="132"/>
      <c r="AA399" s="132"/>
      <c r="AB399" s="95"/>
      <c r="AC399" s="126"/>
      <c r="AD399" s="340"/>
      <c r="AE399" s="132"/>
      <c r="AF399" s="132"/>
      <c r="AG399" s="132"/>
      <c r="AH399" s="132"/>
      <c r="AI399" s="132"/>
      <c r="AJ399" s="95"/>
      <c r="AK399" s="95"/>
      <c r="AL399" s="95"/>
      <c r="AM399" s="95"/>
      <c r="AN399" s="132"/>
      <c r="AO399" s="132"/>
      <c r="AP399" s="95"/>
      <c r="AQ399" s="132"/>
      <c r="AR399" s="132"/>
    </row>
    <row r="400" spans="25:44" s="82" customFormat="1" x14ac:dyDescent="0.2">
      <c r="Y400" s="132"/>
      <c r="Z400" s="132"/>
      <c r="AA400" s="132"/>
      <c r="AB400" s="95"/>
      <c r="AC400" s="126"/>
      <c r="AD400" s="340"/>
      <c r="AE400" s="132"/>
      <c r="AF400" s="132"/>
      <c r="AG400" s="132"/>
      <c r="AH400" s="132"/>
      <c r="AI400" s="132"/>
      <c r="AJ400" s="95"/>
      <c r="AK400" s="95"/>
      <c r="AL400" s="95"/>
      <c r="AM400" s="95"/>
      <c r="AN400" s="132"/>
      <c r="AO400" s="132"/>
      <c r="AP400" s="95"/>
      <c r="AQ400" s="132"/>
      <c r="AR400" s="132"/>
    </row>
    <row r="401" spans="25:44" s="82" customFormat="1" x14ac:dyDescent="0.2">
      <c r="Y401" s="132"/>
      <c r="Z401" s="132"/>
      <c r="AA401" s="132"/>
      <c r="AB401" s="95"/>
      <c r="AC401" s="126"/>
      <c r="AD401" s="340"/>
      <c r="AE401" s="132"/>
      <c r="AF401" s="132"/>
      <c r="AG401" s="132"/>
      <c r="AH401" s="132"/>
      <c r="AI401" s="132"/>
      <c r="AJ401" s="95"/>
      <c r="AK401" s="95"/>
      <c r="AL401" s="95"/>
      <c r="AM401" s="95"/>
      <c r="AN401" s="132"/>
      <c r="AO401" s="132"/>
      <c r="AP401" s="95"/>
      <c r="AQ401" s="132"/>
      <c r="AR401" s="132"/>
    </row>
    <row r="402" spans="25:44" s="82" customFormat="1" x14ac:dyDescent="0.2">
      <c r="Y402" s="132"/>
      <c r="Z402" s="132"/>
      <c r="AA402" s="132"/>
      <c r="AB402" s="95"/>
      <c r="AC402" s="126"/>
      <c r="AD402" s="340"/>
      <c r="AE402" s="132"/>
      <c r="AF402" s="132"/>
      <c r="AG402" s="132"/>
      <c r="AH402" s="132"/>
      <c r="AI402" s="132"/>
      <c r="AJ402" s="95"/>
      <c r="AK402" s="95"/>
      <c r="AL402" s="95"/>
      <c r="AM402" s="95"/>
      <c r="AN402" s="132"/>
      <c r="AO402" s="132"/>
      <c r="AP402" s="95"/>
      <c r="AQ402" s="132"/>
      <c r="AR402" s="132"/>
    </row>
    <row r="403" spans="25:44" s="82" customFormat="1" x14ac:dyDescent="0.2">
      <c r="Y403" s="132"/>
      <c r="Z403" s="132"/>
      <c r="AA403" s="132"/>
      <c r="AB403" s="95"/>
      <c r="AC403" s="126"/>
      <c r="AD403" s="340"/>
      <c r="AE403" s="132"/>
      <c r="AF403" s="132"/>
      <c r="AG403" s="132"/>
      <c r="AH403" s="132"/>
      <c r="AI403" s="132"/>
      <c r="AJ403" s="95"/>
      <c r="AK403" s="95"/>
      <c r="AL403" s="95"/>
      <c r="AM403" s="95"/>
      <c r="AN403" s="132"/>
      <c r="AO403" s="132"/>
      <c r="AP403" s="95"/>
      <c r="AQ403" s="132"/>
      <c r="AR403" s="132"/>
    </row>
    <row r="404" spans="25:44" s="82" customFormat="1" x14ac:dyDescent="0.2">
      <c r="Y404" s="132"/>
      <c r="Z404" s="132"/>
      <c r="AA404" s="132"/>
      <c r="AB404" s="95"/>
      <c r="AC404" s="126"/>
      <c r="AD404" s="340"/>
      <c r="AE404" s="132"/>
      <c r="AF404" s="132"/>
      <c r="AG404" s="132"/>
      <c r="AH404" s="132"/>
      <c r="AI404" s="132"/>
      <c r="AJ404" s="95"/>
      <c r="AK404" s="95"/>
      <c r="AL404" s="95"/>
      <c r="AM404" s="95"/>
      <c r="AN404" s="132"/>
      <c r="AO404" s="132"/>
      <c r="AP404" s="95"/>
      <c r="AQ404" s="132"/>
      <c r="AR404" s="132"/>
    </row>
    <row r="405" spans="25:44" s="82" customFormat="1" x14ac:dyDescent="0.2">
      <c r="Y405" s="132"/>
      <c r="Z405" s="132"/>
      <c r="AA405" s="132"/>
      <c r="AB405" s="95"/>
      <c r="AC405" s="126"/>
      <c r="AD405" s="340"/>
      <c r="AE405" s="132"/>
      <c r="AF405" s="132"/>
      <c r="AG405" s="132"/>
      <c r="AH405" s="132"/>
      <c r="AI405" s="132"/>
      <c r="AJ405" s="95"/>
      <c r="AK405" s="95"/>
      <c r="AL405" s="95"/>
      <c r="AM405" s="95"/>
      <c r="AN405" s="132"/>
      <c r="AO405" s="132"/>
      <c r="AP405" s="95"/>
      <c r="AQ405" s="132"/>
      <c r="AR405" s="132"/>
    </row>
    <row r="406" spans="25:44" s="82" customFormat="1" x14ac:dyDescent="0.2">
      <c r="Y406" s="132"/>
      <c r="Z406" s="132"/>
      <c r="AA406" s="132"/>
      <c r="AB406" s="95"/>
      <c r="AC406" s="126"/>
      <c r="AD406" s="340"/>
      <c r="AE406" s="132"/>
      <c r="AF406" s="132"/>
      <c r="AG406" s="132"/>
      <c r="AH406" s="132"/>
      <c r="AI406" s="132"/>
      <c r="AJ406" s="95"/>
      <c r="AK406" s="95"/>
      <c r="AL406" s="95"/>
      <c r="AM406" s="95"/>
      <c r="AN406" s="132"/>
      <c r="AO406" s="132"/>
      <c r="AP406" s="95"/>
      <c r="AQ406" s="132"/>
      <c r="AR406" s="132"/>
    </row>
    <row r="407" spans="25:44" s="82" customFormat="1" x14ac:dyDescent="0.2">
      <c r="Y407" s="132"/>
      <c r="Z407" s="132"/>
      <c r="AA407" s="132"/>
      <c r="AB407" s="95"/>
      <c r="AC407" s="126"/>
      <c r="AD407" s="340"/>
      <c r="AE407" s="132"/>
      <c r="AF407" s="132"/>
      <c r="AG407" s="132"/>
      <c r="AH407" s="132"/>
      <c r="AI407" s="132"/>
      <c r="AJ407" s="95"/>
      <c r="AK407" s="95"/>
      <c r="AL407" s="95"/>
      <c r="AM407" s="95"/>
      <c r="AN407" s="132"/>
      <c r="AO407" s="132"/>
      <c r="AP407" s="95"/>
      <c r="AQ407" s="132"/>
      <c r="AR407" s="132"/>
    </row>
    <row r="408" spans="25:44" s="82" customFormat="1" x14ac:dyDescent="0.2">
      <c r="Y408" s="132"/>
      <c r="Z408" s="132"/>
      <c r="AA408" s="132"/>
      <c r="AB408" s="95"/>
      <c r="AC408" s="126"/>
      <c r="AD408" s="340"/>
      <c r="AE408" s="132"/>
      <c r="AF408" s="132"/>
      <c r="AG408" s="132"/>
      <c r="AH408" s="132"/>
      <c r="AI408" s="132"/>
      <c r="AJ408" s="95"/>
      <c r="AK408" s="95"/>
      <c r="AL408" s="95"/>
      <c r="AM408" s="95"/>
      <c r="AN408" s="132"/>
      <c r="AO408" s="132"/>
      <c r="AP408" s="95"/>
      <c r="AQ408" s="132"/>
      <c r="AR408" s="132"/>
    </row>
    <row r="409" spans="25:44" s="82" customFormat="1" x14ac:dyDescent="0.2">
      <c r="Y409" s="132"/>
      <c r="Z409" s="132"/>
      <c r="AA409" s="132"/>
      <c r="AB409" s="95"/>
      <c r="AC409" s="126"/>
      <c r="AD409" s="340"/>
      <c r="AE409" s="132"/>
      <c r="AF409" s="132"/>
      <c r="AG409" s="132"/>
      <c r="AH409" s="132"/>
      <c r="AI409" s="132"/>
      <c r="AJ409" s="95"/>
      <c r="AK409" s="95"/>
      <c r="AL409" s="95"/>
      <c r="AM409" s="95"/>
      <c r="AN409" s="132"/>
      <c r="AO409" s="132"/>
      <c r="AP409" s="95"/>
      <c r="AQ409" s="132"/>
      <c r="AR409" s="132"/>
    </row>
    <row r="410" spans="25:44" s="82" customFormat="1" x14ac:dyDescent="0.2">
      <c r="Y410" s="132"/>
      <c r="Z410" s="132"/>
      <c r="AA410" s="132"/>
      <c r="AB410" s="95"/>
      <c r="AC410" s="126"/>
      <c r="AD410" s="340"/>
      <c r="AE410" s="132"/>
      <c r="AF410" s="132"/>
      <c r="AG410" s="132"/>
      <c r="AH410" s="132"/>
      <c r="AI410" s="132"/>
      <c r="AJ410" s="95"/>
      <c r="AK410" s="95"/>
      <c r="AL410" s="95"/>
      <c r="AM410" s="95"/>
      <c r="AN410" s="132"/>
      <c r="AO410" s="132"/>
      <c r="AP410" s="95"/>
      <c r="AQ410" s="132"/>
      <c r="AR410" s="132"/>
    </row>
    <row r="411" spans="25:44" s="82" customFormat="1" x14ac:dyDescent="0.2">
      <c r="Y411" s="132"/>
      <c r="Z411" s="132"/>
      <c r="AA411" s="132"/>
      <c r="AB411" s="95"/>
      <c r="AC411" s="126"/>
      <c r="AD411" s="340"/>
      <c r="AE411" s="132"/>
      <c r="AF411" s="132"/>
      <c r="AG411" s="132"/>
      <c r="AH411" s="132"/>
      <c r="AI411" s="132"/>
      <c r="AJ411" s="95"/>
      <c r="AK411" s="95"/>
      <c r="AL411" s="95"/>
      <c r="AM411" s="95"/>
      <c r="AN411" s="132"/>
      <c r="AO411" s="132"/>
      <c r="AP411" s="95"/>
      <c r="AQ411" s="132"/>
      <c r="AR411" s="132"/>
    </row>
    <row r="412" spans="25:44" s="82" customFormat="1" x14ac:dyDescent="0.2">
      <c r="Y412" s="132"/>
      <c r="Z412" s="132"/>
      <c r="AA412" s="132"/>
      <c r="AB412" s="95"/>
      <c r="AC412" s="126"/>
      <c r="AD412" s="340"/>
      <c r="AE412" s="132"/>
      <c r="AF412" s="132"/>
      <c r="AG412" s="132"/>
      <c r="AH412" s="132"/>
      <c r="AI412" s="132"/>
      <c r="AJ412" s="95"/>
      <c r="AK412" s="95"/>
      <c r="AL412" s="95"/>
      <c r="AM412" s="95"/>
      <c r="AN412" s="132"/>
      <c r="AO412" s="132"/>
      <c r="AP412" s="95"/>
      <c r="AQ412" s="132"/>
      <c r="AR412" s="132"/>
    </row>
    <row r="413" spans="25:44" s="82" customFormat="1" x14ac:dyDescent="0.2">
      <c r="Y413" s="132"/>
      <c r="Z413" s="132"/>
      <c r="AA413" s="132"/>
      <c r="AB413" s="95"/>
      <c r="AC413" s="126"/>
      <c r="AD413" s="340"/>
      <c r="AE413" s="132"/>
      <c r="AF413" s="132"/>
      <c r="AG413" s="132"/>
      <c r="AH413" s="132"/>
      <c r="AI413" s="132"/>
      <c r="AJ413" s="95"/>
      <c r="AK413" s="95"/>
      <c r="AL413" s="95"/>
      <c r="AM413" s="95"/>
      <c r="AN413" s="132"/>
      <c r="AO413" s="132"/>
      <c r="AP413" s="95"/>
      <c r="AQ413" s="132"/>
      <c r="AR413" s="132"/>
    </row>
    <row r="414" spans="25:44" s="82" customFormat="1" x14ac:dyDescent="0.2">
      <c r="Y414" s="132"/>
      <c r="Z414" s="132"/>
      <c r="AA414" s="132"/>
      <c r="AB414" s="95"/>
      <c r="AC414" s="126"/>
      <c r="AD414" s="340"/>
      <c r="AE414" s="132"/>
      <c r="AF414" s="132"/>
      <c r="AG414" s="132"/>
      <c r="AH414" s="132"/>
      <c r="AI414" s="132"/>
      <c r="AJ414" s="95"/>
      <c r="AK414" s="95"/>
      <c r="AL414" s="95"/>
      <c r="AM414" s="95"/>
      <c r="AN414" s="132"/>
      <c r="AO414" s="132"/>
      <c r="AP414" s="95"/>
      <c r="AQ414" s="132"/>
      <c r="AR414" s="132"/>
    </row>
    <row r="415" spans="25:44" s="82" customFormat="1" x14ac:dyDescent="0.2">
      <c r="Y415" s="132"/>
      <c r="Z415" s="132"/>
      <c r="AA415" s="132"/>
      <c r="AB415" s="95"/>
      <c r="AC415" s="126"/>
      <c r="AD415" s="340"/>
      <c r="AE415" s="132"/>
      <c r="AF415" s="132"/>
      <c r="AG415" s="132"/>
      <c r="AH415" s="132"/>
      <c r="AI415" s="132"/>
      <c r="AJ415" s="95"/>
      <c r="AK415" s="95"/>
      <c r="AL415" s="95"/>
      <c r="AM415" s="95"/>
      <c r="AN415" s="132"/>
      <c r="AO415" s="132"/>
      <c r="AP415" s="95"/>
      <c r="AQ415" s="132"/>
      <c r="AR415" s="132"/>
    </row>
    <row r="416" spans="25:44" s="82" customFormat="1" x14ac:dyDescent="0.2">
      <c r="Y416" s="132"/>
      <c r="Z416" s="132"/>
      <c r="AA416" s="132"/>
      <c r="AB416" s="95"/>
      <c r="AC416" s="126"/>
      <c r="AD416" s="340"/>
      <c r="AE416" s="132"/>
      <c r="AF416" s="132"/>
      <c r="AG416" s="132"/>
      <c r="AH416" s="132"/>
      <c r="AI416" s="132"/>
      <c r="AJ416" s="95"/>
      <c r="AK416" s="95"/>
      <c r="AL416" s="95"/>
      <c r="AM416" s="95"/>
      <c r="AN416" s="132"/>
      <c r="AO416" s="132"/>
      <c r="AP416" s="95"/>
      <c r="AQ416" s="132"/>
      <c r="AR416" s="132"/>
    </row>
    <row r="417" spans="25:44" s="82" customFormat="1" x14ac:dyDescent="0.2">
      <c r="Y417" s="132"/>
      <c r="Z417" s="132"/>
      <c r="AA417" s="132"/>
      <c r="AB417" s="95"/>
      <c r="AC417" s="126"/>
      <c r="AD417" s="340"/>
      <c r="AE417" s="132"/>
      <c r="AF417" s="132"/>
      <c r="AG417" s="132"/>
      <c r="AH417" s="132"/>
      <c r="AI417" s="132"/>
      <c r="AJ417" s="95"/>
      <c r="AK417" s="95"/>
      <c r="AL417" s="95"/>
      <c r="AM417" s="95"/>
      <c r="AN417" s="132"/>
      <c r="AO417" s="132"/>
      <c r="AP417" s="95"/>
      <c r="AQ417" s="132"/>
      <c r="AR417" s="132"/>
    </row>
    <row r="418" spans="25:44" s="82" customFormat="1" x14ac:dyDescent="0.2">
      <c r="Y418" s="132"/>
      <c r="Z418" s="132"/>
      <c r="AA418" s="132"/>
      <c r="AB418" s="95"/>
      <c r="AC418" s="126"/>
      <c r="AD418" s="340"/>
      <c r="AE418" s="132"/>
      <c r="AF418" s="132"/>
      <c r="AG418" s="132"/>
      <c r="AH418" s="132"/>
      <c r="AI418" s="132"/>
      <c r="AJ418" s="95"/>
      <c r="AK418" s="95"/>
      <c r="AL418" s="95"/>
      <c r="AM418" s="95"/>
      <c r="AN418" s="132"/>
      <c r="AO418" s="132"/>
      <c r="AP418" s="95"/>
      <c r="AQ418" s="132"/>
      <c r="AR418" s="132"/>
    </row>
    <row r="419" spans="25:44" s="82" customFormat="1" x14ac:dyDescent="0.2">
      <c r="Y419" s="132"/>
      <c r="Z419" s="132"/>
      <c r="AA419" s="132"/>
      <c r="AB419" s="95"/>
      <c r="AC419" s="126"/>
      <c r="AD419" s="340"/>
      <c r="AE419" s="132"/>
      <c r="AF419" s="132"/>
      <c r="AG419" s="132"/>
      <c r="AH419" s="132"/>
      <c r="AI419" s="132"/>
      <c r="AJ419" s="95"/>
      <c r="AK419" s="95"/>
      <c r="AL419" s="95"/>
      <c r="AM419" s="95"/>
      <c r="AN419" s="132"/>
      <c r="AO419" s="132"/>
      <c r="AP419" s="95"/>
      <c r="AQ419" s="132"/>
      <c r="AR419" s="132"/>
    </row>
    <row r="420" spans="25:44" s="82" customFormat="1" x14ac:dyDescent="0.2">
      <c r="Y420" s="132"/>
      <c r="Z420" s="132"/>
      <c r="AA420" s="132"/>
      <c r="AB420" s="95"/>
      <c r="AC420" s="126"/>
      <c r="AD420" s="340"/>
      <c r="AE420" s="132"/>
      <c r="AF420" s="132"/>
      <c r="AG420" s="132"/>
      <c r="AH420" s="132"/>
      <c r="AI420" s="132"/>
      <c r="AJ420" s="95"/>
      <c r="AK420" s="95"/>
      <c r="AL420" s="95"/>
      <c r="AM420" s="95"/>
      <c r="AN420" s="132"/>
      <c r="AO420" s="132"/>
      <c r="AP420" s="95"/>
      <c r="AQ420" s="132"/>
      <c r="AR420" s="132"/>
    </row>
    <row r="421" spans="25:44" s="82" customFormat="1" x14ac:dyDescent="0.2">
      <c r="Y421" s="132"/>
      <c r="Z421" s="132"/>
      <c r="AA421" s="132"/>
      <c r="AB421" s="95"/>
      <c r="AC421" s="126"/>
      <c r="AD421" s="340"/>
      <c r="AE421" s="132"/>
      <c r="AF421" s="132"/>
      <c r="AG421" s="132"/>
      <c r="AH421" s="132"/>
      <c r="AI421" s="132"/>
      <c r="AJ421" s="95"/>
      <c r="AK421" s="95"/>
      <c r="AL421" s="95"/>
      <c r="AM421" s="95"/>
      <c r="AN421" s="132"/>
      <c r="AO421" s="132"/>
      <c r="AP421" s="95"/>
      <c r="AQ421" s="132"/>
      <c r="AR421" s="132"/>
    </row>
    <row r="422" spans="25:44" s="82" customFormat="1" x14ac:dyDescent="0.2">
      <c r="Y422" s="132"/>
      <c r="Z422" s="132"/>
      <c r="AA422" s="132"/>
      <c r="AB422" s="95"/>
      <c r="AC422" s="126"/>
      <c r="AD422" s="340"/>
      <c r="AE422" s="132"/>
      <c r="AF422" s="132"/>
      <c r="AG422" s="132"/>
      <c r="AH422" s="132"/>
      <c r="AI422" s="132"/>
      <c r="AJ422" s="95"/>
      <c r="AK422" s="95"/>
      <c r="AL422" s="95"/>
      <c r="AM422" s="95"/>
      <c r="AN422" s="132"/>
      <c r="AO422" s="132"/>
      <c r="AP422" s="95"/>
      <c r="AQ422" s="132"/>
      <c r="AR422" s="132"/>
    </row>
    <row r="423" spans="25:44" s="82" customFormat="1" x14ac:dyDescent="0.2">
      <c r="Y423" s="132"/>
      <c r="Z423" s="132"/>
      <c r="AA423" s="132"/>
      <c r="AB423" s="95"/>
      <c r="AC423" s="126"/>
      <c r="AD423" s="340"/>
      <c r="AE423" s="132"/>
      <c r="AF423" s="132"/>
      <c r="AG423" s="132"/>
      <c r="AH423" s="132"/>
      <c r="AI423" s="132"/>
      <c r="AJ423" s="95"/>
      <c r="AK423" s="95"/>
      <c r="AL423" s="95"/>
      <c r="AM423" s="95"/>
      <c r="AN423" s="132"/>
      <c r="AO423" s="132"/>
      <c r="AP423" s="95"/>
      <c r="AQ423" s="132"/>
      <c r="AR423" s="132"/>
    </row>
    <row r="424" spans="25:44" s="82" customFormat="1" x14ac:dyDescent="0.2">
      <c r="Y424" s="132"/>
      <c r="Z424" s="132"/>
      <c r="AA424" s="132"/>
      <c r="AB424" s="95"/>
      <c r="AC424" s="126"/>
      <c r="AD424" s="340"/>
      <c r="AE424" s="132"/>
      <c r="AF424" s="132"/>
      <c r="AG424" s="132"/>
      <c r="AH424" s="132"/>
      <c r="AI424" s="132"/>
      <c r="AJ424" s="95"/>
      <c r="AK424" s="95"/>
      <c r="AL424" s="95"/>
      <c r="AM424" s="95"/>
      <c r="AN424" s="132"/>
      <c r="AO424" s="132"/>
      <c r="AP424" s="95"/>
      <c r="AQ424" s="132"/>
      <c r="AR424" s="132"/>
    </row>
    <row r="425" spans="25:44" s="82" customFormat="1" x14ac:dyDescent="0.2">
      <c r="Y425" s="132"/>
      <c r="Z425" s="132"/>
      <c r="AA425" s="132"/>
      <c r="AB425" s="95"/>
      <c r="AC425" s="126"/>
      <c r="AD425" s="340"/>
      <c r="AE425" s="132"/>
      <c r="AF425" s="132"/>
      <c r="AG425" s="132"/>
      <c r="AH425" s="132"/>
      <c r="AI425" s="132"/>
      <c r="AJ425" s="95"/>
      <c r="AK425" s="95"/>
      <c r="AL425" s="95"/>
      <c r="AM425" s="95"/>
      <c r="AN425" s="132"/>
      <c r="AO425" s="132"/>
      <c r="AP425" s="95"/>
      <c r="AQ425" s="132"/>
      <c r="AR425" s="132"/>
    </row>
    <row r="426" spans="25:44" s="82" customFormat="1" x14ac:dyDescent="0.2">
      <c r="Y426" s="132"/>
      <c r="Z426" s="132"/>
      <c r="AA426" s="132"/>
      <c r="AB426" s="95"/>
      <c r="AC426" s="126"/>
      <c r="AD426" s="340"/>
      <c r="AE426" s="132"/>
      <c r="AF426" s="132"/>
      <c r="AG426" s="132"/>
      <c r="AH426" s="132"/>
      <c r="AI426" s="132"/>
      <c r="AJ426" s="95"/>
      <c r="AK426" s="95"/>
      <c r="AL426" s="95"/>
      <c r="AM426" s="95"/>
      <c r="AN426" s="132"/>
      <c r="AO426" s="132"/>
      <c r="AP426" s="95"/>
      <c r="AQ426" s="132"/>
      <c r="AR426" s="132"/>
    </row>
    <row r="427" spans="25:44" s="82" customFormat="1" x14ac:dyDescent="0.2">
      <c r="Y427" s="132"/>
      <c r="Z427" s="132"/>
      <c r="AA427" s="132"/>
      <c r="AB427" s="95"/>
      <c r="AC427" s="126"/>
      <c r="AD427" s="340"/>
      <c r="AE427" s="132"/>
      <c r="AF427" s="132"/>
      <c r="AG427" s="132"/>
      <c r="AH427" s="132"/>
      <c r="AI427" s="132"/>
      <c r="AJ427" s="95"/>
      <c r="AK427" s="95"/>
      <c r="AL427" s="95"/>
      <c r="AM427" s="95"/>
      <c r="AN427" s="132"/>
      <c r="AO427" s="132"/>
      <c r="AP427" s="95"/>
      <c r="AQ427" s="132"/>
      <c r="AR427" s="132"/>
    </row>
    <row r="428" spans="25:44" s="82" customFormat="1" x14ac:dyDescent="0.2">
      <c r="Y428" s="132"/>
      <c r="Z428" s="132"/>
      <c r="AA428" s="132"/>
      <c r="AB428" s="95"/>
      <c r="AC428" s="126"/>
      <c r="AD428" s="340"/>
      <c r="AE428" s="132"/>
      <c r="AF428" s="132"/>
      <c r="AG428" s="132"/>
      <c r="AH428" s="132"/>
      <c r="AI428" s="132"/>
      <c r="AJ428" s="95"/>
      <c r="AK428" s="95"/>
      <c r="AL428" s="95"/>
      <c r="AM428" s="95"/>
      <c r="AN428" s="132"/>
      <c r="AO428" s="132"/>
      <c r="AP428" s="95"/>
      <c r="AQ428" s="132"/>
      <c r="AR428" s="132"/>
    </row>
    <row r="429" spans="25:44" s="82" customFormat="1" x14ac:dyDescent="0.2">
      <c r="Y429" s="132"/>
      <c r="Z429" s="132"/>
      <c r="AA429" s="132"/>
      <c r="AB429" s="95"/>
      <c r="AC429" s="126"/>
      <c r="AD429" s="340"/>
      <c r="AE429" s="132"/>
      <c r="AF429" s="132"/>
      <c r="AG429" s="132"/>
      <c r="AH429" s="132"/>
      <c r="AI429" s="132"/>
      <c r="AJ429" s="95"/>
      <c r="AK429" s="95"/>
      <c r="AL429" s="95"/>
      <c r="AM429" s="95"/>
      <c r="AN429" s="132"/>
      <c r="AO429" s="132"/>
      <c r="AP429" s="95"/>
      <c r="AQ429" s="132"/>
      <c r="AR429" s="132"/>
    </row>
    <row r="430" spans="25:44" s="82" customFormat="1" x14ac:dyDescent="0.2">
      <c r="Y430" s="132"/>
      <c r="Z430" s="132"/>
      <c r="AA430" s="132"/>
      <c r="AB430" s="95"/>
      <c r="AC430" s="126"/>
      <c r="AD430" s="340"/>
      <c r="AE430" s="132"/>
      <c r="AF430" s="132"/>
      <c r="AG430" s="132"/>
      <c r="AH430" s="132"/>
      <c r="AI430" s="132"/>
      <c r="AJ430" s="95"/>
      <c r="AK430" s="95"/>
      <c r="AL430" s="95"/>
      <c r="AM430" s="95"/>
      <c r="AN430" s="132"/>
      <c r="AO430" s="132"/>
      <c r="AP430" s="95"/>
      <c r="AQ430" s="132"/>
      <c r="AR430" s="132"/>
    </row>
    <row r="431" spans="25:44" s="82" customFormat="1" x14ac:dyDescent="0.2">
      <c r="Y431" s="132"/>
      <c r="Z431" s="132"/>
      <c r="AA431" s="132"/>
      <c r="AB431" s="95"/>
      <c r="AC431" s="126"/>
      <c r="AD431" s="340"/>
      <c r="AE431" s="132"/>
      <c r="AF431" s="132"/>
      <c r="AG431" s="132"/>
      <c r="AH431" s="132"/>
      <c r="AI431" s="132"/>
      <c r="AJ431" s="95"/>
      <c r="AK431" s="95"/>
      <c r="AL431" s="95"/>
      <c r="AM431" s="95"/>
      <c r="AN431" s="132"/>
      <c r="AO431" s="132"/>
      <c r="AP431" s="95"/>
      <c r="AQ431" s="132"/>
      <c r="AR431" s="132"/>
    </row>
    <row r="432" spans="25:44" s="82" customFormat="1" x14ac:dyDescent="0.2">
      <c r="Y432" s="132"/>
      <c r="Z432" s="132"/>
      <c r="AA432" s="132"/>
      <c r="AB432" s="95"/>
      <c r="AC432" s="126"/>
      <c r="AD432" s="340"/>
      <c r="AE432" s="132"/>
      <c r="AF432" s="132"/>
      <c r="AG432" s="132"/>
      <c r="AH432" s="132"/>
      <c r="AI432" s="132"/>
      <c r="AJ432" s="95"/>
      <c r="AK432" s="95"/>
      <c r="AL432" s="95"/>
      <c r="AM432" s="95"/>
      <c r="AN432" s="132"/>
      <c r="AO432" s="132"/>
      <c r="AP432" s="95"/>
      <c r="AQ432" s="132"/>
      <c r="AR432" s="132"/>
    </row>
    <row r="433" spans="25:44" s="82" customFormat="1" x14ac:dyDescent="0.2">
      <c r="Y433" s="132"/>
      <c r="Z433" s="132"/>
      <c r="AA433" s="132"/>
      <c r="AB433" s="95"/>
      <c r="AC433" s="126"/>
      <c r="AD433" s="340"/>
      <c r="AE433" s="132"/>
      <c r="AF433" s="132"/>
      <c r="AG433" s="132"/>
      <c r="AH433" s="132"/>
      <c r="AI433" s="132"/>
      <c r="AJ433" s="95"/>
      <c r="AK433" s="95"/>
      <c r="AL433" s="95"/>
      <c r="AM433" s="95"/>
      <c r="AN433" s="132"/>
      <c r="AO433" s="132"/>
      <c r="AP433" s="95"/>
      <c r="AQ433" s="132"/>
      <c r="AR433" s="132"/>
    </row>
    <row r="434" spans="25:44" s="82" customFormat="1" x14ac:dyDescent="0.2">
      <c r="Y434" s="132"/>
      <c r="Z434" s="132"/>
      <c r="AA434" s="132"/>
      <c r="AB434" s="95"/>
      <c r="AC434" s="126"/>
      <c r="AD434" s="340"/>
      <c r="AE434" s="132"/>
      <c r="AF434" s="132"/>
      <c r="AG434" s="132"/>
      <c r="AH434" s="132"/>
      <c r="AI434" s="132"/>
      <c r="AJ434" s="95"/>
      <c r="AK434" s="95"/>
      <c r="AL434" s="95"/>
      <c r="AM434" s="95"/>
      <c r="AN434" s="132"/>
      <c r="AO434" s="132"/>
      <c r="AP434" s="95"/>
      <c r="AQ434" s="132"/>
      <c r="AR434" s="132"/>
    </row>
    <row r="435" spans="25:44" s="82" customFormat="1" x14ac:dyDescent="0.2">
      <c r="Y435" s="132"/>
      <c r="Z435" s="132"/>
      <c r="AA435" s="132"/>
      <c r="AB435" s="95"/>
      <c r="AC435" s="126"/>
      <c r="AD435" s="340"/>
      <c r="AE435" s="132"/>
      <c r="AF435" s="132"/>
      <c r="AG435" s="132"/>
      <c r="AH435" s="132"/>
      <c r="AI435" s="132"/>
      <c r="AJ435" s="95"/>
      <c r="AK435" s="95"/>
      <c r="AL435" s="95"/>
      <c r="AM435" s="95"/>
      <c r="AN435" s="132"/>
      <c r="AO435" s="132"/>
      <c r="AP435" s="95"/>
      <c r="AQ435" s="132"/>
      <c r="AR435" s="132"/>
    </row>
    <row r="436" spans="25:44" s="82" customFormat="1" x14ac:dyDescent="0.2">
      <c r="Y436" s="132"/>
      <c r="Z436" s="132"/>
      <c r="AA436" s="132"/>
      <c r="AB436" s="95"/>
      <c r="AC436" s="126"/>
      <c r="AD436" s="340"/>
      <c r="AE436" s="132"/>
      <c r="AF436" s="132"/>
      <c r="AG436" s="132"/>
      <c r="AH436" s="132"/>
      <c r="AI436" s="132"/>
      <c r="AJ436" s="95"/>
      <c r="AK436" s="95"/>
      <c r="AL436" s="95"/>
      <c r="AM436" s="95"/>
      <c r="AN436" s="132"/>
      <c r="AO436" s="132"/>
      <c r="AP436" s="95"/>
      <c r="AQ436" s="132"/>
      <c r="AR436" s="132"/>
    </row>
    <row r="437" spans="25:44" s="82" customFormat="1" x14ac:dyDescent="0.2">
      <c r="Y437" s="132"/>
      <c r="Z437" s="132"/>
      <c r="AA437" s="132"/>
      <c r="AB437" s="95"/>
      <c r="AC437" s="126"/>
      <c r="AD437" s="340"/>
      <c r="AE437" s="132"/>
      <c r="AF437" s="132"/>
      <c r="AG437" s="132"/>
      <c r="AH437" s="132"/>
      <c r="AI437" s="132"/>
      <c r="AJ437" s="95"/>
      <c r="AK437" s="95"/>
      <c r="AL437" s="95"/>
      <c r="AM437" s="95"/>
      <c r="AN437" s="132"/>
      <c r="AO437" s="132"/>
      <c r="AP437" s="95"/>
      <c r="AQ437" s="132"/>
      <c r="AR437" s="132"/>
    </row>
    <row r="438" spans="25:44" s="82" customFormat="1" x14ac:dyDescent="0.2">
      <c r="Y438" s="132"/>
      <c r="Z438" s="132"/>
      <c r="AA438" s="132"/>
      <c r="AB438" s="95"/>
      <c r="AC438" s="126"/>
      <c r="AD438" s="340"/>
      <c r="AE438" s="132"/>
      <c r="AF438" s="132"/>
      <c r="AG438" s="132"/>
      <c r="AH438" s="132"/>
      <c r="AI438" s="132"/>
      <c r="AJ438" s="95"/>
      <c r="AK438" s="95"/>
      <c r="AL438" s="95"/>
      <c r="AM438" s="95"/>
      <c r="AN438" s="132"/>
      <c r="AO438" s="132"/>
      <c r="AP438" s="95"/>
      <c r="AQ438" s="132"/>
      <c r="AR438" s="132"/>
    </row>
    <row r="439" spans="25:44" s="82" customFormat="1" x14ac:dyDescent="0.2">
      <c r="Y439" s="132"/>
      <c r="Z439" s="132"/>
      <c r="AA439" s="132"/>
      <c r="AB439" s="95"/>
      <c r="AC439" s="126"/>
      <c r="AD439" s="340"/>
      <c r="AE439" s="132"/>
      <c r="AF439" s="132"/>
      <c r="AG439" s="132"/>
      <c r="AH439" s="132"/>
      <c r="AI439" s="132"/>
      <c r="AJ439" s="95"/>
      <c r="AK439" s="95"/>
      <c r="AL439" s="95"/>
      <c r="AM439" s="95"/>
      <c r="AN439" s="132"/>
      <c r="AO439" s="132"/>
      <c r="AP439" s="95"/>
      <c r="AQ439" s="132"/>
      <c r="AR439" s="132"/>
    </row>
    <row r="440" spans="25:44" s="82" customFormat="1" x14ac:dyDescent="0.2">
      <c r="Y440" s="132"/>
      <c r="Z440" s="132"/>
      <c r="AA440" s="132"/>
      <c r="AB440" s="95"/>
      <c r="AC440" s="126"/>
      <c r="AD440" s="340"/>
      <c r="AE440" s="132"/>
      <c r="AF440" s="132"/>
      <c r="AG440" s="132"/>
      <c r="AH440" s="132"/>
      <c r="AI440" s="132"/>
      <c r="AJ440" s="95"/>
      <c r="AK440" s="95"/>
      <c r="AL440" s="95"/>
      <c r="AM440" s="95"/>
      <c r="AN440" s="132"/>
      <c r="AO440" s="132"/>
      <c r="AP440" s="95"/>
      <c r="AQ440" s="132"/>
      <c r="AR440" s="132"/>
    </row>
    <row r="441" spans="25:44" s="82" customFormat="1" x14ac:dyDescent="0.2">
      <c r="Y441" s="132"/>
      <c r="Z441" s="132"/>
      <c r="AA441" s="132"/>
      <c r="AB441" s="95"/>
      <c r="AC441" s="126"/>
      <c r="AD441" s="340"/>
      <c r="AE441" s="132"/>
      <c r="AF441" s="132"/>
      <c r="AG441" s="132"/>
      <c r="AH441" s="132"/>
      <c r="AI441" s="132"/>
      <c r="AJ441" s="95"/>
      <c r="AK441" s="95"/>
      <c r="AL441" s="95"/>
      <c r="AM441" s="95"/>
      <c r="AN441" s="132"/>
      <c r="AO441" s="132"/>
      <c r="AP441" s="95"/>
      <c r="AQ441" s="132"/>
      <c r="AR441" s="132"/>
    </row>
    <row r="442" spans="25:44" s="82" customFormat="1" x14ac:dyDescent="0.2">
      <c r="Y442" s="132"/>
      <c r="Z442" s="132"/>
      <c r="AA442" s="132"/>
      <c r="AB442" s="95"/>
      <c r="AC442" s="126"/>
      <c r="AD442" s="340"/>
      <c r="AE442" s="132"/>
      <c r="AF442" s="132"/>
      <c r="AG442" s="132"/>
      <c r="AH442" s="132"/>
      <c r="AI442" s="132"/>
      <c r="AJ442" s="95"/>
      <c r="AK442" s="95"/>
      <c r="AL442" s="95"/>
      <c r="AM442" s="95"/>
      <c r="AN442" s="132"/>
      <c r="AO442" s="132"/>
      <c r="AP442" s="95"/>
      <c r="AQ442" s="132"/>
      <c r="AR442" s="132"/>
    </row>
    <row r="443" spans="25:44" s="82" customFormat="1" x14ac:dyDescent="0.2">
      <c r="Y443" s="132"/>
      <c r="Z443" s="132"/>
      <c r="AA443" s="132"/>
      <c r="AB443" s="95"/>
      <c r="AC443" s="126"/>
      <c r="AD443" s="340"/>
      <c r="AE443" s="132"/>
      <c r="AF443" s="132"/>
      <c r="AG443" s="132"/>
      <c r="AH443" s="132"/>
      <c r="AI443" s="132"/>
      <c r="AJ443" s="95"/>
      <c r="AK443" s="95"/>
      <c r="AL443" s="95"/>
      <c r="AM443" s="95"/>
      <c r="AN443" s="132"/>
      <c r="AO443" s="132"/>
      <c r="AP443" s="95"/>
      <c r="AQ443" s="132"/>
      <c r="AR443" s="132"/>
    </row>
    <row r="444" spans="25:44" s="82" customFormat="1" x14ac:dyDescent="0.2">
      <c r="Y444" s="132"/>
      <c r="Z444" s="132"/>
      <c r="AA444" s="132"/>
      <c r="AB444" s="95"/>
      <c r="AC444" s="126"/>
      <c r="AD444" s="340"/>
      <c r="AE444" s="132"/>
      <c r="AF444" s="132"/>
      <c r="AG444" s="132"/>
      <c r="AH444" s="132"/>
      <c r="AI444" s="132"/>
      <c r="AJ444" s="95"/>
      <c r="AK444" s="95"/>
      <c r="AL444" s="95"/>
      <c r="AM444" s="95"/>
      <c r="AN444" s="132"/>
      <c r="AO444" s="132"/>
      <c r="AP444" s="95"/>
      <c r="AQ444" s="132"/>
      <c r="AR444" s="132"/>
    </row>
    <row r="445" spans="25:44" s="82" customFormat="1" x14ac:dyDescent="0.2">
      <c r="Y445" s="132"/>
      <c r="Z445" s="132"/>
      <c r="AA445" s="132"/>
      <c r="AB445" s="95"/>
      <c r="AC445" s="126"/>
      <c r="AD445" s="340"/>
      <c r="AE445" s="132"/>
      <c r="AF445" s="132"/>
      <c r="AG445" s="132"/>
      <c r="AH445" s="132"/>
      <c r="AI445" s="132"/>
      <c r="AJ445" s="95"/>
      <c r="AK445" s="95"/>
      <c r="AL445" s="95"/>
      <c r="AM445" s="95"/>
      <c r="AN445" s="132"/>
      <c r="AO445" s="132"/>
      <c r="AP445" s="95"/>
      <c r="AQ445" s="132"/>
      <c r="AR445" s="132"/>
    </row>
    <row r="446" spans="25:44" s="82" customFormat="1" x14ac:dyDescent="0.2">
      <c r="Y446" s="132"/>
      <c r="Z446" s="132"/>
      <c r="AA446" s="132"/>
      <c r="AB446" s="95"/>
      <c r="AC446" s="126"/>
      <c r="AD446" s="340"/>
      <c r="AE446" s="132"/>
      <c r="AF446" s="132"/>
      <c r="AG446" s="132"/>
      <c r="AH446" s="132"/>
      <c r="AI446" s="132"/>
      <c r="AJ446" s="95"/>
      <c r="AK446" s="95"/>
      <c r="AL446" s="95"/>
      <c r="AM446" s="95"/>
      <c r="AN446" s="132"/>
      <c r="AO446" s="132"/>
      <c r="AP446" s="95"/>
      <c r="AQ446" s="132"/>
      <c r="AR446" s="132"/>
    </row>
    <row r="447" spans="25:44" s="82" customFormat="1" x14ac:dyDescent="0.2">
      <c r="Y447" s="132"/>
      <c r="Z447" s="132"/>
      <c r="AA447" s="132"/>
      <c r="AB447" s="95"/>
      <c r="AC447" s="126"/>
      <c r="AD447" s="340"/>
      <c r="AE447" s="132"/>
      <c r="AF447" s="132"/>
      <c r="AG447" s="132"/>
      <c r="AH447" s="132"/>
      <c r="AI447" s="132"/>
      <c r="AJ447" s="95"/>
      <c r="AK447" s="95"/>
      <c r="AL447" s="95"/>
      <c r="AM447" s="95"/>
      <c r="AN447" s="132"/>
      <c r="AO447" s="132"/>
      <c r="AP447" s="95"/>
      <c r="AQ447" s="132"/>
      <c r="AR447" s="132"/>
    </row>
    <row r="448" spans="25:44" s="82" customFormat="1" x14ac:dyDescent="0.2">
      <c r="Y448" s="132"/>
      <c r="Z448" s="132"/>
      <c r="AA448" s="132"/>
      <c r="AB448" s="95"/>
      <c r="AC448" s="126"/>
      <c r="AD448" s="340"/>
      <c r="AE448" s="132"/>
      <c r="AF448" s="132"/>
      <c r="AG448" s="132"/>
      <c r="AH448" s="132"/>
      <c r="AI448" s="132"/>
      <c r="AJ448" s="95"/>
      <c r="AK448" s="95"/>
      <c r="AL448" s="95"/>
      <c r="AM448" s="95"/>
      <c r="AN448" s="132"/>
      <c r="AO448" s="132"/>
      <c r="AP448" s="95"/>
      <c r="AQ448" s="132"/>
      <c r="AR448" s="132"/>
    </row>
    <row r="449" spans="25:44" s="82" customFormat="1" x14ac:dyDescent="0.2">
      <c r="Y449" s="132"/>
      <c r="Z449" s="132"/>
      <c r="AA449" s="132"/>
      <c r="AB449" s="95"/>
      <c r="AC449" s="126"/>
      <c r="AD449" s="340"/>
      <c r="AE449" s="132"/>
      <c r="AF449" s="132"/>
      <c r="AG449" s="132"/>
      <c r="AH449" s="132"/>
      <c r="AI449" s="132"/>
      <c r="AJ449" s="95"/>
      <c r="AK449" s="95"/>
      <c r="AL449" s="95"/>
      <c r="AM449" s="95"/>
      <c r="AN449" s="132"/>
      <c r="AO449" s="132"/>
      <c r="AP449" s="95"/>
      <c r="AQ449" s="132"/>
      <c r="AR449" s="132"/>
    </row>
    <row r="450" spans="25:44" s="82" customFormat="1" x14ac:dyDescent="0.2">
      <c r="Y450" s="132"/>
      <c r="Z450" s="132"/>
      <c r="AA450" s="132"/>
      <c r="AB450" s="95"/>
      <c r="AC450" s="126"/>
      <c r="AD450" s="340"/>
      <c r="AE450" s="132"/>
      <c r="AF450" s="132"/>
      <c r="AG450" s="132"/>
      <c r="AH450" s="132"/>
      <c r="AI450" s="132"/>
      <c r="AJ450" s="95"/>
      <c r="AK450" s="95"/>
      <c r="AL450" s="95"/>
      <c r="AM450" s="95"/>
      <c r="AN450" s="132"/>
      <c r="AO450" s="132"/>
      <c r="AP450" s="95"/>
      <c r="AQ450" s="132"/>
      <c r="AR450" s="132"/>
    </row>
    <row r="451" spans="25:44" s="82" customFormat="1" x14ac:dyDescent="0.2">
      <c r="Y451" s="132"/>
      <c r="Z451" s="132"/>
      <c r="AA451" s="132"/>
      <c r="AB451" s="95"/>
      <c r="AC451" s="126"/>
      <c r="AD451" s="340"/>
      <c r="AE451" s="132"/>
      <c r="AF451" s="132"/>
      <c r="AG451" s="132"/>
      <c r="AH451" s="132"/>
      <c r="AI451" s="132"/>
      <c r="AJ451" s="95"/>
      <c r="AK451" s="95"/>
      <c r="AL451" s="95"/>
      <c r="AM451" s="95"/>
      <c r="AN451" s="132"/>
      <c r="AO451" s="132"/>
      <c r="AP451" s="95"/>
      <c r="AQ451" s="132"/>
      <c r="AR451" s="132"/>
    </row>
    <row r="452" spans="25:44" s="82" customFormat="1" x14ac:dyDescent="0.2">
      <c r="Y452" s="132"/>
      <c r="Z452" s="132"/>
      <c r="AA452" s="132"/>
      <c r="AB452" s="95"/>
      <c r="AC452" s="126"/>
      <c r="AD452" s="340"/>
      <c r="AE452" s="132"/>
      <c r="AF452" s="132"/>
      <c r="AG452" s="132"/>
      <c r="AH452" s="132"/>
      <c r="AI452" s="132"/>
      <c r="AJ452" s="95"/>
      <c r="AK452" s="95"/>
      <c r="AL452" s="95"/>
      <c r="AM452" s="95"/>
      <c r="AN452" s="132"/>
      <c r="AO452" s="132"/>
      <c r="AP452" s="95"/>
      <c r="AQ452" s="132"/>
      <c r="AR452" s="132"/>
    </row>
    <row r="453" spans="25:44" s="82" customFormat="1" x14ac:dyDescent="0.2">
      <c r="Y453" s="132"/>
      <c r="Z453" s="132"/>
      <c r="AA453" s="132"/>
      <c r="AB453" s="95"/>
      <c r="AC453" s="126"/>
      <c r="AD453" s="340"/>
      <c r="AE453" s="132"/>
      <c r="AF453" s="132"/>
      <c r="AG453" s="132"/>
      <c r="AH453" s="132"/>
      <c r="AI453" s="132"/>
      <c r="AJ453" s="95"/>
      <c r="AK453" s="95"/>
      <c r="AL453" s="95"/>
      <c r="AM453" s="95"/>
      <c r="AN453" s="132"/>
      <c r="AO453" s="132"/>
      <c r="AP453" s="95"/>
      <c r="AQ453" s="132"/>
      <c r="AR453" s="132"/>
    </row>
    <row r="454" spans="25:44" s="82" customFormat="1" x14ac:dyDescent="0.2">
      <c r="Y454" s="132"/>
      <c r="Z454" s="132"/>
      <c r="AA454" s="132"/>
      <c r="AB454" s="95"/>
      <c r="AC454" s="126"/>
      <c r="AD454" s="340"/>
      <c r="AE454" s="132"/>
      <c r="AF454" s="132"/>
      <c r="AG454" s="132"/>
      <c r="AH454" s="132"/>
      <c r="AI454" s="132"/>
      <c r="AJ454" s="95"/>
      <c r="AK454" s="95"/>
      <c r="AL454" s="95"/>
      <c r="AM454" s="95"/>
      <c r="AN454" s="132"/>
      <c r="AO454" s="132"/>
      <c r="AP454" s="95"/>
      <c r="AQ454" s="132"/>
      <c r="AR454" s="132"/>
    </row>
    <row r="455" spans="25:44" s="82" customFormat="1" x14ac:dyDescent="0.2">
      <c r="Y455" s="132"/>
      <c r="Z455" s="132"/>
      <c r="AA455" s="132"/>
      <c r="AB455" s="95"/>
      <c r="AC455" s="126"/>
      <c r="AD455" s="340"/>
      <c r="AE455" s="132"/>
      <c r="AF455" s="132"/>
      <c r="AG455" s="132"/>
      <c r="AH455" s="132"/>
      <c r="AI455" s="132"/>
      <c r="AJ455" s="95"/>
      <c r="AK455" s="95"/>
      <c r="AL455" s="95"/>
      <c r="AM455" s="95"/>
      <c r="AN455" s="132"/>
      <c r="AO455" s="132"/>
      <c r="AP455" s="95"/>
      <c r="AQ455" s="132"/>
      <c r="AR455" s="132"/>
    </row>
    <row r="456" spans="25:44" s="82" customFormat="1" x14ac:dyDescent="0.2">
      <c r="Y456" s="132"/>
      <c r="Z456" s="132"/>
      <c r="AA456" s="132"/>
      <c r="AB456" s="95"/>
      <c r="AC456" s="126"/>
      <c r="AD456" s="340"/>
      <c r="AE456" s="132"/>
      <c r="AF456" s="132"/>
      <c r="AG456" s="132"/>
      <c r="AH456" s="132"/>
      <c r="AI456" s="132"/>
      <c r="AJ456" s="95"/>
      <c r="AK456" s="95"/>
      <c r="AL456" s="95"/>
      <c r="AM456" s="95"/>
      <c r="AN456" s="132"/>
      <c r="AO456" s="132"/>
      <c r="AP456" s="95"/>
      <c r="AQ456" s="132"/>
      <c r="AR456" s="132"/>
    </row>
    <row r="457" spans="25:44" s="82" customFormat="1" x14ac:dyDescent="0.2">
      <c r="Y457" s="132"/>
      <c r="Z457" s="132"/>
      <c r="AA457" s="132"/>
      <c r="AB457" s="95"/>
      <c r="AC457" s="126"/>
      <c r="AD457" s="340"/>
      <c r="AE457" s="132"/>
      <c r="AF457" s="132"/>
      <c r="AG457" s="132"/>
      <c r="AH457" s="132"/>
      <c r="AI457" s="132"/>
      <c r="AJ457" s="95"/>
      <c r="AK457" s="95"/>
      <c r="AL457" s="95"/>
      <c r="AM457" s="95"/>
      <c r="AN457" s="132"/>
      <c r="AO457" s="132"/>
      <c r="AP457" s="95"/>
      <c r="AQ457" s="132"/>
      <c r="AR457" s="132"/>
    </row>
    <row r="458" spans="25:44" s="82" customFormat="1" x14ac:dyDescent="0.2">
      <c r="Y458" s="132"/>
      <c r="Z458" s="132"/>
      <c r="AA458" s="132"/>
      <c r="AB458" s="95"/>
      <c r="AC458" s="126"/>
      <c r="AD458" s="340"/>
      <c r="AE458" s="132"/>
      <c r="AF458" s="132"/>
      <c r="AG458" s="132"/>
      <c r="AH458" s="132"/>
      <c r="AI458" s="132"/>
      <c r="AJ458" s="95"/>
      <c r="AK458" s="95"/>
      <c r="AL458" s="95"/>
      <c r="AM458" s="95"/>
      <c r="AN458" s="132"/>
      <c r="AO458" s="132"/>
      <c r="AP458" s="95"/>
      <c r="AQ458" s="132"/>
      <c r="AR458" s="132"/>
    </row>
    <row r="459" spans="25:44" s="82" customFormat="1" x14ac:dyDescent="0.2">
      <c r="Y459" s="132"/>
      <c r="Z459" s="132"/>
      <c r="AA459" s="132"/>
      <c r="AB459" s="95"/>
      <c r="AC459" s="126"/>
      <c r="AD459" s="340"/>
      <c r="AE459" s="132"/>
      <c r="AF459" s="132"/>
      <c r="AG459" s="132"/>
      <c r="AH459" s="132"/>
      <c r="AI459" s="132"/>
      <c r="AJ459" s="95"/>
      <c r="AK459" s="95"/>
      <c r="AL459" s="95"/>
      <c r="AM459" s="95"/>
      <c r="AN459" s="132"/>
      <c r="AO459" s="132"/>
      <c r="AP459" s="95"/>
      <c r="AQ459" s="132"/>
      <c r="AR459" s="132"/>
    </row>
    <row r="460" spans="25:44" s="82" customFormat="1" x14ac:dyDescent="0.2">
      <c r="Y460" s="132"/>
      <c r="Z460" s="132"/>
      <c r="AA460" s="132"/>
      <c r="AB460" s="95"/>
      <c r="AC460" s="126"/>
      <c r="AD460" s="340"/>
      <c r="AE460" s="132"/>
      <c r="AF460" s="132"/>
      <c r="AG460" s="132"/>
      <c r="AH460" s="132"/>
      <c r="AI460" s="132"/>
      <c r="AJ460" s="95"/>
      <c r="AK460" s="95"/>
      <c r="AL460" s="95"/>
      <c r="AM460" s="95"/>
      <c r="AN460" s="132"/>
      <c r="AO460" s="132"/>
      <c r="AP460" s="95"/>
      <c r="AQ460" s="132"/>
      <c r="AR460" s="132"/>
    </row>
    <row r="461" spans="25:44" s="82" customFormat="1" x14ac:dyDescent="0.2">
      <c r="Y461" s="132"/>
      <c r="Z461" s="132"/>
      <c r="AA461" s="132"/>
      <c r="AB461" s="95"/>
      <c r="AC461" s="126"/>
      <c r="AD461" s="340"/>
      <c r="AE461" s="132"/>
      <c r="AF461" s="132"/>
      <c r="AG461" s="132"/>
      <c r="AH461" s="132"/>
      <c r="AI461" s="132"/>
      <c r="AJ461" s="95"/>
      <c r="AK461" s="95"/>
      <c r="AL461" s="95"/>
      <c r="AM461" s="95"/>
      <c r="AN461" s="132"/>
      <c r="AO461" s="132"/>
      <c r="AP461" s="95"/>
      <c r="AQ461" s="132"/>
      <c r="AR461" s="132"/>
    </row>
    <row r="462" spans="25:44" s="82" customFormat="1" x14ac:dyDescent="0.2">
      <c r="Y462" s="132"/>
      <c r="Z462" s="132"/>
      <c r="AA462" s="132"/>
      <c r="AB462" s="95"/>
      <c r="AC462" s="126"/>
      <c r="AD462" s="340"/>
      <c r="AE462" s="132"/>
      <c r="AF462" s="132"/>
      <c r="AG462" s="132"/>
      <c r="AH462" s="132"/>
      <c r="AI462" s="132"/>
      <c r="AJ462" s="95"/>
      <c r="AK462" s="95"/>
      <c r="AL462" s="95"/>
      <c r="AM462" s="95"/>
      <c r="AN462" s="132"/>
      <c r="AO462" s="132"/>
      <c r="AP462" s="95"/>
      <c r="AQ462" s="132"/>
      <c r="AR462" s="132"/>
    </row>
    <row r="463" spans="25:44" s="82" customFormat="1" x14ac:dyDescent="0.2">
      <c r="Y463" s="132"/>
      <c r="Z463" s="132"/>
      <c r="AA463" s="132"/>
      <c r="AB463" s="95"/>
      <c r="AC463" s="126"/>
      <c r="AD463" s="340"/>
      <c r="AE463" s="132"/>
      <c r="AF463" s="132"/>
      <c r="AG463" s="132"/>
      <c r="AH463" s="132"/>
      <c r="AI463" s="132"/>
      <c r="AJ463" s="95"/>
      <c r="AK463" s="95"/>
      <c r="AL463" s="95"/>
      <c r="AM463" s="95"/>
      <c r="AN463" s="132"/>
      <c r="AO463" s="132"/>
      <c r="AP463" s="95"/>
      <c r="AQ463" s="132"/>
      <c r="AR463" s="132"/>
    </row>
    <row r="464" spans="25:44" s="82" customFormat="1" x14ac:dyDescent="0.2">
      <c r="Y464" s="132"/>
      <c r="Z464" s="132"/>
      <c r="AA464" s="132"/>
      <c r="AB464" s="95"/>
      <c r="AC464" s="126"/>
      <c r="AD464" s="340"/>
      <c r="AE464" s="132"/>
      <c r="AF464" s="132"/>
      <c r="AG464" s="132"/>
      <c r="AH464" s="132"/>
      <c r="AI464" s="132"/>
      <c r="AJ464" s="95"/>
      <c r="AK464" s="95"/>
      <c r="AL464" s="95"/>
      <c r="AM464" s="95"/>
      <c r="AN464" s="132"/>
      <c r="AO464" s="132"/>
      <c r="AP464" s="95"/>
      <c r="AQ464" s="132"/>
      <c r="AR464" s="132"/>
    </row>
    <row r="465" spans="25:44" s="82" customFormat="1" x14ac:dyDescent="0.2">
      <c r="Y465" s="132"/>
      <c r="Z465" s="132"/>
      <c r="AA465" s="132"/>
      <c r="AB465" s="95"/>
      <c r="AC465" s="126"/>
      <c r="AD465" s="340"/>
      <c r="AE465" s="132"/>
      <c r="AF465" s="132"/>
      <c r="AG465" s="132"/>
      <c r="AH465" s="132"/>
      <c r="AI465" s="132"/>
      <c r="AJ465" s="95"/>
      <c r="AK465" s="95"/>
      <c r="AL465" s="95"/>
      <c r="AM465" s="95"/>
      <c r="AN465" s="132"/>
      <c r="AO465" s="132"/>
      <c r="AP465" s="95"/>
      <c r="AQ465" s="132"/>
      <c r="AR465" s="132"/>
    </row>
    <row r="466" spans="25:44" s="82" customFormat="1" x14ac:dyDescent="0.2">
      <c r="Y466" s="132"/>
      <c r="Z466" s="132"/>
      <c r="AA466" s="132"/>
      <c r="AB466" s="95"/>
      <c r="AC466" s="126"/>
      <c r="AD466" s="340"/>
      <c r="AE466" s="132"/>
      <c r="AF466" s="132"/>
      <c r="AG466" s="132"/>
      <c r="AH466" s="132"/>
      <c r="AI466" s="132"/>
      <c r="AJ466" s="95"/>
      <c r="AK466" s="95"/>
      <c r="AL466" s="95"/>
      <c r="AM466" s="95"/>
      <c r="AN466" s="132"/>
      <c r="AO466" s="132"/>
      <c r="AP466" s="95"/>
      <c r="AQ466" s="132"/>
      <c r="AR466" s="132"/>
    </row>
    <row r="467" spans="25:44" s="82" customFormat="1" x14ac:dyDescent="0.2">
      <c r="Y467" s="132"/>
      <c r="Z467" s="132"/>
      <c r="AA467" s="132"/>
      <c r="AB467" s="95"/>
      <c r="AC467" s="126"/>
      <c r="AD467" s="340"/>
      <c r="AE467" s="132"/>
      <c r="AF467" s="132"/>
      <c r="AG467" s="132"/>
      <c r="AH467" s="132"/>
      <c r="AI467" s="132"/>
      <c r="AJ467" s="95"/>
      <c r="AK467" s="95"/>
      <c r="AL467" s="95"/>
      <c r="AM467" s="95"/>
      <c r="AN467" s="132"/>
      <c r="AO467" s="132"/>
      <c r="AP467" s="95"/>
      <c r="AQ467" s="132"/>
      <c r="AR467" s="132"/>
    </row>
    <row r="468" spans="25:44" s="82" customFormat="1" x14ac:dyDescent="0.2">
      <c r="Y468" s="132"/>
      <c r="Z468" s="132"/>
      <c r="AA468" s="132"/>
      <c r="AB468" s="95"/>
      <c r="AC468" s="126"/>
      <c r="AD468" s="340"/>
      <c r="AE468" s="132"/>
      <c r="AF468" s="132"/>
      <c r="AG468" s="132"/>
      <c r="AH468" s="132"/>
      <c r="AI468" s="132"/>
      <c r="AJ468" s="95"/>
      <c r="AK468" s="95"/>
      <c r="AL468" s="95"/>
      <c r="AM468" s="95"/>
      <c r="AN468" s="132"/>
      <c r="AO468" s="132"/>
      <c r="AP468" s="95"/>
      <c r="AQ468" s="132"/>
      <c r="AR468" s="132"/>
    </row>
    <row r="469" spans="25:44" s="82" customFormat="1" x14ac:dyDescent="0.2">
      <c r="Y469" s="132"/>
      <c r="Z469" s="132"/>
      <c r="AA469" s="132"/>
      <c r="AB469" s="95"/>
      <c r="AC469" s="126"/>
      <c r="AD469" s="340"/>
      <c r="AE469" s="132"/>
      <c r="AF469" s="132"/>
      <c r="AG469" s="132"/>
      <c r="AH469" s="132"/>
      <c r="AI469" s="132"/>
      <c r="AJ469" s="95"/>
      <c r="AK469" s="95"/>
      <c r="AL469" s="95"/>
      <c r="AM469" s="95"/>
      <c r="AN469" s="132"/>
      <c r="AO469" s="132"/>
      <c r="AP469" s="95"/>
      <c r="AQ469" s="132"/>
      <c r="AR469" s="132"/>
    </row>
    <row r="470" spans="25:44" s="82" customFormat="1" x14ac:dyDescent="0.2">
      <c r="Y470" s="132"/>
      <c r="Z470" s="132"/>
      <c r="AA470" s="132"/>
      <c r="AB470" s="95"/>
      <c r="AC470" s="126"/>
      <c r="AD470" s="340"/>
      <c r="AE470" s="132"/>
      <c r="AF470" s="132"/>
      <c r="AG470" s="132"/>
      <c r="AH470" s="132"/>
      <c r="AI470" s="132"/>
      <c r="AJ470" s="95"/>
      <c r="AK470" s="95"/>
      <c r="AL470" s="95"/>
      <c r="AM470" s="95"/>
      <c r="AN470" s="132"/>
      <c r="AO470" s="132"/>
      <c r="AP470" s="95"/>
      <c r="AQ470" s="132"/>
      <c r="AR470" s="132"/>
    </row>
    <row r="471" spans="25:44" s="82" customFormat="1" x14ac:dyDescent="0.2">
      <c r="Y471" s="132"/>
      <c r="Z471" s="132"/>
      <c r="AA471" s="132"/>
      <c r="AB471" s="95"/>
      <c r="AC471" s="126"/>
      <c r="AD471" s="340"/>
      <c r="AE471" s="132"/>
      <c r="AF471" s="132"/>
      <c r="AG471" s="132"/>
      <c r="AH471" s="132"/>
      <c r="AI471" s="132"/>
      <c r="AJ471" s="95"/>
      <c r="AK471" s="95"/>
      <c r="AL471" s="95"/>
      <c r="AM471" s="95"/>
      <c r="AN471" s="132"/>
      <c r="AO471" s="132"/>
      <c r="AP471" s="95"/>
      <c r="AQ471" s="132"/>
      <c r="AR471" s="132"/>
    </row>
    <row r="472" spans="25:44" s="82" customFormat="1" x14ac:dyDescent="0.2">
      <c r="Y472" s="132"/>
      <c r="Z472" s="132"/>
      <c r="AA472" s="132"/>
      <c r="AB472" s="95"/>
      <c r="AC472" s="126"/>
      <c r="AD472" s="340"/>
      <c r="AE472" s="132"/>
      <c r="AF472" s="132"/>
      <c r="AG472" s="132"/>
      <c r="AH472" s="132"/>
      <c r="AI472" s="132"/>
      <c r="AJ472" s="95"/>
      <c r="AK472" s="95"/>
      <c r="AL472" s="95"/>
      <c r="AM472" s="95"/>
      <c r="AN472" s="132"/>
      <c r="AO472" s="132"/>
      <c r="AP472" s="95"/>
      <c r="AQ472" s="132"/>
      <c r="AR472" s="132"/>
    </row>
    <row r="473" spans="25:44" s="82" customFormat="1" x14ac:dyDescent="0.2">
      <c r="Y473" s="132"/>
      <c r="Z473" s="132"/>
      <c r="AA473" s="132"/>
      <c r="AB473" s="95"/>
      <c r="AC473" s="126"/>
      <c r="AD473" s="340"/>
      <c r="AE473" s="132"/>
      <c r="AF473" s="132"/>
      <c r="AG473" s="132"/>
      <c r="AH473" s="132"/>
      <c r="AI473" s="132"/>
      <c r="AJ473" s="95"/>
      <c r="AK473" s="95"/>
      <c r="AL473" s="95"/>
      <c r="AM473" s="95"/>
      <c r="AN473" s="132"/>
      <c r="AO473" s="132"/>
      <c r="AP473" s="95"/>
      <c r="AQ473" s="132"/>
      <c r="AR473" s="132"/>
    </row>
    <row r="474" spans="25:44" s="82" customFormat="1" x14ac:dyDescent="0.2">
      <c r="Y474" s="132"/>
      <c r="Z474" s="132"/>
      <c r="AA474" s="132"/>
      <c r="AB474" s="95"/>
      <c r="AC474" s="126"/>
      <c r="AD474" s="340"/>
      <c r="AE474" s="132"/>
      <c r="AF474" s="132"/>
      <c r="AG474" s="132"/>
      <c r="AH474" s="132"/>
      <c r="AI474" s="132"/>
      <c r="AJ474" s="95"/>
      <c r="AK474" s="95"/>
      <c r="AL474" s="95"/>
      <c r="AM474" s="95"/>
      <c r="AN474" s="132"/>
      <c r="AO474" s="132"/>
      <c r="AP474" s="95"/>
      <c r="AQ474" s="132"/>
      <c r="AR474" s="132"/>
    </row>
    <row r="475" spans="25:44" s="82" customFormat="1" x14ac:dyDescent="0.2">
      <c r="Y475" s="132"/>
      <c r="Z475" s="132"/>
      <c r="AA475" s="132"/>
      <c r="AB475" s="95"/>
      <c r="AC475" s="126"/>
      <c r="AD475" s="340"/>
      <c r="AE475" s="132"/>
      <c r="AF475" s="132"/>
      <c r="AG475" s="132"/>
      <c r="AH475" s="132"/>
      <c r="AI475" s="132"/>
      <c r="AJ475" s="95"/>
      <c r="AK475" s="95"/>
      <c r="AL475" s="95"/>
      <c r="AM475" s="95"/>
      <c r="AN475" s="132"/>
      <c r="AO475" s="132"/>
      <c r="AP475" s="95"/>
      <c r="AQ475" s="132"/>
      <c r="AR475" s="132"/>
    </row>
    <row r="476" spans="25:44" s="82" customFormat="1" x14ac:dyDescent="0.2">
      <c r="Y476" s="132"/>
      <c r="Z476" s="132"/>
      <c r="AA476" s="132"/>
      <c r="AB476" s="95"/>
      <c r="AC476" s="126"/>
      <c r="AD476" s="340"/>
      <c r="AE476" s="132"/>
      <c r="AF476" s="132"/>
      <c r="AG476" s="132"/>
      <c r="AH476" s="132"/>
      <c r="AI476" s="132"/>
      <c r="AJ476" s="95"/>
      <c r="AK476" s="95"/>
      <c r="AL476" s="95"/>
      <c r="AM476" s="95"/>
      <c r="AN476" s="132"/>
      <c r="AO476" s="132"/>
      <c r="AP476" s="95"/>
      <c r="AQ476" s="132"/>
      <c r="AR476" s="132"/>
    </row>
    <row r="477" spans="25:44" s="82" customFormat="1" x14ac:dyDescent="0.2">
      <c r="Y477" s="132"/>
      <c r="Z477" s="132"/>
      <c r="AA477" s="132"/>
      <c r="AB477" s="95"/>
      <c r="AC477" s="126"/>
      <c r="AD477" s="340"/>
      <c r="AE477" s="132"/>
      <c r="AF477" s="132"/>
      <c r="AG477" s="132"/>
      <c r="AH477" s="132"/>
      <c r="AI477" s="132"/>
      <c r="AJ477" s="95"/>
      <c r="AK477" s="95"/>
      <c r="AL477" s="95"/>
      <c r="AM477" s="95"/>
      <c r="AN477" s="132"/>
      <c r="AO477" s="132"/>
      <c r="AP477" s="95"/>
      <c r="AQ477" s="132"/>
      <c r="AR477" s="132"/>
    </row>
    <row r="478" spans="25:44" s="82" customFormat="1" x14ac:dyDescent="0.2">
      <c r="Y478" s="132"/>
      <c r="Z478" s="132"/>
      <c r="AA478" s="132"/>
      <c r="AB478" s="95"/>
      <c r="AC478" s="126"/>
      <c r="AD478" s="340"/>
      <c r="AE478" s="132"/>
      <c r="AF478" s="132"/>
      <c r="AG478" s="132"/>
      <c r="AH478" s="132"/>
      <c r="AI478" s="132"/>
      <c r="AJ478" s="95"/>
      <c r="AK478" s="95"/>
      <c r="AL478" s="95"/>
      <c r="AM478" s="95"/>
      <c r="AN478" s="132"/>
      <c r="AO478" s="132"/>
      <c r="AP478" s="95"/>
      <c r="AQ478" s="132"/>
      <c r="AR478" s="132"/>
    </row>
    <row r="479" spans="25:44" s="82" customFormat="1" x14ac:dyDescent="0.2">
      <c r="Y479" s="132"/>
      <c r="Z479" s="132"/>
      <c r="AA479" s="132"/>
      <c r="AB479" s="95"/>
      <c r="AC479" s="126"/>
      <c r="AD479" s="340"/>
      <c r="AE479" s="132"/>
      <c r="AF479" s="132"/>
      <c r="AG479" s="132"/>
      <c r="AH479" s="132"/>
      <c r="AI479" s="132"/>
      <c r="AJ479" s="95"/>
      <c r="AK479" s="95"/>
      <c r="AL479" s="95"/>
      <c r="AM479" s="95"/>
      <c r="AN479" s="132"/>
      <c r="AO479" s="132"/>
      <c r="AP479" s="95"/>
      <c r="AQ479" s="132"/>
      <c r="AR479" s="132"/>
    </row>
    <row r="480" spans="25:44" s="82" customFormat="1" x14ac:dyDescent="0.2">
      <c r="Y480" s="132"/>
      <c r="Z480" s="132"/>
      <c r="AA480" s="132"/>
      <c r="AB480" s="95"/>
      <c r="AC480" s="126"/>
      <c r="AD480" s="340"/>
      <c r="AE480" s="132"/>
      <c r="AF480" s="132"/>
      <c r="AG480" s="132"/>
      <c r="AH480" s="132"/>
      <c r="AI480" s="132"/>
      <c r="AJ480" s="95"/>
      <c r="AK480" s="95"/>
      <c r="AL480" s="95"/>
      <c r="AM480" s="95"/>
      <c r="AN480" s="132"/>
      <c r="AO480" s="132"/>
      <c r="AP480" s="95"/>
      <c r="AQ480" s="132"/>
      <c r="AR480" s="132"/>
    </row>
    <row r="481" spans="25:44" s="82" customFormat="1" x14ac:dyDescent="0.2">
      <c r="Y481" s="132"/>
      <c r="Z481" s="132"/>
      <c r="AA481" s="132"/>
      <c r="AB481" s="95"/>
      <c r="AC481" s="126"/>
      <c r="AD481" s="340"/>
      <c r="AE481" s="132"/>
      <c r="AF481" s="132"/>
      <c r="AG481" s="132"/>
      <c r="AH481" s="132"/>
      <c r="AI481" s="132"/>
      <c r="AJ481" s="95"/>
      <c r="AK481" s="95"/>
      <c r="AL481" s="95"/>
      <c r="AM481" s="95"/>
      <c r="AN481" s="132"/>
      <c r="AO481" s="132"/>
      <c r="AP481" s="95"/>
      <c r="AQ481" s="132"/>
      <c r="AR481" s="132"/>
    </row>
    <row r="482" spans="25:44" s="82" customFormat="1" x14ac:dyDescent="0.2">
      <c r="Y482" s="132"/>
      <c r="Z482" s="132"/>
      <c r="AA482" s="132"/>
      <c r="AB482" s="95"/>
      <c r="AC482" s="126"/>
      <c r="AD482" s="340"/>
      <c r="AE482" s="132"/>
      <c r="AF482" s="132"/>
      <c r="AG482" s="132"/>
      <c r="AH482" s="132"/>
      <c r="AI482" s="132"/>
      <c r="AJ482" s="95"/>
      <c r="AK482" s="95"/>
      <c r="AL482" s="95"/>
      <c r="AM482" s="95"/>
      <c r="AN482" s="132"/>
      <c r="AO482" s="132"/>
      <c r="AP482" s="95"/>
      <c r="AQ482" s="132"/>
      <c r="AR482" s="132"/>
    </row>
    <row r="483" spans="25:44" s="82" customFormat="1" x14ac:dyDescent="0.2">
      <c r="Y483" s="132"/>
      <c r="Z483" s="132"/>
      <c r="AA483" s="132"/>
      <c r="AB483" s="95"/>
      <c r="AC483" s="126"/>
      <c r="AD483" s="340"/>
      <c r="AE483" s="132"/>
      <c r="AF483" s="132"/>
      <c r="AG483" s="132"/>
      <c r="AH483" s="132"/>
      <c r="AI483" s="132"/>
      <c r="AJ483" s="95"/>
      <c r="AK483" s="95"/>
      <c r="AL483" s="95"/>
      <c r="AM483" s="95"/>
      <c r="AN483" s="132"/>
      <c r="AO483" s="132"/>
      <c r="AP483" s="95"/>
      <c r="AQ483" s="132"/>
      <c r="AR483" s="132"/>
    </row>
    <row r="484" spans="25:44" s="82" customFormat="1" x14ac:dyDescent="0.2">
      <c r="Y484" s="132"/>
      <c r="Z484" s="132"/>
      <c r="AA484" s="132"/>
      <c r="AB484" s="95"/>
      <c r="AC484" s="126"/>
      <c r="AD484" s="340"/>
      <c r="AE484" s="132"/>
      <c r="AF484" s="132"/>
      <c r="AG484" s="132"/>
      <c r="AH484" s="132"/>
      <c r="AI484" s="132"/>
      <c r="AJ484" s="95"/>
      <c r="AK484" s="95"/>
      <c r="AL484" s="95"/>
      <c r="AM484" s="95"/>
      <c r="AN484" s="132"/>
      <c r="AO484" s="132"/>
      <c r="AP484" s="95"/>
      <c r="AQ484" s="132"/>
      <c r="AR484" s="132"/>
    </row>
    <row r="485" spans="25:44" s="82" customFormat="1" x14ac:dyDescent="0.2">
      <c r="Y485" s="132"/>
      <c r="Z485" s="132"/>
      <c r="AA485" s="132"/>
      <c r="AB485" s="95"/>
      <c r="AC485" s="126"/>
      <c r="AD485" s="340"/>
      <c r="AE485" s="132"/>
      <c r="AF485" s="132"/>
      <c r="AG485" s="132"/>
      <c r="AH485" s="132"/>
      <c r="AI485" s="132"/>
      <c r="AJ485" s="95"/>
      <c r="AK485" s="95"/>
      <c r="AL485" s="95"/>
      <c r="AM485" s="95"/>
      <c r="AN485" s="132"/>
      <c r="AO485" s="132"/>
      <c r="AP485" s="95"/>
      <c r="AQ485" s="132"/>
      <c r="AR485" s="132"/>
    </row>
    <row r="486" spans="25:44" s="82" customFormat="1" x14ac:dyDescent="0.2">
      <c r="Y486" s="132"/>
      <c r="Z486" s="132"/>
      <c r="AA486" s="132"/>
      <c r="AB486" s="95"/>
      <c r="AC486" s="126"/>
      <c r="AD486" s="340"/>
      <c r="AE486" s="132"/>
      <c r="AF486" s="132"/>
      <c r="AG486" s="132"/>
      <c r="AH486" s="132"/>
      <c r="AI486" s="132"/>
      <c r="AJ486" s="95"/>
      <c r="AK486" s="95"/>
      <c r="AL486" s="95"/>
      <c r="AM486" s="95"/>
      <c r="AN486" s="132"/>
      <c r="AO486" s="132"/>
      <c r="AP486" s="95"/>
      <c r="AQ486" s="132"/>
      <c r="AR486" s="132"/>
    </row>
    <row r="487" spans="25:44" s="82" customFormat="1" x14ac:dyDescent="0.2">
      <c r="Y487" s="132"/>
      <c r="Z487" s="132"/>
      <c r="AA487" s="132"/>
      <c r="AB487" s="95"/>
      <c r="AC487" s="126"/>
      <c r="AD487" s="340"/>
      <c r="AE487" s="132"/>
      <c r="AF487" s="132"/>
      <c r="AG487" s="132"/>
      <c r="AH487" s="132"/>
      <c r="AI487" s="132"/>
      <c r="AJ487" s="95"/>
      <c r="AK487" s="95"/>
      <c r="AL487" s="95"/>
      <c r="AM487" s="95"/>
      <c r="AN487" s="132"/>
      <c r="AO487" s="132"/>
      <c r="AP487" s="95"/>
      <c r="AQ487" s="132"/>
      <c r="AR487" s="132"/>
    </row>
    <row r="488" spans="25:44" s="82" customFormat="1" x14ac:dyDescent="0.2">
      <c r="Y488" s="132"/>
      <c r="Z488" s="132"/>
      <c r="AA488" s="132"/>
      <c r="AB488" s="95"/>
      <c r="AC488" s="126"/>
      <c r="AD488" s="340"/>
      <c r="AE488" s="132"/>
      <c r="AF488" s="132"/>
      <c r="AG488" s="132"/>
      <c r="AH488" s="132"/>
      <c r="AI488" s="132"/>
      <c r="AJ488" s="95"/>
      <c r="AK488" s="95"/>
      <c r="AL488" s="95"/>
      <c r="AM488" s="95"/>
      <c r="AN488" s="132"/>
      <c r="AO488" s="132"/>
      <c r="AP488" s="95"/>
      <c r="AQ488" s="132"/>
      <c r="AR488" s="132"/>
    </row>
    <row r="489" spans="25:44" s="82" customFormat="1" x14ac:dyDescent="0.2">
      <c r="Y489" s="132"/>
      <c r="Z489" s="132"/>
      <c r="AA489" s="132"/>
      <c r="AB489" s="95"/>
      <c r="AC489" s="126"/>
      <c r="AD489" s="340"/>
      <c r="AE489" s="132"/>
      <c r="AF489" s="132"/>
      <c r="AG489" s="132"/>
      <c r="AH489" s="132"/>
      <c r="AI489" s="132"/>
      <c r="AJ489" s="95"/>
      <c r="AK489" s="95"/>
      <c r="AL489" s="95"/>
      <c r="AM489" s="95"/>
      <c r="AN489" s="132"/>
      <c r="AO489" s="132"/>
      <c r="AP489" s="95"/>
      <c r="AQ489" s="132"/>
      <c r="AR489" s="132"/>
    </row>
    <row r="490" spans="25:44" s="82" customFormat="1" x14ac:dyDescent="0.2">
      <c r="Y490" s="132"/>
      <c r="Z490" s="132"/>
      <c r="AA490" s="132"/>
      <c r="AB490" s="95"/>
      <c r="AC490" s="126"/>
      <c r="AD490" s="340"/>
      <c r="AE490" s="132"/>
      <c r="AF490" s="132"/>
      <c r="AG490" s="132"/>
      <c r="AH490" s="132"/>
      <c r="AI490" s="132"/>
      <c r="AJ490" s="95"/>
      <c r="AK490" s="95"/>
      <c r="AL490" s="95"/>
      <c r="AM490" s="95"/>
      <c r="AN490" s="132"/>
      <c r="AO490" s="132"/>
      <c r="AP490" s="95"/>
      <c r="AQ490" s="132"/>
      <c r="AR490" s="132"/>
    </row>
    <row r="491" spans="25:44" s="82" customFormat="1" x14ac:dyDescent="0.2">
      <c r="Y491" s="132"/>
      <c r="Z491" s="132"/>
      <c r="AA491" s="132"/>
      <c r="AB491" s="95"/>
      <c r="AC491" s="126"/>
      <c r="AD491" s="340"/>
      <c r="AE491" s="132"/>
      <c r="AF491" s="132"/>
      <c r="AG491" s="132"/>
      <c r="AH491" s="132"/>
      <c r="AI491" s="132"/>
      <c r="AJ491" s="95"/>
      <c r="AK491" s="95"/>
      <c r="AL491" s="95"/>
      <c r="AM491" s="95"/>
      <c r="AN491" s="132"/>
      <c r="AO491" s="132"/>
      <c r="AP491" s="95"/>
      <c r="AQ491" s="132"/>
      <c r="AR491" s="132"/>
    </row>
    <row r="492" spans="25:44" s="82" customFormat="1" x14ac:dyDescent="0.2">
      <c r="Y492" s="132"/>
      <c r="Z492" s="132"/>
      <c r="AA492" s="132"/>
      <c r="AB492" s="95"/>
      <c r="AC492" s="126"/>
      <c r="AD492" s="340"/>
      <c r="AE492" s="132"/>
      <c r="AF492" s="132"/>
      <c r="AG492" s="132"/>
      <c r="AH492" s="132"/>
      <c r="AI492" s="132"/>
      <c r="AJ492" s="95"/>
      <c r="AK492" s="95"/>
      <c r="AL492" s="95"/>
      <c r="AM492" s="95"/>
      <c r="AN492" s="132"/>
      <c r="AO492" s="132"/>
      <c r="AP492" s="95"/>
      <c r="AQ492" s="132"/>
      <c r="AR492" s="132"/>
    </row>
    <row r="493" spans="25:44" s="82" customFormat="1" x14ac:dyDescent="0.2">
      <c r="Y493" s="132"/>
      <c r="Z493" s="132"/>
      <c r="AA493" s="132"/>
      <c r="AB493" s="95"/>
      <c r="AC493" s="126"/>
      <c r="AD493" s="340"/>
      <c r="AE493" s="132"/>
      <c r="AF493" s="132"/>
      <c r="AG493" s="132"/>
      <c r="AH493" s="132"/>
      <c r="AI493" s="132"/>
      <c r="AJ493" s="95"/>
      <c r="AK493" s="95"/>
      <c r="AL493" s="95"/>
      <c r="AM493" s="95"/>
      <c r="AN493" s="132"/>
      <c r="AO493" s="132"/>
      <c r="AP493" s="95"/>
      <c r="AQ493" s="132"/>
      <c r="AR493" s="132"/>
    </row>
    <row r="494" spans="25:44" s="82" customFormat="1" x14ac:dyDescent="0.2">
      <c r="Y494" s="132"/>
      <c r="Z494" s="132"/>
      <c r="AA494" s="132"/>
      <c r="AB494" s="95"/>
      <c r="AC494" s="126"/>
      <c r="AD494" s="340"/>
      <c r="AE494" s="132"/>
      <c r="AF494" s="132"/>
      <c r="AG494" s="132"/>
      <c r="AH494" s="132"/>
      <c r="AI494" s="132"/>
      <c r="AJ494" s="95"/>
      <c r="AK494" s="95"/>
      <c r="AL494" s="95"/>
      <c r="AM494" s="95"/>
      <c r="AN494" s="132"/>
      <c r="AO494" s="132"/>
      <c r="AP494" s="95"/>
      <c r="AQ494" s="132"/>
      <c r="AR494" s="132"/>
    </row>
    <row r="495" spans="25:44" s="82" customFormat="1" x14ac:dyDescent="0.2">
      <c r="Y495" s="132"/>
      <c r="Z495" s="132"/>
      <c r="AA495" s="132"/>
      <c r="AB495" s="95"/>
      <c r="AC495" s="126"/>
      <c r="AD495" s="340"/>
      <c r="AE495" s="132"/>
      <c r="AF495" s="132"/>
      <c r="AG495" s="132"/>
      <c r="AH495" s="132"/>
      <c r="AI495" s="132"/>
      <c r="AJ495" s="95"/>
      <c r="AK495" s="95"/>
      <c r="AL495" s="95"/>
      <c r="AM495" s="95"/>
      <c r="AN495" s="132"/>
      <c r="AO495" s="132"/>
      <c r="AP495" s="95"/>
      <c r="AQ495" s="132"/>
      <c r="AR495" s="132"/>
    </row>
    <row r="496" spans="25:44" s="82" customFormat="1" x14ac:dyDescent="0.2">
      <c r="Y496" s="132"/>
      <c r="Z496" s="132"/>
      <c r="AA496" s="132"/>
      <c r="AB496" s="95"/>
      <c r="AC496" s="126"/>
      <c r="AD496" s="340"/>
      <c r="AE496" s="132"/>
      <c r="AF496" s="132"/>
      <c r="AG496" s="132"/>
      <c r="AH496" s="132"/>
      <c r="AI496" s="132"/>
      <c r="AJ496" s="95"/>
      <c r="AK496" s="95"/>
      <c r="AL496" s="95"/>
      <c r="AM496" s="95"/>
      <c r="AN496" s="132"/>
      <c r="AO496" s="132"/>
      <c r="AP496" s="95"/>
      <c r="AQ496" s="132"/>
      <c r="AR496" s="132"/>
    </row>
    <row r="497" spans="25:44" s="82" customFormat="1" x14ac:dyDescent="0.2">
      <c r="Y497" s="132"/>
      <c r="Z497" s="132"/>
      <c r="AA497" s="132"/>
      <c r="AB497" s="95"/>
      <c r="AC497" s="126"/>
      <c r="AD497" s="340"/>
      <c r="AE497" s="132"/>
      <c r="AF497" s="132"/>
      <c r="AG497" s="132"/>
      <c r="AH497" s="132"/>
      <c r="AI497" s="132"/>
      <c r="AJ497" s="95"/>
      <c r="AK497" s="95"/>
      <c r="AL497" s="95"/>
      <c r="AM497" s="95"/>
      <c r="AN497" s="132"/>
      <c r="AO497" s="132"/>
      <c r="AP497" s="95"/>
      <c r="AQ497" s="132"/>
      <c r="AR497" s="132"/>
    </row>
    <row r="498" spans="25:44" s="82" customFormat="1" x14ac:dyDescent="0.2">
      <c r="Y498" s="132"/>
      <c r="Z498" s="132"/>
      <c r="AA498" s="132"/>
      <c r="AB498" s="95"/>
      <c r="AC498" s="126"/>
      <c r="AD498" s="340"/>
      <c r="AE498" s="132"/>
      <c r="AF498" s="132"/>
      <c r="AG498" s="132"/>
      <c r="AH498" s="132"/>
      <c r="AI498" s="132"/>
      <c r="AJ498" s="95"/>
      <c r="AK498" s="95"/>
      <c r="AL498" s="95"/>
      <c r="AM498" s="95"/>
      <c r="AN498" s="132"/>
      <c r="AO498" s="132"/>
      <c r="AP498" s="95"/>
      <c r="AQ498" s="132"/>
      <c r="AR498" s="132"/>
    </row>
    <row r="499" spans="25:44" s="82" customFormat="1" x14ac:dyDescent="0.2">
      <c r="Y499" s="132"/>
      <c r="Z499" s="132"/>
      <c r="AA499" s="132"/>
      <c r="AB499" s="95"/>
      <c r="AC499" s="126"/>
      <c r="AD499" s="340"/>
      <c r="AE499" s="132"/>
      <c r="AF499" s="132"/>
      <c r="AG499" s="132"/>
      <c r="AH499" s="132"/>
      <c r="AI499" s="132"/>
      <c r="AJ499" s="95"/>
      <c r="AK499" s="95"/>
      <c r="AL499" s="95"/>
      <c r="AM499" s="95"/>
      <c r="AN499" s="132"/>
      <c r="AO499" s="132"/>
      <c r="AP499" s="95"/>
      <c r="AQ499" s="132"/>
      <c r="AR499" s="132"/>
    </row>
    <row r="500" spans="25:44" s="82" customFormat="1" x14ac:dyDescent="0.2">
      <c r="Y500" s="132"/>
      <c r="Z500" s="132"/>
      <c r="AA500" s="132"/>
      <c r="AB500" s="95"/>
      <c r="AC500" s="126"/>
      <c r="AD500" s="340"/>
      <c r="AE500" s="132"/>
      <c r="AF500" s="132"/>
      <c r="AG500" s="132"/>
      <c r="AH500" s="132"/>
      <c r="AI500" s="132"/>
      <c r="AJ500" s="95"/>
      <c r="AK500" s="95"/>
      <c r="AL500" s="95"/>
      <c r="AM500" s="95"/>
      <c r="AN500" s="132"/>
      <c r="AO500" s="132"/>
      <c r="AP500" s="95"/>
      <c r="AQ500" s="132"/>
      <c r="AR500" s="132"/>
    </row>
    <row r="501" spans="25:44" s="82" customFormat="1" x14ac:dyDescent="0.2">
      <c r="Y501" s="132"/>
      <c r="Z501" s="132"/>
      <c r="AA501" s="132"/>
      <c r="AB501" s="95"/>
      <c r="AC501" s="126"/>
      <c r="AD501" s="340"/>
      <c r="AE501" s="132"/>
      <c r="AF501" s="132"/>
      <c r="AG501" s="132"/>
      <c r="AH501" s="132"/>
      <c r="AI501" s="132"/>
      <c r="AJ501" s="95"/>
      <c r="AK501" s="95"/>
      <c r="AL501" s="95"/>
      <c r="AM501" s="95"/>
      <c r="AN501" s="132"/>
      <c r="AO501" s="132"/>
      <c r="AP501" s="95"/>
      <c r="AQ501" s="132"/>
      <c r="AR501" s="132"/>
    </row>
    <row r="502" spans="25:44" s="82" customFormat="1" x14ac:dyDescent="0.2">
      <c r="Y502" s="132"/>
      <c r="Z502" s="132"/>
      <c r="AA502" s="132"/>
      <c r="AB502" s="95"/>
      <c r="AC502" s="126"/>
      <c r="AD502" s="340"/>
      <c r="AE502" s="132"/>
      <c r="AF502" s="132"/>
      <c r="AG502" s="132"/>
      <c r="AH502" s="132"/>
      <c r="AI502" s="132"/>
      <c r="AJ502" s="95"/>
      <c r="AK502" s="95"/>
      <c r="AL502" s="95"/>
      <c r="AM502" s="95"/>
      <c r="AN502" s="132"/>
      <c r="AO502" s="132"/>
      <c r="AP502" s="95"/>
      <c r="AQ502" s="132"/>
      <c r="AR502" s="132"/>
    </row>
    <row r="503" spans="25:44" s="82" customFormat="1" x14ac:dyDescent="0.2">
      <c r="Y503" s="132"/>
      <c r="Z503" s="132"/>
      <c r="AA503" s="132"/>
      <c r="AB503" s="95"/>
      <c r="AC503" s="126"/>
      <c r="AD503" s="340"/>
      <c r="AE503" s="132"/>
      <c r="AF503" s="132"/>
      <c r="AG503" s="132"/>
      <c r="AH503" s="132"/>
      <c r="AI503" s="132"/>
      <c r="AJ503" s="95"/>
      <c r="AK503" s="95"/>
      <c r="AL503" s="95"/>
      <c r="AM503" s="95"/>
      <c r="AN503" s="132"/>
      <c r="AO503" s="132"/>
      <c r="AP503" s="95"/>
      <c r="AQ503" s="132"/>
      <c r="AR503" s="132"/>
    </row>
    <row r="504" spans="25:44" s="82" customFormat="1" x14ac:dyDescent="0.2">
      <c r="Y504" s="132"/>
      <c r="Z504" s="132"/>
      <c r="AA504" s="132"/>
      <c r="AB504" s="95"/>
      <c r="AC504" s="126"/>
      <c r="AD504" s="340"/>
      <c r="AE504" s="132"/>
      <c r="AF504" s="132"/>
      <c r="AG504" s="132"/>
      <c r="AH504" s="132"/>
      <c r="AI504" s="132"/>
      <c r="AJ504" s="95"/>
      <c r="AK504" s="95"/>
      <c r="AL504" s="95"/>
      <c r="AM504" s="95"/>
      <c r="AN504" s="132"/>
      <c r="AO504" s="132"/>
      <c r="AP504" s="95"/>
      <c r="AQ504" s="132"/>
      <c r="AR504" s="132"/>
    </row>
    <row r="505" spans="25:44" s="82" customFormat="1" x14ac:dyDescent="0.2">
      <c r="Y505" s="132"/>
      <c r="Z505" s="132"/>
      <c r="AA505" s="132"/>
      <c r="AB505" s="95"/>
      <c r="AC505" s="126"/>
      <c r="AD505" s="340"/>
      <c r="AE505" s="132"/>
      <c r="AF505" s="132"/>
      <c r="AG505" s="132"/>
      <c r="AH505" s="132"/>
      <c r="AI505" s="132"/>
      <c r="AJ505" s="95"/>
      <c r="AK505" s="95"/>
      <c r="AL505" s="95"/>
      <c r="AM505" s="95"/>
      <c r="AN505" s="132"/>
      <c r="AO505" s="132"/>
      <c r="AP505" s="95"/>
      <c r="AQ505" s="132"/>
      <c r="AR505" s="132"/>
    </row>
    <row r="506" spans="25:44" s="82" customFormat="1" x14ac:dyDescent="0.2">
      <c r="Y506" s="132"/>
      <c r="Z506" s="132"/>
      <c r="AA506" s="132"/>
      <c r="AB506" s="95"/>
      <c r="AC506" s="126"/>
      <c r="AD506" s="340"/>
      <c r="AE506" s="132"/>
      <c r="AF506" s="132"/>
      <c r="AG506" s="132"/>
      <c r="AH506" s="132"/>
      <c r="AI506" s="132"/>
      <c r="AJ506" s="95"/>
      <c r="AK506" s="95"/>
      <c r="AL506" s="95"/>
      <c r="AM506" s="95"/>
      <c r="AN506" s="132"/>
      <c r="AO506" s="132"/>
      <c r="AP506" s="95"/>
      <c r="AQ506" s="132"/>
      <c r="AR506" s="132"/>
    </row>
    <row r="507" spans="25:44" s="82" customFormat="1" x14ac:dyDescent="0.2">
      <c r="Y507" s="132"/>
      <c r="Z507" s="132"/>
      <c r="AA507" s="132"/>
      <c r="AB507" s="95"/>
      <c r="AC507" s="126"/>
      <c r="AD507" s="340"/>
      <c r="AE507" s="132"/>
      <c r="AF507" s="132"/>
      <c r="AG507" s="132"/>
      <c r="AH507" s="132"/>
      <c r="AI507" s="132"/>
      <c r="AJ507" s="95"/>
      <c r="AK507" s="95"/>
      <c r="AL507" s="95"/>
      <c r="AM507" s="95"/>
      <c r="AN507" s="132"/>
      <c r="AO507" s="132"/>
      <c r="AP507" s="95"/>
      <c r="AQ507" s="132"/>
      <c r="AR507" s="132"/>
    </row>
    <row r="508" spans="25:44" s="82" customFormat="1" x14ac:dyDescent="0.2">
      <c r="Y508" s="132"/>
      <c r="Z508" s="132"/>
      <c r="AA508" s="132"/>
      <c r="AB508" s="95"/>
      <c r="AC508" s="126"/>
      <c r="AD508" s="340"/>
      <c r="AE508" s="132"/>
      <c r="AF508" s="132"/>
      <c r="AG508" s="132"/>
      <c r="AH508" s="132"/>
      <c r="AI508" s="132"/>
      <c r="AJ508" s="95"/>
      <c r="AK508" s="95"/>
      <c r="AL508" s="95"/>
      <c r="AM508" s="95"/>
      <c r="AN508" s="132"/>
      <c r="AO508" s="132"/>
      <c r="AP508" s="95"/>
      <c r="AQ508" s="132"/>
      <c r="AR508" s="132"/>
    </row>
    <row r="509" spans="25:44" s="82" customFormat="1" x14ac:dyDescent="0.2">
      <c r="Y509" s="132"/>
      <c r="Z509" s="132"/>
      <c r="AA509" s="132"/>
      <c r="AB509" s="95"/>
      <c r="AC509" s="126"/>
      <c r="AD509" s="340"/>
      <c r="AE509" s="132"/>
      <c r="AF509" s="132"/>
      <c r="AG509" s="132"/>
      <c r="AH509" s="132"/>
      <c r="AI509" s="132"/>
      <c r="AJ509" s="95"/>
      <c r="AK509" s="95"/>
      <c r="AL509" s="95"/>
      <c r="AM509" s="95"/>
      <c r="AN509" s="132"/>
      <c r="AO509" s="132"/>
      <c r="AP509" s="95"/>
      <c r="AQ509" s="132"/>
      <c r="AR509" s="132"/>
    </row>
    <row r="510" spans="25:44" s="82" customFormat="1" x14ac:dyDescent="0.2">
      <c r="Y510" s="132"/>
      <c r="Z510" s="132"/>
      <c r="AA510" s="132"/>
      <c r="AB510" s="95"/>
      <c r="AC510" s="126"/>
      <c r="AD510" s="340"/>
      <c r="AE510" s="132"/>
      <c r="AF510" s="132"/>
      <c r="AG510" s="132"/>
      <c r="AH510" s="132"/>
      <c r="AI510" s="132"/>
      <c r="AJ510" s="95"/>
      <c r="AK510" s="95"/>
      <c r="AL510" s="95"/>
      <c r="AM510" s="95"/>
      <c r="AN510" s="132"/>
      <c r="AO510" s="132"/>
      <c r="AP510" s="95"/>
      <c r="AQ510" s="132"/>
      <c r="AR510" s="132"/>
    </row>
    <row r="511" spans="25:44" s="82" customFormat="1" x14ac:dyDescent="0.2">
      <c r="Y511" s="132"/>
      <c r="Z511" s="132"/>
      <c r="AA511" s="132"/>
      <c r="AB511" s="95"/>
      <c r="AC511" s="126"/>
      <c r="AD511" s="340"/>
      <c r="AE511" s="132"/>
      <c r="AF511" s="132"/>
      <c r="AG511" s="132"/>
      <c r="AH511" s="132"/>
      <c r="AI511" s="132"/>
      <c r="AJ511" s="95"/>
      <c r="AK511" s="95"/>
      <c r="AL511" s="95"/>
      <c r="AM511" s="95"/>
      <c r="AN511" s="132"/>
      <c r="AO511" s="132"/>
      <c r="AP511" s="95"/>
      <c r="AQ511" s="132"/>
      <c r="AR511" s="132"/>
    </row>
    <row r="512" spans="25:44" s="82" customFormat="1" x14ac:dyDescent="0.2">
      <c r="Y512" s="132"/>
      <c r="Z512" s="132"/>
      <c r="AA512" s="132"/>
      <c r="AB512" s="95"/>
      <c r="AC512" s="126"/>
      <c r="AD512" s="340"/>
      <c r="AE512" s="132"/>
      <c r="AF512" s="132"/>
      <c r="AG512" s="132"/>
      <c r="AH512" s="132"/>
      <c r="AI512" s="132"/>
      <c r="AJ512" s="95"/>
      <c r="AK512" s="95"/>
      <c r="AL512" s="95"/>
      <c r="AM512" s="95"/>
      <c r="AN512" s="132"/>
      <c r="AO512" s="132"/>
      <c r="AP512" s="95"/>
      <c r="AQ512" s="132"/>
      <c r="AR512" s="132"/>
    </row>
    <row r="513" spans="25:44" s="82" customFormat="1" x14ac:dyDescent="0.2">
      <c r="Y513" s="132"/>
      <c r="Z513" s="132"/>
      <c r="AA513" s="132"/>
      <c r="AB513" s="95"/>
      <c r="AC513" s="126"/>
      <c r="AD513" s="340"/>
      <c r="AE513" s="132"/>
      <c r="AF513" s="132"/>
      <c r="AG513" s="132"/>
      <c r="AH513" s="132"/>
      <c r="AI513" s="132"/>
      <c r="AJ513" s="95"/>
      <c r="AK513" s="95"/>
      <c r="AL513" s="95"/>
      <c r="AM513" s="95"/>
      <c r="AN513" s="132"/>
      <c r="AO513" s="132"/>
      <c r="AP513" s="95"/>
      <c r="AQ513" s="132"/>
      <c r="AR513" s="132"/>
    </row>
    <row r="514" spans="25:44" s="82" customFormat="1" x14ac:dyDescent="0.2">
      <c r="Y514" s="132"/>
      <c r="Z514" s="132"/>
      <c r="AA514" s="132"/>
      <c r="AB514" s="95"/>
      <c r="AC514" s="126"/>
      <c r="AD514" s="340"/>
      <c r="AE514" s="132"/>
      <c r="AF514" s="132"/>
      <c r="AG514" s="132"/>
      <c r="AH514" s="132"/>
      <c r="AI514" s="132"/>
      <c r="AJ514" s="95"/>
      <c r="AK514" s="95"/>
      <c r="AL514" s="95"/>
      <c r="AM514" s="95"/>
      <c r="AN514" s="132"/>
      <c r="AO514" s="132"/>
      <c r="AP514" s="95"/>
      <c r="AQ514" s="132"/>
      <c r="AR514" s="132"/>
    </row>
    <row r="515" spans="25:44" s="82" customFormat="1" x14ac:dyDescent="0.2">
      <c r="Y515" s="132"/>
      <c r="Z515" s="132"/>
      <c r="AA515" s="132"/>
      <c r="AB515" s="95"/>
      <c r="AC515" s="126"/>
      <c r="AD515" s="340"/>
      <c r="AE515" s="132"/>
      <c r="AF515" s="132"/>
      <c r="AG515" s="132"/>
      <c r="AH515" s="132"/>
      <c r="AI515" s="132"/>
      <c r="AJ515" s="95"/>
      <c r="AK515" s="95"/>
      <c r="AL515" s="95"/>
      <c r="AM515" s="95"/>
      <c r="AN515" s="132"/>
      <c r="AO515" s="132"/>
      <c r="AP515" s="95"/>
      <c r="AQ515" s="132"/>
      <c r="AR515" s="132"/>
    </row>
    <row r="516" spans="25:44" s="82" customFormat="1" x14ac:dyDescent="0.2">
      <c r="Y516" s="132"/>
      <c r="Z516" s="132"/>
      <c r="AA516" s="132"/>
      <c r="AB516" s="95"/>
      <c r="AC516" s="126"/>
      <c r="AD516" s="340"/>
      <c r="AE516" s="132"/>
      <c r="AF516" s="132"/>
      <c r="AG516" s="132"/>
      <c r="AH516" s="132"/>
      <c r="AI516" s="132"/>
      <c r="AJ516" s="95"/>
      <c r="AK516" s="95"/>
      <c r="AL516" s="95"/>
      <c r="AM516" s="95"/>
      <c r="AN516" s="132"/>
      <c r="AO516" s="132"/>
      <c r="AP516" s="95"/>
      <c r="AQ516" s="132"/>
      <c r="AR516" s="132"/>
    </row>
    <row r="517" spans="25:44" s="82" customFormat="1" x14ac:dyDescent="0.2">
      <c r="Y517" s="132"/>
      <c r="Z517" s="132"/>
      <c r="AA517" s="132"/>
      <c r="AB517" s="95"/>
      <c r="AC517" s="126"/>
      <c r="AD517" s="340"/>
      <c r="AE517" s="132"/>
      <c r="AF517" s="132"/>
      <c r="AG517" s="132"/>
      <c r="AH517" s="132"/>
      <c r="AI517" s="132"/>
      <c r="AJ517" s="95"/>
      <c r="AK517" s="95"/>
      <c r="AL517" s="95"/>
      <c r="AM517" s="95"/>
      <c r="AN517" s="132"/>
      <c r="AO517" s="132"/>
      <c r="AP517" s="95"/>
      <c r="AQ517" s="132"/>
      <c r="AR517" s="132"/>
    </row>
    <row r="518" spans="25:44" s="82" customFormat="1" x14ac:dyDescent="0.2">
      <c r="Y518" s="132"/>
      <c r="Z518" s="132"/>
      <c r="AA518" s="132"/>
      <c r="AB518" s="95"/>
      <c r="AC518" s="126"/>
      <c r="AD518" s="340"/>
      <c r="AE518" s="132"/>
      <c r="AF518" s="132"/>
      <c r="AG518" s="132"/>
      <c r="AH518" s="132"/>
      <c r="AI518" s="132"/>
      <c r="AJ518" s="95"/>
      <c r="AK518" s="95"/>
      <c r="AL518" s="95"/>
      <c r="AM518" s="95"/>
      <c r="AN518" s="132"/>
      <c r="AO518" s="132"/>
      <c r="AP518" s="95"/>
      <c r="AQ518" s="132"/>
      <c r="AR518" s="132"/>
    </row>
    <row r="519" spans="25:44" s="82" customFormat="1" x14ac:dyDescent="0.2">
      <c r="Y519" s="132"/>
      <c r="Z519" s="132"/>
      <c r="AA519" s="132"/>
      <c r="AB519" s="95"/>
      <c r="AC519" s="126"/>
      <c r="AD519" s="340"/>
      <c r="AE519" s="132"/>
      <c r="AF519" s="132"/>
      <c r="AG519" s="132"/>
      <c r="AH519" s="132"/>
      <c r="AI519" s="132"/>
      <c r="AJ519" s="95"/>
      <c r="AK519" s="95"/>
      <c r="AL519" s="95"/>
      <c r="AM519" s="95"/>
      <c r="AN519" s="132"/>
      <c r="AO519" s="132"/>
      <c r="AP519" s="95"/>
      <c r="AQ519" s="132"/>
      <c r="AR519" s="132"/>
    </row>
    <row r="520" spans="25:44" s="82" customFormat="1" x14ac:dyDescent="0.2">
      <c r="Y520" s="132"/>
      <c r="Z520" s="132"/>
      <c r="AA520" s="132"/>
      <c r="AB520" s="95"/>
      <c r="AC520" s="126"/>
      <c r="AD520" s="340"/>
      <c r="AE520" s="132"/>
      <c r="AF520" s="132"/>
      <c r="AG520" s="132"/>
      <c r="AH520" s="132"/>
      <c r="AI520" s="132"/>
      <c r="AJ520" s="95"/>
      <c r="AK520" s="95"/>
      <c r="AL520" s="95"/>
      <c r="AM520" s="95"/>
      <c r="AN520" s="132"/>
      <c r="AO520" s="132"/>
      <c r="AP520" s="95"/>
      <c r="AQ520" s="132"/>
      <c r="AR520" s="132"/>
    </row>
    <row r="521" spans="25:44" s="82" customFormat="1" x14ac:dyDescent="0.2">
      <c r="Y521" s="132"/>
      <c r="Z521" s="132"/>
      <c r="AA521" s="132"/>
      <c r="AB521" s="95"/>
      <c r="AC521" s="126"/>
      <c r="AD521" s="340"/>
      <c r="AE521" s="132"/>
      <c r="AF521" s="132"/>
      <c r="AG521" s="132"/>
      <c r="AH521" s="132"/>
      <c r="AI521" s="132"/>
      <c r="AJ521" s="95"/>
      <c r="AK521" s="95"/>
      <c r="AL521" s="95"/>
      <c r="AM521" s="95"/>
      <c r="AN521" s="132"/>
      <c r="AO521" s="132"/>
      <c r="AP521" s="95"/>
      <c r="AQ521" s="132"/>
      <c r="AR521" s="132"/>
    </row>
    <row r="522" spans="25:44" s="82" customFormat="1" x14ac:dyDescent="0.2">
      <c r="Y522" s="132"/>
      <c r="Z522" s="132"/>
      <c r="AA522" s="132"/>
      <c r="AB522" s="95"/>
      <c r="AC522" s="126"/>
      <c r="AD522" s="340"/>
      <c r="AE522" s="132"/>
      <c r="AF522" s="132"/>
      <c r="AG522" s="132"/>
      <c r="AH522" s="132"/>
      <c r="AI522" s="132"/>
      <c r="AJ522" s="95"/>
      <c r="AK522" s="95"/>
      <c r="AL522" s="95"/>
      <c r="AM522" s="95"/>
      <c r="AN522" s="132"/>
      <c r="AO522" s="132"/>
      <c r="AP522" s="95"/>
      <c r="AQ522" s="132"/>
      <c r="AR522" s="132"/>
    </row>
    <row r="523" spans="25:44" s="82" customFormat="1" x14ac:dyDescent="0.2">
      <c r="Y523" s="132"/>
      <c r="Z523" s="132"/>
      <c r="AA523" s="132"/>
      <c r="AB523" s="95"/>
      <c r="AC523" s="126"/>
      <c r="AD523" s="340"/>
      <c r="AE523" s="132"/>
      <c r="AF523" s="132"/>
      <c r="AG523" s="132"/>
      <c r="AH523" s="132"/>
      <c r="AI523" s="132"/>
      <c r="AJ523" s="95"/>
      <c r="AK523" s="95"/>
      <c r="AL523" s="95"/>
      <c r="AM523" s="95"/>
      <c r="AN523" s="132"/>
      <c r="AO523" s="132"/>
      <c r="AP523" s="95"/>
      <c r="AQ523" s="132"/>
      <c r="AR523" s="132"/>
    </row>
    <row r="524" spans="25:44" s="82" customFormat="1" x14ac:dyDescent="0.2">
      <c r="Y524" s="132"/>
      <c r="Z524" s="132"/>
      <c r="AA524" s="132"/>
      <c r="AB524" s="95"/>
      <c r="AC524" s="126"/>
      <c r="AD524" s="340"/>
      <c r="AE524" s="132"/>
      <c r="AF524" s="132"/>
      <c r="AG524" s="132"/>
      <c r="AH524" s="132"/>
      <c r="AI524" s="132"/>
      <c r="AJ524" s="95"/>
      <c r="AK524" s="95"/>
      <c r="AL524" s="95"/>
      <c r="AM524" s="95"/>
      <c r="AN524" s="132"/>
      <c r="AO524" s="132"/>
      <c r="AP524" s="95"/>
      <c r="AQ524" s="132"/>
      <c r="AR524" s="132"/>
    </row>
    <row r="525" spans="25:44" s="82" customFormat="1" x14ac:dyDescent="0.2">
      <c r="Y525" s="132"/>
      <c r="Z525" s="132"/>
      <c r="AA525" s="132"/>
      <c r="AB525" s="95"/>
      <c r="AC525" s="126"/>
      <c r="AD525" s="340"/>
      <c r="AE525" s="132"/>
      <c r="AF525" s="132"/>
      <c r="AG525" s="132"/>
      <c r="AH525" s="132"/>
      <c r="AI525" s="132"/>
      <c r="AJ525" s="95"/>
      <c r="AK525" s="95"/>
      <c r="AL525" s="95"/>
      <c r="AM525" s="95"/>
      <c r="AN525" s="132"/>
      <c r="AO525" s="132"/>
      <c r="AP525" s="95"/>
      <c r="AQ525" s="132"/>
      <c r="AR525" s="132"/>
    </row>
    <row r="526" spans="25:44" s="82" customFormat="1" x14ac:dyDescent="0.2">
      <c r="Y526" s="132"/>
      <c r="Z526" s="132"/>
      <c r="AA526" s="132"/>
      <c r="AB526" s="95"/>
      <c r="AC526" s="126"/>
      <c r="AD526" s="340"/>
      <c r="AE526" s="132"/>
      <c r="AF526" s="132"/>
      <c r="AG526" s="132"/>
      <c r="AH526" s="132"/>
      <c r="AI526" s="132"/>
      <c r="AJ526" s="95"/>
      <c r="AK526" s="95"/>
      <c r="AL526" s="95"/>
      <c r="AM526" s="95"/>
      <c r="AN526" s="132"/>
      <c r="AO526" s="132"/>
      <c r="AP526" s="95"/>
      <c r="AQ526" s="132"/>
      <c r="AR526" s="132"/>
    </row>
    <row r="527" spans="25:44" s="82" customFormat="1" x14ac:dyDescent="0.2">
      <c r="Y527" s="132"/>
      <c r="Z527" s="132"/>
      <c r="AA527" s="132"/>
      <c r="AB527" s="95"/>
      <c r="AC527" s="126"/>
      <c r="AD527" s="340"/>
      <c r="AE527" s="132"/>
      <c r="AF527" s="132"/>
      <c r="AG527" s="132"/>
      <c r="AH527" s="132"/>
      <c r="AI527" s="132"/>
      <c r="AJ527" s="95"/>
      <c r="AK527" s="95"/>
      <c r="AL527" s="95"/>
      <c r="AM527" s="95"/>
      <c r="AN527" s="132"/>
      <c r="AO527" s="132"/>
      <c r="AP527" s="95"/>
      <c r="AQ527" s="132"/>
      <c r="AR527" s="132"/>
    </row>
    <row r="528" spans="25:44" s="82" customFormat="1" x14ac:dyDescent="0.2">
      <c r="Y528" s="132"/>
      <c r="Z528" s="132"/>
      <c r="AA528" s="132"/>
      <c r="AB528" s="95"/>
      <c r="AC528" s="126"/>
      <c r="AD528" s="340"/>
      <c r="AE528" s="132"/>
      <c r="AF528" s="132"/>
      <c r="AG528" s="132"/>
      <c r="AH528" s="132"/>
      <c r="AI528" s="132"/>
      <c r="AJ528" s="95"/>
      <c r="AK528" s="95"/>
      <c r="AL528" s="95"/>
      <c r="AM528" s="95"/>
      <c r="AN528" s="132"/>
      <c r="AO528" s="132"/>
      <c r="AP528" s="95"/>
      <c r="AQ528" s="132"/>
      <c r="AR528" s="132"/>
    </row>
    <row r="529" spans="25:44" s="82" customFormat="1" x14ac:dyDescent="0.2">
      <c r="Y529" s="132"/>
      <c r="Z529" s="132"/>
      <c r="AA529" s="132"/>
      <c r="AB529" s="95"/>
      <c r="AC529" s="126"/>
      <c r="AD529" s="340"/>
      <c r="AE529" s="132"/>
      <c r="AF529" s="132"/>
      <c r="AG529" s="132"/>
      <c r="AH529" s="132"/>
      <c r="AI529" s="132"/>
      <c r="AJ529" s="95"/>
      <c r="AK529" s="95"/>
      <c r="AL529" s="95"/>
      <c r="AM529" s="95"/>
      <c r="AN529" s="132"/>
      <c r="AO529" s="132"/>
      <c r="AP529" s="95"/>
      <c r="AQ529" s="132"/>
      <c r="AR529" s="132"/>
    </row>
    <row r="530" spans="25:44" s="82" customFormat="1" x14ac:dyDescent="0.2">
      <c r="Y530" s="132"/>
      <c r="Z530" s="132"/>
      <c r="AA530" s="132"/>
      <c r="AB530" s="95"/>
      <c r="AC530" s="126"/>
      <c r="AD530" s="340"/>
      <c r="AE530" s="132"/>
      <c r="AF530" s="132"/>
      <c r="AG530" s="132"/>
      <c r="AH530" s="132"/>
      <c r="AI530" s="132"/>
      <c r="AJ530" s="95"/>
      <c r="AK530" s="95"/>
      <c r="AL530" s="95"/>
      <c r="AM530" s="95"/>
      <c r="AN530" s="132"/>
      <c r="AO530" s="132"/>
      <c r="AP530" s="95"/>
      <c r="AQ530" s="132"/>
      <c r="AR530" s="132"/>
    </row>
    <row r="531" spans="25:44" s="82" customFormat="1" x14ac:dyDescent="0.2">
      <c r="Y531" s="132"/>
      <c r="Z531" s="132"/>
      <c r="AA531" s="132"/>
      <c r="AB531" s="95"/>
      <c r="AC531" s="126"/>
      <c r="AD531" s="340"/>
      <c r="AE531" s="132"/>
      <c r="AF531" s="132"/>
      <c r="AG531" s="132"/>
      <c r="AH531" s="132"/>
      <c r="AI531" s="132"/>
      <c r="AJ531" s="95"/>
      <c r="AK531" s="95"/>
      <c r="AL531" s="95"/>
      <c r="AM531" s="95"/>
      <c r="AN531" s="132"/>
      <c r="AO531" s="132"/>
      <c r="AP531" s="95"/>
      <c r="AQ531" s="132"/>
      <c r="AR531" s="132"/>
    </row>
    <row r="532" spans="25:44" s="82" customFormat="1" x14ac:dyDescent="0.2">
      <c r="Y532" s="132"/>
      <c r="Z532" s="132"/>
      <c r="AA532" s="132"/>
      <c r="AB532" s="95"/>
      <c r="AC532" s="126"/>
      <c r="AD532" s="340"/>
      <c r="AE532" s="132"/>
      <c r="AF532" s="132"/>
      <c r="AG532" s="132"/>
      <c r="AH532" s="132"/>
      <c r="AI532" s="132"/>
      <c r="AJ532" s="95"/>
      <c r="AK532" s="95"/>
      <c r="AL532" s="95"/>
      <c r="AM532" s="95"/>
      <c r="AN532" s="132"/>
      <c r="AO532" s="132"/>
      <c r="AP532" s="95"/>
      <c r="AQ532" s="132"/>
      <c r="AR532" s="132"/>
    </row>
    <row r="533" spans="25:44" s="82" customFormat="1" x14ac:dyDescent="0.2">
      <c r="Y533" s="132"/>
      <c r="Z533" s="132"/>
      <c r="AA533" s="132"/>
      <c r="AB533" s="95"/>
      <c r="AC533" s="126"/>
      <c r="AD533" s="340"/>
      <c r="AE533" s="132"/>
      <c r="AF533" s="132"/>
      <c r="AG533" s="132"/>
      <c r="AH533" s="132"/>
      <c r="AI533" s="132"/>
      <c r="AJ533" s="95"/>
      <c r="AK533" s="95"/>
      <c r="AL533" s="95"/>
      <c r="AM533" s="95"/>
      <c r="AN533" s="132"/>
      <c r="AO533" s="132"/>
      <c r="AP533" s="95"/>
      <c r="AQ533" s="132"/>
      <c r="AR533" s="132"/>
    </row>
    <row r="534" spans="25:44" s="82" customFormat="1" x14ac:dyDescent="0.2">
      <c r="Y534" s="132"/>
      <c r="Z534" s="132"/>
      <c r="AA534" s="132"/>
      <c r="AB534" s="95"/>
      <c r="AC534" s="126"/>
      <c r="AD534" s="340"/>
      <c r="AE534" s="132"/>
      <c r="AF534" s="132"/>
      <c r="AG534" s="132"/>
      <c r="AH534" s="132"/>
      <c r="AI534" s="132"/>
      <c r="AJ534" s="95"/>
      <c r="AK534" s="95"/>
      <c r="AL534" s="95"/>
      <c r="AM534" s="95"/>
      <c r="AN534" s="132"/>
      <c r="AO534" s="132"/>
      <c r="AP534" s="95"/>
      <c r="AQ534" s="132"/>
      <c r="AR534" s="132"/>
    </row>
    <row r="535" spans="25:44" s="82" customFormat="1" x14ac:dyDescent="0.2">
      <c r="Y535" s="132"/>
      <c r="Z535" s="132"/>
      <c r="AA535" s="132"/>
      <c r="AB535" s="95"/>
      <c r="AC535" s="126"/>
      <c r="AD535" s="340"/>
      <c r="AE535" s="132"/>
      <c r="AF535" s="132"/>
      <c r="AG535" s="132"/>
      <c r="AH535" s="132"/>
      <c r="AI535" s="132"/>
      <c r="AJ535" s="95"/>
      <c r="AK535" s="95"/>
      <c r="AL535" s="95"/>
      <c r="AM535" s="95"/>
      <c r="AN535" s="132"/>
      <c r="AO535" s="132"/>
      <c r="AP535" s="95"/>
      <c r="AQ535" s="132"/>
      <c r="AR535" s="132"/>
    </row>
    <row r="536" spans="25:44" s="82" customFormat="1" x14ac:dyDescent="0.2">
      <c r="Y536" s="132"/>
      <c r="Z536" s="132"/>
      <c r="AA536" s="132"/>
      <c r="AB536" s="95"/>
      <c r="AC536" s="126"/>
      <c r="AD536" s="340"/>
      <c r="AE536" s="132"/>
      <c r="AF536" s="132"/>
      <c r="AG536" s="132"/>
      <c r="AH536" s="132"/>
      <c r="AI536" s="132"/>
      <c r="AJ536" s="95"/>
      <c r="AK536" s="95"/>
      <c r="AL536" s="95"/>
      <c r="AM536" s="95"/>
      <c r="AN536" s="132"/>
      <c r="AO536" s="132"/>
      <c r="AP536" s="95"/>
      <c r="AQ536" s="132"/>
      <c r="AR536" s="132"/>
    </row>
    <row r="537" spans="25:44" s="82" customFormat="1" x14ac:dyDescent="0.2">
      <c r="Y537" s="132"/>
      <c r="Z537" s="132"/>
      <c r="AA537" s="132"/>
      <c r="AB537" s="95"/>
      <c r="AC537" s="126"/>
      <c r="AD537" s="340"/>
      <c r="AE537" s="132"/>
      <c r="AF537" s="132"/>
      <c r="AG537" s="132"/>
      <c r="AH537" s="132"/>
      <c r="AI537" s="132"/>
      <c r="AJ537" s="95"/>
      <c r="AK537" s="95"/>
      <c r="AL537" s="95"/>
      <c r="AM537" s="95"/>
      <c r="AN537" s="132"/>
      <c r="AO537" s="132"/>
      <c r="AP537" s="95"/>
      <c r="AQ537" s="132"/>
      <c r="AR537" s="132"/>
    </row>
    <row r="538" spans="25:44" s="82" customFormat="1" x14ac:dyDescent="0.2">
      <c r="Y538" s="132"/>
      <c r="Z538" s="132"/>
      <c r="AA538" s="132"/>
      <c r="AB538" s="95"/>
      <c r="AC538" s="126"/>
      <c r="AD538" s="340"/>
      <c r="AE538" s="132"/>
      <c r="AF538" s="132"/>
      <c r="AG538" s="132"/>
      <c r="AH538" s="132"/>
      <c r="AI538" s="132"/>
      <c r="AJ538" s="95"/>
      <c r="AK538" s="95"/>
      <c r="AL538" s="95"/>
      <c r="AM538" s="95"/>
      <c r="AN538" s="132"/>
      <c r="AO538" s="132"/>
      <c r="AP538" s="95"/>
      <c r="AQ538" s="132"/>
      <c r="AR538" s="132"/>
    </row>
    <row r="539" spans="25:44" s="82" customFormat="1" x14ac:dyDescent="0.2">
      <c r="Y539" s="132"/>
      <c r="Z539" s="132"/>
      <c r="AA539" s="132"/>
      <c r="AB539" s="95"/>
      <c r="AC539" s="126"/>
      <c r="AD539" s="340"/>
      <c r="AE539" s="132"/>
      <c r="AF539" s="132"/>
      <c r="AG539" s="132"/>
      <c r="AH539" s="132"/>
      <c r="AI539" s="132"/>
      <c r="AJ539" s="95"/>
      <c r="AK539" s="95"/>
      <c r="AL539" s="95"/>
      <c r="AM539" s="95"/>
      <c r="AN539" s="132"/>
      <c r="AO539" s="132"/>
      <c r="AP539" s="95"/>
      <c r="AQ539" s="132"/>
      <c r="AR539" s="132"/>
    </row>
    <row r="540" spans="25:44" s="82" customFormat="1" x14ac:dyDescent="0.2">
      <c r="Y540" s="132"/>
      <c r="Z540" s="132"/>
      <c r="AA540" s="132"/>
      <c r="AB540" s="95"/>
      <c r="AC540" s="126"/>
      <c r="AD540" s="340"/>
      <c r="AE540" s="132"/>
      <c r="AF540" s="132"/>
      <c r="AG540" s="132"/>
      <c r="AH540" s="132"/>
      <c r="AI540" s="132"/>
      <c r="AJ540" s="95"/>
      <c r="AK540" s="95"/>
      <c r="AL540" s="95"/>
      <c r="AM540" s="95"/>
      <c r="AN540" s="132"/>
      <c r="AO540" s="132"/>
      <c r="AP540" s="95"/>
      <c r="AQ540" s="132"/>
      <c r="AR540" s="132"/>
    </row>
    <row r="541" spans="25:44" s="82" customFormat="1" x14ac:dyDescent="0.2">
      <c r="Y541" s="132"/>
      <c r="Z541" s="132"/>
      <c r="AA541" s="132"/>
      <c r="AB541" s="95"/>
      <c r="AC541" s="126"/>
      <c r="AD541" s="340"/>
      <c r="AE541" s="132"/>
      <c r="AF541" s="132"/>
      <c r="AG541" s="132"/>
      <c r="AH541" s="132"/>
      <c r="AI541" s="132"/>
      <c r="AJ541" s="95"/>
      <c r="AK541" s="95"/>
      <c r="AL541" s="95"/>
      <c r="AM541" s="95"/>
      <c r="AN541" s="132"/>
      <c r="AO541" s="132"/>
      <c r="AP541" s="95"/>
      <c r="AQ541" s="132"/>
      <c r="AR541" s="132"/>
    </row>
    <row r="542" spans="25:44" s="82" customFormat="1" x14ac:dyDescent="0.2">
      <c r="Y542" s="132"/>
      <c r="Z542" s="132"/>
      <c r="AA542" s="132"/>
      <c r="AB542" s="95"/>
      <c r="AC542" s="126"/>
      <c r="AD542" s="340"/>
      <c r="AE542" s="132"/>
      <c r="AF542" s="132"/>
      <c r="AG542" s="132"/>
      <c r="AH542" s="132"/>
      <c r="AI542" s="132"/>
      <c r="AJ542" s="95"/>
      <c r="AK542" s="95"/>
      <c r="AL542" s="95"/>
      <c r="AM542" s="95"/>
      <c r="AN542" s="132"/>
      <c r="AO542" s="132"/>
      <c r="AP542" s="95"/>
      <c r="AQ542" s="132"/>
      <c r="AR542" s="132"/>
    </row>
    <row r="543" spans="25:44" s="82" customFormat="1" x14ac:dyDescent="0.2">
      <c r="Y543" s="132"/>
      <c r="Z543" s="132"/>
      <c r="AA543" s="132"/>
      <c r="AB543" s="95"/>
      <c r="AC543" s="126"/>
      <c r="AD543" s="340"/>
      <c r="AE543" s="132"/>
      <c r="AF543" s="132"/>
      <c r="AG543" s="132"/>
      <c r="AH543" s="132"/>
      <c r="AI543" s="132"/>
      <c r="AJ543" s="95"/>
      <c r="AK543" s="95"/>
      <c r="AL543" s="95"/>
      <c r="AM543" s="95"/>
      <c r="AN543" s="132"/>
      <c r="AO543" s="132"/>
      <c r="AP543" s="95"/>
      <c r="AQ543" s="132"/>
      <c r="AR543" s="132"/>
    </row>
    <row r="544" spans="25:44" s="82" customFormat="1" x14ac:dyDescent="0.2">
      <c r="Y544" s="132"/>
      <c r="Z544" s="132"/>
      <c r="AA544" s="132"/>
      <c r="AB544" s="95"/>
      <c r="AC544" s="126"/>
      <c r="AD544" s="340"/>
      <c r="AE544" s="132"/>
      <c r="AF544" s="132"/>
      <c r="AG544" s="132"/>
      <c r="AH544" s="132"/>
      <c r="AI544" s="132"/>
      <c r="AJ544" s="95"/>
      <c r="AK544" s="95"/>
      <c r="AL544" s="95"/>
      <c r="AM544" s="95"/>
      <c r="AN544" s="132"/>
      <c r="AO544" s="132"/>
      <c r="AP544" s="95"/>
      <c r="AQ544" s="132"/>
      <c r="AR544" s="132"/>
    </row>
    <row r="545" spans="25:44" s="82" customFormat="1" x14ac:dyDescent="0.2">
      <c r="Y545" s="132"/>
      <c r="Z545" s="132"/>
      <c r="AA545" s="132"/>
      <c r="AB545" s="95"/>
      <c r="AC545" s="126"/>
      <c r="AD545" s="340"/>
      <c r="AE545" s="132"/>
      <c r="AF545" s="132"/>
      <c r="AG545" s="132"/>
      <c r="AH545" s="132"/>
      <c r="AI545" s="132"/>
      <c r="AJ545" s="95"/>
      <c r="AK545" s="95"/>
      <c r="AL545" s="95"/>
      <c r="AM545" s="95"/>
      <c r="AN545" s="132"/>
      <c r="AO545" s="132"/>
      <c r="AP545" s="95"/>
      <c r="AQ545" s="132"/>
      <c r="AR545" s="132"/>
    </row>
    <row r="546" spans="25:44" s="82" customFormat="1" x14ac:dyDescent="0.2">
      <c r="Y546" s="132"/>
      <c r="Z546" s="132"/>
      <c r="AA546" s="132"/>
      <c r="AB546" s="95"/>
      <c r="AC546" s="126"/>
      <c r="AD546" s="340"/>
      <c r="AE546" s="132"/>
      <c r="AF546" s="132"/>
      <c r="AG546" s="132"/>
      <c r="AH546" s="132"/>
      <c r="AI546" s="132"/>
      <c r="AJ546" s="95"/>
      <c r="AK546" s="95"/>
      <c r="AL546" s="95"/>
      <c r="AM546" s="95"/>
      <c r="AN546" s="132"/>
      <c r="AO546" s="132"/>
      <c r="AP546" s="95"/>
      <c r="AQ546" s="132"/>
      <c r="AR546" s="132"/>
    </row>
    <row r="547" spans="25:44" s="82" customFormat="1" x14ac:dyDescent="0.2">
      <c r="Y547" s="132"/>
      <c r="Z547" s="132"/>
      <c r="AA547" s="132"/>
      <c r="AB547" s="95"/>
      <c r="AC547" s="126"/>
      <c r="AD547" s="340"/>
      <c r="AE547" s="132"/>
      <c r="AF547" s="132"/>
      <c r="AG547" s="132"/>
      <c r="AH547" s="132"/>
      <c r="AI547" s="132"/>
      <c r="AJ547" s="95"/>
      <c r="AK547" s="95"/>
      <c r="AL547" s="95"/>
      <c r="AM547" s="95"/>
      <c r="AN547" s="132"/>
      <c r="AO547" s="132"/>
      <c r="AP547" s="95"/>
      <c r="AQ547" s="132"/>
      <c r="AR547" s="132"/>
    </row>
    <row r="548" spans="25:44" s="82" customFormat="1" x14ac:dyDescent="0.2">
      <c r="Y548" s="132"/>
      <c r="Z548" s="132"/>
      <c r="AA548" s="132"/>
      <c r="AB548" s="95"/>
      <c r="AC548" s="126"/>
      <c r="AD548" s="340"/>
      <c r="AE548" s="132"/>
      <c r="AF548" s="132"/>
      <c r="AG548" s="132"/>
      <c r="AH548" s="132"/>
      <c r="AI548" s="132"/>
      <c r="AJ548" s="95"/>
      <c r="AK548" s="95"/>
      <c r="AL548" s="95"/>
      <c r="AM548" s="95"/>
      <c r="AN548" s="132"/>
      <c r="AO548" s="132"/>
      <c r="AP548" s="95"/>
      <c r="AQ548" s="132"/>
      <c r="AR548" s="132"/>
    </row>
    <row r="549" spans="25:44" s="82" customFormat="1" x14ac:dyDescent="0.2">
      <c r="Y549" s="132"/>
      <c r="Z549" s="132"/>
      <c r="AA549" s="132"/>
      <c r="AB549" s="95"/>
      <c r="AC549" s="126"/>
      <c r="AD549" s="340"/>
      <c r="AE549" s="132"/>
      <c r="AF549" s="132"/>
      <c r="AG549" s="132"/>
      <c r="AH549" s="132"/>
      <c r="AI549" s="132"/>
      <c r="AJ549" s="95"/>
      <c r="AK549" s="95"/>
      <c r="AL549" s="95"/>
      <c r="AM549" s="95"/>
      <c r="AN549" s="132"/>
      <c r="AO549" s="132"/>
      <c r="AP549" s="95"/>
      <c r="AQ549" s="132"/>
      <c r="AR549" s="132"/>
    </row>
    <row r="550" spans="25:44" s="82" customFormat="1" x14ac:dyDescent="0.2">
      <c r="Y550" s="132"/>
      <c r="Z550" s="132"/>
      <c r="AA550" s="132"/>
      <c r="AB550" s="95"/>
      <c r="AC550" s="126"/>
      <c r="AD550" s="340"/>
      <c r="AE550" s="132"/>
      <c r="AF550" s="132"/>
      <c r="AG550" s="132"/>
      <c r="AH550" s="132"/>
      <c r="AI550" s="132"/>
      <c r="AJ550" s="95"/>
      <c r="AK550" s="95"/>
      <c r="AL550" s="95"/>
      <c r="AM550" s="95"/>
      <c r="AN550" s="132"/>
      <c r="AO550" s="132"/>
      <c r="AP550" s="95"/>
      <c r="AQ550" s="132"/>
      <c r="AR550" s="132"/>
    </row>
    <row r="551" spans="25:44" s="82" customFormat="1" x14ac:dyDescent="0.2">
      <c r="Y551" s="132"/>
      <c r="Z551" s="132"/>
      <c r="AA551" s="132"/>
      <c r="AB551" s="95"/>
      <c r="AC551" s="126"/>
      <c r="AD551" s="340"/>
      <c r="AE551" s="132"/>
      <c r="AF551" s="132"/>
      <c r="AG551" s="132"/>
      <c r="AH551" s="132"/>
      <c r="AI551" s="132"/>
      <c r="AJ551" s="95"/>
      <c r="AK551" s="95"/>
      <c r="AL551" s="95"/>
      <c r="AM551" s="95"/>
      <c r="AN551" s="132"/>
      <c r="AO551" s="132"/>
      <c r="AP551" s="95"/>
      <c r="AQ551" s="132"/>
      <c r="AR551" s="132"/>
    </row>
    <row r="552" spans="25:44" s="82" customFormat="1" x14ac:dyDescent="0.2">
      <c r="Y552" s="132"/>
      <c r="Z552" s="132"/>
      <c r="AA552" s="132"/>
      <c r="AB552" s="95"/>
      <c r="AC552" s="126"/>
      <c r="AD552" s="340"/>
      <c r="AE552" s="132"/>
      <c r="AF552" s="132"/>
      <c r="AG552" s="132"/>
      <c r="AH552" s="132"/>
      <c r="AI552" s="132"/>
      <c r="AJ552" s="95"/>
      <c r="AK552" s="95"/>
      <c r="AL552" s="95"/>
      <c r="AM552" s="95"/>
      <c r="AN552" s="132"/>
      <c r="AO552" s="132"/>
      <c r="AP552" s="95"/>
      <c r="AQ552" s="132"/>
      <c r="AR552" s="132"/>
    </row>
    <row r="553" spans="25:44" s="82" customFormat="1" x14ac:dyDescent="0.2">
      <c r="Y553" s="132"/>
      <c r="Z553" s="132"/>
      <c r="AA553" s="132"/>
      <c r="AB553" s="95"/>
      <c r="AC553" s="126"/>
      <c r="AD553" s="340"/>
      <c r="AE553" s="132"/>
      <c r="AF553" s="132"/>
      <c r="AG553" s="132"/>
      <c r="AH553" s="132"/>
      <c r="AI553" s="132"/>
      <c r="AJ553" s="95"/>
      <c r="AK553" s="95"/>
      <c r="AL553" s="95"/>
      <c r="AM553" s="95"/>
      <c r="AN553" s="132"/>
      <c r="AO553" s="132"/>
      <c r="AP553" s="95"/>
      <c r="AQ553" s="132"/>
      <c r="AR553" s="132"/>
    </row>
    <row r="554" spans="25:44" s="82" customFormat="1" x14ac:dyDescent="0.2">
      <c r="Y554" s="132"/>
      <c r="Z554" s="132"/>
      <c r="AA554" s="132"/>
      <c r="AB554" s="95"/>
      <c r="AC554" s="126"/>
      <c r="AD554" s="340"/>
      <c r="AE554" s="132"/>
      <c r="AF554" s="132"/>
      <c r="AG554" s="132"/>
      <c r="AH554" s="132"/>
      <c r="AI554" s="132"/>
      <c r="AJ554" s="95"/>
      <c r="AK554" s="95"/>
      <c r="AL554" s="95"/>
      <c r="AM554" s="95"/>
      <c r="AN554" s="132"/>
      <c r="AO554" s="132"/>
      <c r="AP554" s="95"/>
      <c r="AQ554" s="132"/>
      <c r="AR554" s="132"/>
    </row>
    <row r="555" spans="25:44" s="82" customFormat="1" x14ac:dyDescent="0.2">
      <c r="Y555" s="132"/>
      <c r="Z555" s="132"/>
      <c r="AA555" s="132"/>
      <c r="AB555" s="95"/>
      <c r="AC555" s="126"/>
      <c r="AD555" s="340"/>
      <c r="AE555" s="132"/>
      <c r="AF555" s="132"/>
      <c r="AG555" s="132"/>
      <c r="AH555" s="132"/>
      <c r="AI555" s="132"/>
      <c r="AJ555" s="95"/>
      <c r="AK555" s="95"/>
      <c r="AL555" s="95"/>
      <c r="AM555" s="95"/>
      <c r="AN555" s="132"/>
      <c r="AO555" s="132"/>
      <c r="AP555" s="95"/>
      <c r="AQ555" s="132"/>
      <c r="AR555" s="132"/>
    </row>
    <row r="556" spans="25:44" s="82" customFormat="1" x14ac:dyDescent="0.2">
      <c r="Y556" s="132"/>
      <c r="Z556" s="132"/>
      <c r="AA556" s="132"/>
      <c r="AB556" s="95"/>
      <c r="AC556" s="126"/>
      <c r="AD556" s="340"/>
      <c r="AE556" s="132"/>
      <c r="AF556" s="132"/>
      <c r="AG556" s="132"/>
      <c r="AH556" s="132"/>
      <c r="AI556" s="132"/>
      <c r="AJ556" s="95"/>
      <c r="AK556" s="95"/>
      <c r="AL556" s="95"/>
      <c r="AM556" s="95"/>
      <c r="AN556" s="132"/>
      <c r="AO556" s="132"/>
      <c r="AP556" s="95"/>
      <c r="AQ556" s="132"/>
      <c r="AR556" s="132"/>
    </row>
    <row r="557" spans="25:44" s="82" customFormat="1" x14ac:dyDescent="0.2">
      <c r="Y557" s="132"/>
      <c r="Z557" s="132"/>
      <c r="AA557" s="132"/>
      <c r="AB557" s="95"/>
      <c r="AC557" s="126"/>
      <c r="AD557" s="340"/>
      <c r="AE557" s="132"/>
      <c r="AF557" s="132"/>
      <c r="AG557" s="132"/>
      <c r="AH557" s="132"/>
      <c r="AI557" s="132"/>
      <c r="AJ557" s="95"/>
      <c r="AK557" s="95"/>
      <c r="AL557" s="95"/>
      <c r="AM557" s="95"/>
      <c r="AN557" s="132"/>
      <c r="AO557" s="132"/>
      <c r="AP557" s="95"/>
      <c r="AQ557" s="132"/>
      <c r="AR557" s="132"/>
    </row>
    <row r="558" spans="25:44" s="82" customFormat="1" x14ac:dyDescent="0.2">
      <c r="Y558" s="132"/>
      <c r="Z558" s="132"/>
      <c r="AA558" s="132"/>
      <c r="AB558" s="95"/>
      <c r="AC558" s="126"/>
      <c r="AD558" s="340"/>
      <c r="AE558" s="132"/>
      <c r="AF558" s="132"/>
      <c r="AG558" s="132"/>
      <c r="AH558" s="132"/>
      <c r="AI558" s="132"/>
      <c r="AJ558" s="95"/>
      <c r="AK558" s="95"/>
      <c r="AL558" s="95"/>
      <c r="AM558" s="95"/>
      <c r="AN558" s="132"/>
      <c r="AO558" s="132"/>
      <c r="AP558" s="95"/>
      <c r="AQ558" s="132"/>
      <c r="AR558" s="132"/>
    </row>
    <row r="559" spans="25:44" s="82" customFormat="1" x14ac:dyDescent="0.2">
      <c r="Y559" s="132"/>
      <c r="Z559" s="132"/>
      <c r="AA559" s="132"/>
      <c r="AB559" s="95"/>
      <c r="AC559" s="126"/>
      <c r="AD559" s="340"/>
      <c r="AE559" s="132"/>
      <c r="AF559" s="132"/>
      <c r="AG559" s="132"/>
      <c r="AH559" s="132"/>
      <c r="AI559" s="132"/>
      <c r="AJ559" s="95"/>
      <c r="AK559" s="95"/>
      <c r="AL559" s="95"/>
      <c r="AM559" s="95"/>
      <c r="AN559" s="132"/>
      <c r="AO559" s="132"/>
      <c r="AP559" s="95"/>
      <c r="AQ559" s="132"/>
      <c r="AR559" s="132"/>
    </row>
    <row r="560" spans="25:44" s="82" customFormat="1" x14ac:dyDescent="0.2">
      <c r="Y560" s="132"/>
      <c r="Z560" s="132"/>
      <c r="AA560" s="132"/>
      <c r="AB560" s="95"/>
      <c r="AC560" s="126"/>
      <c r="AD560" s="340"/>
      <c r="AE560" s="132"/>
      <c r="AF560" s="132"/>
      <c r="AG560" s="132"/>
      <c r="AH560" s="132"/>
      <c r="AI560" s="132"/>
      <c r="AJ560" s="95"/>
      <c r="AK560" s="95"/>
      <c r="AL560" s="95"/>
      <c r="AM560" s="95"/>
      <c r="AN560" s="132"/>
      <c r="AO560" s="132"/>
      <c r="AP560" s="95"/>
      <c r="AQ560" s="132"/>
      <c r="AR560" s="132"/>
    </row>
    <row r="561" spans="25:44" s="82" customFormat="1" x14ac:dyDescent="0.2">
      <c r="Y561" s="132"/>
      <c r="Z561" s="132"/>
      <c r="AA561" s="132"/>
      <c r="AB561" s="95"/>
      <c r="AC561" s="126"/>
      <c r="AD561" s="340"/>
      <c r="AE561" s="132"/>
      <c r="AF561" s="132"/>
      <c r="AG561" s="132"/>
      <c r="AH561" s="132"/>
      <c r="AI561" s="132"/>
      <c r="AJ561" s="95"/>
      <c r="AK561" s="95"/>
      <c r="AL561" s="95"/>
      <c r="AM561" s="95"/>
      <c r="AN561" s="132"/>
      <c r="AO561" s="132"/>
      <c r="AP561" s="95"/>
      <c r="AQ561" s="132"/>
      <c r="AR561" s="132"/>
    </row>
    <row r="562" spans="25:44" s="82" customFormat="1" x14ac:dyDescent="0.2">
      <c r="Y562" s="132"/>
      <c r="Z562" s="132"/>
      <c r="AA562" s="132"/>
      <c r="AB562" s="95"/>
      <c r="AC562" s="126"/>
      <c r="AD562" s="340"/>
      <c r="AE562" s="132"/>
      <c r="AF562" s="132"/>
      <c r="AG562" s="132"/>
      <c r="AH562" s="132"/>
      <c r="AI562" s="132"/>
      <c r="AJ562" s="95"/>
      <c r="AK562" s="95"/>
      <c r="AL562" s="95"/>
      <c r="AM562" s="95"/>
      <c r="AN562" s="132"/>
      <c r="AO562" s="132"/>
      <c r="AP562" s="95"/>
      <c r="AQ562" s="132"/>
      <c r="AR562" s="132"/>
    </row>
    <row r="563" spans="25:44" s="82" customFormat="1" x14ac:dyDescent="0.2">
      <c r="Y563" s="132"/>
      <c r="Z563" s="132"/>
      <c r="AA563" s="132"/>
      <c r="AB563" s="95"/>
      <c r="AC563" s="126"/>
      <c r="AD563" s="340"/>
      <c r="AE563" s="132"/>
      <c r="AF563" s="132"/>
      <c r="AG563" s="132"/>
      <c r="AH563" s="132"/>
      <c r="AI563" s="132"/>
      <c r="AJ563" s="95"/>
      <c r="AK563" s="95"/>
      <c r="AL563" s="95"/>
      <c r="AM563" s="95"/>
      <c r="AN563" s="132"/>
      <c r="AO563" s="132"/>
      <c r="AP563" s="95"/>
      <c r="AQ563" s="132"/>
      <c r="AR563" s="132"/>
    </row>
    <row r="564" spans="25:44" s="82" customFormat="1" x14ac:dyDescent="0.2">
      <c r="Y564" s="132"/>
      <c r="Z564" s="132"/>
      <c r="AA564" s="132"/>
      <c r="AB564" s="95"/>
      <c r="AC564" s="126"/>
      <c r="AD564" s="340"/>
      <c r="AE564" s="132"/>
      <c r="AF564" s="132"/>
      <c r="AG564" s="132"/>
      <c r="AH564" s="132"/>
      <c r="AI564" s="132"/>
      <c r="AJ564" s="95"/>
      <c r="AK564" s="95"/>
      <c r="AL564" s="95"/>
      <c r="AM564" s="95"/>
      <c r="AN564" s="132"/>
      <c r="AO564" s="132"/>
      <c r="AP564" s="95"/>
      <c r="AQ564" s="132"/>
      <c r="AR564" s="132"/>
    </row>
    <row r="565" spans="25:44" s="82" customFormat="1" x14ac:dyDescent="0.2">
      <c r="Y565" s="132"/>
      <c r="Z565" s="132"/>
      <c r="AA565" s="132"/>
      <c r="AB565" s="95"/>
      <c r="AC565" s="126"/>
      <c r="AD565" s="340"/>
      <c r="AE565" s="132"/>
      <c r="AF565" s="132"/>
      <c r="AG565" s="132"/>
      <c r="AH565" s="132"/>
      <c r="AI565" s="132"/>
      <c r="AJ565" s="95"/>
      <c r="AK565" s="95"/>
      <c r="AL565" s="95"/>
      <c r="AM565" s="95"/>
      <c r="AN565" s="132"/>
      <c r="AO565" s="132"/>
      <c r="AP565" s="95"/>
      <c r="AQ565" s="132"/>
      <c r="AR565" s="132"/>
    </row>
    <row r="566" spans="25:44" s="82" customFormat="1" x14ac:dyDescent="0.2">
      <c r="Y566" s="132"/>
      <c r="Z566" s="132"/>
      <c r="AA566" s="132"/>
      <c r="AB566" s="95"/>
      <c r="AC566" s="126"/>
      <c r="AD566" s="340"/>
      <c r="AE566" s="132"/>
      <c r="AF566" s="132"/>
      <c r="AG566" s="132"/>
      <c r="AH566" s="132"/>
      <c r="AI566" s="132"/>
      <c r="AJ566" s="95"/>
      <c r="AK566" s="95"/>
      <c r="AL566" s="95"/>
      <c r="AM566" s="95"/>
      <c r="AN566" s="132"/>
      <c r="AO566" s="132"/>
      <c r="AP566" s="95"/>
      <c r="AQ566" s="132"/>
      <c r="AR566" s="132"/>
    </row>
    <row r="567" spans="25:44" s="82" customFormat="1" x14ac:dyDescent="0.2">
      <c r="Y567" s="132"/>
      <c r="Z567" s="132"/>
      <c r="AA567" s="132"/>
      <c r="AB567" s="95"/>
      <c r="AC567" s="126"/>
      <c r="AD567" s="340"/>
      <c r="AE567" s="132"/>
      <c r="AF567" s="132"/>
      <c r="AG567" s="132"/>
      <c r="AH567" s="132"/>
      <c r="AI567" s="132"/>
      <c r="AJ567" s="95"/>
      <c r="AK567" s="95"/>
      <c r="AL567" s="95"/>
      <c r="AM567" s="95"/>
      <c r="AN567" s="132"/>
      <c r="AO567" s="132"/>
      <c r="AP567" s="95"/>
      <c r="AQ567" s="132"/>
      <c r="AR567" s="132"/>
    </row>
    <row r="568" spans="25:44" s="82" customFormat="1" x14ac:dyDescent="0.2">
      <c r="Y568" s="132"/>
      <c r="Z568" s="132"/>
      <c r="AA568" s="132"/>
      <c r="AB568" s="95"/>
      <c r="AC568" s="126"/>
      <c r="AD568" s="340"/>
      <c r="AE568" s="132"/>
      <c r="AF568" s="132"/>
      <c r="AG568" s="132"/>
      <c r="AH568" s="132"/>
      <c r="AI568" s="132"/>
      <c r="AJ568" s="95"/>
      <c r="AK568" s="95"/>
      <c r="AL568" s="95"/>
      <c r="AM568" s="95"/>
      <c r="AN568" s="132"/>
      <c r="AO568" s="132"/>
      <c r="AP568" s="95"/>
      <c r="AQ568" s="132"/>
      <c r="AR568" s="132"/>
    </row>
    <row r="569" spans="25:44" s="82" customFormat="1" x14ac:dyDescent="0.2">
      <c r="Y569" s="132"/>
      <c r="Z569" s="132"/>
      <c r="AA569" s="132"/>
      <c r="AB569" s="95"/>
      <c r="AC569" s="126"/>
      <c r="AD569" s="340"/>
      <c r="AE569" s="132"/>
      <c r="AF569" s="132"/>
      <c r="AG569" s="132"/>
      <c r="AH569" s="132"/>
      <c r="AI569" s="132"/>
      <c r="AJ569" s="95"/>
      <c r="AK569" s="95"/>
      <c r="AL569" s="95"/>
      <c r="AM569" s="95"/>
      <c r="AN569" s="132"/>
      <c r="AO569" s="132"/>
      <c r="AP569" s="95"/>
      <c r="AQ569" s="132"/>
      <c r="AR569" s="132"/>
    </row>
    <row r="570" spans="25:44" s="82" customFormat="1" x14ac:dyDescent="0.2">
      <c r="Y570" s="132"/>
      <c r="Z570" s="132"/>
      <c r="AA570" s="132"/>
      <c r="AB570" s="95"/>
      <c r="AC570" s="126"/>
      <c r="AD570" s="340"/>
      <c r="AE570" s="132"/>
      <c r="AF570" s="132"/>
      <c r="AG570" s="132"/>
      <c r="AH570" s="132"/>
      <c r="AI570" s="132"/>
      <c r="AJ570" s="95"/>
      <c r="AK570" s="95"/>
      <c r="AL570" s="95"/>
      <c r="AM570" s="95"/>
      <c r="AN570" s="132"/>
      <c r="AO570" s="132"/>
      <c r="AP570" s="95"/>
      <c r="AQ570" s="132"/>
      <c r="AR570" s="132"/>
    </row>
    <row r="571" spans="25:44" s="82" customFormat="1" x14ac:dyDescent="0.2">
      <c r="Y571" s="132"/>
      <c r="Z571" s="132"/>
      <c r="AA571" s="132"/>
      <c r="AB571" s="95"/>
      <c r="AC571" s="126"/>
      <c r="AD571" s="340"/>
      <c r="AE571" s="132"/>
      <c r="AF571" s="132"/>
      <c r="AG571" s="132"/>
      <c r="AH571" s="132"/>
      <c r="AI571" s="132"/>
      <c r="AJ571" s="95"/>
      <c r="AK571" s="95"/>
      <c r="AL571" s="95"/>
      <c r="AM571" s="95"/>
      <c r="AN571" s="132"/>
      <c r="AO571" s="132"/>
      <c r="AP571" s="95"/>
      <c r="AQ571" s="132"/>
      <c r="AR571" s="132"/>
    </row>
    <row r="572" spans="25:44" s="82" customFormat="1" x14ac:dyDescent="0.2">
      <c r="Y572" s="132"/>
      <c r="Z572" s="132"/>
      <c r="AA572" s="132"/>
      <c r="AB572" s="95"/>
      <c r="AC572" s="126"/>
      <c r="AD572" s="340"/>
      <c r="AE572" s="132"/>
      <c r="AF572" s="132"/>
      <c r="AG572" s="132"/>
      <c r="AH572" s="132"/>
      <c r="AI572" s="132"/>
      <c r="AJ572" s="95"/>
      <c r="AK572" s="95"/>
      <c r="AL572" s="95"/>
      <c r="AM572" s="95"/>
      <c r="AN572" s="132"/>
      <c r="AO572" s="132"/>
      <c r="AP572" s="95"/>
      <c r="AQ572" s="132"/>
      <c r="AR572" s="132"/>
    </row>
    <row r="573" spans="25:44" s="82" customFormat="1" x14ac:dyDescent="0.2">
      <c r="Y573" s="132"/>
      <c r="Z573" s="132"/>
      <c r="AA573" s="132"/>
      <c r="AB573" s="95"/>
      <c r="AC573" s="126"/>
      <c r="AD573" s="340"/>
      <c r="AE573" s="132"/>
      <c r="AF573" s="132"/>
      <c r="AG573" s="132"/>
      <c r="AH573" s="132"/>
      <c r="AI573" s="132"/>
      <c r="AJ573" s="95"/>
      <c r="AK573" s="95"/>
      <c r="AL573" s="95"/>
      <c r="AM573" s="95"/>
      <c r="AN573" s="132"/>
      <c r="AO573" s="132"/>
      <c r="AP573" s="95"/>
      <c r="AQ573" s="132"/>
      <c r="AR573" s="132"/>
    </row>
    <row r="574" spans="25:44" s="82" customFormat="1" x14ac:dyDescent="0.2">
      <c r="Y574" s="132"/>
      <c r="Z574" s="132"/>
      <c r="AA574" s="132"/>
      <c r="AB574" s="95"/>
      <c r="AC574" s="126"/>
      <c r="AD574" s="340"/>
      <c r="AE574" s="132"/>
      <c r="AF574" s="132"/>
      <c r="AG574" s="132"/>
      <c r="AH574" s="132"/>
      <c r="AI574" s="132"/>
      <c r="AJ574" s="95"/>
      <c r="AK574" s="95"/>
      <c r="AL574" s="95"/>
      <c r="AM574" s="95"/>
      <c r="AN574" s="132"/>
      <c r="AO574" s="132"/>
      <c r="AP574" s="95"/>
      <c r="AQ574" s="132"/>
      <c r="AR574" s="132"/>
    </row>
    <row r="575" spans="25:44" s="82" customFormat="1" x14ac:dyDescent="0.2">
      <c r="Y575" s="132"/>
      <c r="Z575" s="132"/>
      <c r="AA575" s="132"/>
      <c r="AB575" s="95"/>
      <c r="AC575" s="126"/>
      <c r="AD575" s="340"/>
      <c r="AE575" s="132"/>
      <c r="AF575" s="132"/>
      <c r="AG575" s="132"/>
      <c r="AH575" s="132"/>
      <c r="AI575" s="132"/>
      <c r="AJ575" s="95"/>
      <c r="AK575" s="95"/>
      <c r="AL575" s="95"/>
      <c r="AM575" s="95"/>
      <c r="AN575" s="132"/>
      <c r="AO575" s="132"/>
      <c r="AP575" s="95"/>
      <c r="AQ575" s="132"/>
      <c r="AR575" s="132"/>
    </row>
    <row r="576" spans="25:44" s="82" customFormat="1" x14ac:dyDescent="0.2">
      <c r="Y576" s="132"/>
      <c r="Z576" s="132"/>
      <c r="AA576" s="132"/>
      <c r="AB576" s="95"/>
      <c r="AC576" s="126"/>
      <c r="AD576" s="340"/>
      <c r="AE576" s="132"/>
      <c r="AF576" s="132"/>
      <c r="AG576" s="132"/>
      <c r="AH576" s="132"/>
      <c r="AI576" s="132"/>
      <c r="AJ576" s="95"/>
      <c r="AK576" s="95"/>
      <c r="AL576" s="95"/>
      <c r="AM576" s="95"/>
      <c r="AN576" s="132"/>
      <c r="AO576" s="132"/>
      <c r="AP576" s="95"/>
      <c r="AQ576" s="132"/>
      <c r="AR576" s="132"/>
    </row>
    <row r="577" spans="25:44" s="82" customFormat="1" x14ac:dyDescent="0.2">
      <c r="Y577" s="132"/>
      <c r="Z577" s="132"/>
      <c r="AA577" s="132"/>
      <c r="AB577" s="95"/>
      <c r="AC577" s="126"/>
      <c r="AD577" s="340"/>
      <c r="AE577" s="132"/>
      <c r="AF577" s="132"/>
      <c r="AG577" s="132"/>
      <c r="AH577" s="132"/>
      <c r="AI577" s="132"/>
      <c r="AJ577" s="95"/>
      <c r="AK577" s="95"/>
      <c r="AL577" s="95"/>
      <c r="AM577" s="95"/>
      <c r="AN577" s="132"/>
      <c r="AO577" s="132"/>
      <c r="AP577" s="95"/>
      <c r="AQ577" s="132"/>
      <c r="AR577" s="132"/>
    </row>
    <row r="578" spans="25:44" s="82" customFormat="1" x14ac:dyDescent="0.2">
      <c r="Y578" s="132"/>
      <c r="Z578" s="132"/>
      <c r="AA578" s="132"/>
      <c r="AB578" s="95"/>
      <c r="AC578" s="126"/>
      <c r="AD578" s="340"/>
      <c r="AE578" s="132"/>
      <c r="AF578" s="132"/>
      <c r="AG578" s="132"/>
      <c r="AH578" s="132"/>
      <c r="AI578" s="132"/>
      <c r="AJ578" s="95"/>
      <c r="AK578" s="95"/>
      <c r="AL578" s="95"/>
      <c r="AM578" s="95"/>
      <c r="AN578" s="132"/>
      <c r="AO578" s="132"/>
      <c r="AP578" s="95"/>
      <c r="AQ578" s="132"/>
      <c r="AR578" s="132"/>
    </row>
    <row r="579" spans="25:44" s="82" customFormat="1" x14ac:dyDescent="0.2">
      <c r="Y579" s="132"/>
      <c r="Z579" s="132"/>
      <c r="AA579" s="132"/>
      <c r="AB579" s="95"/>
      <c r="AC579" s="126"/>
      <c r="AD579" s="340"/>
      <c r="AE579" s="132"/>
      <c r="AF579" s="132"/>
      <c r="AG579" s="132"/>
      <c r="AH579" s="132"/>
      <c r="AI579" s="132"/>
      <c r="AJ579" s="95"/>
      <c r="AK579" s="95"/>
      <c r="AL579" s="95"/>
      <c r="AM579" s="95"/>
      <c r="AN579" s="132"/>
      <c r="AO579" s="132"/>
      <c r="AP579" s="95"/>
      <c r="AQ579" s="132"/>
      <c r="AR579" s="132"/>
    </row>
    <row r="580" spans="25:44" s="82" customFormat="1" x14ac:dyDescent="0.2">
      <c r="Y580" s="132"/>
      <c r="Z580" s="132"/>
      <c r="AA580" s="132"/>
      <c r="AB580" s="95"/>
      <c r="AC580" s="126"/>
      <c r="AD580" s="340"/>
      <c r="AE580" s="132"/>
      <c r="AF580" s="132"/>
      <c r="AG580" s="132"/>
      <c r="AH580" s="132"/>
      <c r="AI580" s="132"/>
      <c r="AJ580" s="95"/>
      <c r="AK580" s="95"/>
      <c r="AL580" s="95"/>
      <c r="AM580" s="95"/>
      <c r="AN580" s="132"/>
      <c r="AO580" s="132"/>
      <c r="AP580" s="95"/>
      <c r="AQ580" s="132"/>
      <c r="AR580" s="132"/>
    </row>
    <row r="581" spans="25:44" s="82" customFormat="1" x14ac:dyDescent="0.2">
      <c r="Y581" s="132"/>
      <c r="Z581" s="132"/>
      <c r="AA581" s="132"/>
      <c r="AB581" s="95"/>
      <c r="AC581" s="126"/>
      <c r="AD581" s="340"/>
      <c r="AE581" s="132"/>
      <c r="AF581" s="132"/>
      <c r="AG581" s="132"/>
      <c r="AH581" s="132"/>
      <c r="AI581" s="132"/>
      <c r="AJ581" s="95"/>
      <c r="AK581" s="95"/>
      <c r="AL581" s="95"/>
      <c r="AM581" s="95"/>
      <c r="AN581" s="132"/>
      <c r="AO581" s="132"/>
      <c r="AP581" s="95"/>
      <c r="AQ581" s="132"/>
      <c r="AR581" s="132"/>
    </row>
    <row r="582" spans="25:44" s="82" customFormat="1" x14ac:dyDescent="0.2">
      <c r="Y582" s="132"/>
      <c r="Z582" s="132"/>
      <c r="AA582" s="132"/>
      <c r="AB582" s="95"/>
      <c r="AC582" s="126"/>
      <c r="AD582" s="340"/>
      <c r="AE582" s="132"/>
      <c r="AF582" s="132"/>
      <c r="AG582" s="132"/>
      <c r="AH582" s="132"/>
      <c r="AI582" s="132"/>
      <c r="AJ582" s="95"/>
      <c r="AK582" s="95"/>
      <c r="AL582" s="95"/>
      <c r="AM582" s="95"/>
      <c r="AN582" s="132"/>
      <c r="AO582" s="132"/>
      <c r="AP582" s="95"/>
      <c r="AQ582" s="132"/>
      <c r="AR582" s="132"/>
    </row>
    <row r="583" spans="25:44" s="82" customFormat="1" x14ac:dyDescent="0.2">
      <c r="Y583" s="132"/>
      <c r="Z583" s="132"/>
      <c r="AA583" s="132"/>
      <c r="AB583" s="95"/>
      <c r="AC583" s="126"/>
      <c r="AD583" s="340"/>
      <c r="AE583" s="132"/>
      <c r="AF583" s="132"/>
      <c r="AG583" s="132"/>
      <c r="AH583" s="132"/>
      <c r="AI583" s="132"/>
      <c r="AJ583" s="95"/>
      <c r="AK583" s="95"/>
      <c r="AL583" s="95"/>
      <c r="AM583" s="95"/>
      <c r="AN583" s="132"/>
      <c r="AO583" s="132"/>
      <c r="AP583" s="95"/>
      <c r="AQ583" s="132"/>
      <c r="AR583" s="132"/>
    </row>
    <row r="584" spans="25:44" s="82" customFormat="1" x14ac:dyDescent="0.2">
      <c r="Y584" s="132"/>
      <c r="Z584" s="132"/>
      <c r="AA584" s="132"/>
      <c r="AB584" s="95"/>
      <c r="AC584" s="126"/>
      <c r="AD584" s="340"/>
      <c r="AE584" s="132"/>
      <c r="AF584" s="132"/>
      <c r="AG584" s="132"/>
      <c r="AH584" s="132"/>
      <c r="AI584" s="132"/>
      <c r="AJ584" s="95"/>
      <c r="AK584" s="95"/>
      <c r="AL584" s="95"/>
      <c r="AM584" s="95"/>
      <c r="AN584" s="132"/>
      <c r="AO584" s="132"/>
      <c r="AP584" s="95"/>
      <c r="AQ584" s="132"/>
      <c r="AR584" s="132"/>
    </row>
    <row r="585" spans="25:44" s="82" customFormat="1" x14ac:dyDescent="0.2">
      <c r="Y585" s="132"/>
      <c r="Z585" s="132"/>
      <c r="AA585" s="132"/>
      <c r="AB585" s="95"/>
      <c r="AC585" s="126"/>
      <c r="AD585" s="340"/>
      <c r="AE585" s="132"/>
      <c r="AF585" s="132"/>
      <c r="AG585" s="132"/>
      <c r="AH585" s="132"/>
      <c r="AI585" s="132"/>
      <c r="AJ585" s="95"/>
      <c r="AK585" s="95"/>
      <c r="AL585" s="95"/>
      <c r="AM585" s="95"/>
      <c r="AN585" s="132"/>
      <c r="AO585" s="132"/>
      <c r="AP585" s="95"/>
      <c r="AQ585" s="132"/>
      <c r="AR585" s="132"/>
    </row>
    <row r="586" spans="25:44" s="82" customFormat="1" x14ac:dyDescent="0.2">
      <c r="Y586" s="132"/>
      <c r="Z586" s="132"/>
      <c r="AA586" s="132"/>
      <c r="AB586" s="95"/>
      <c r="AC586" s="126"/>
      <c r="AD586" s="340"/>
      <c r="AE586" s="132"/>
      <c r="AF586" s="132"/>
      <c r="AG586" s="132"/>
      <c r="AH586" s="132"/>
      <c r="AI586" s="132"/>
      <c r="AJ586" s="95"/>
      <c r="AK586" s="95"/>
      <c r="AL586" s="95"/>
      <c r="AM586" s="95"/>
      <c r="AN586" s="132"/>
      <c r="AO586" s="132"/>
      <c r="AP586" s="95"/>
      <c r="AQ586" s="132"/>
      <c r="AR586" s="132"/>
    </row>
    <row r="587" spans="25:44" s="82" customFormat="1" x14ac:dyDescent="0.2">
      <c r="Y587" s="132"/>
      <c r="Z587" s="132"/>
      <c r="AA587" s="132"/>
      <c r="AB587" s="95"/>
      <c r="AC587" s="126"/>
      <c r="AD587" s="340"/>
      <c r="AE587" s="132"/>
      <c r="AF587" s="132"/>
      <c r="AG587" s="132"/>
      <c r="AH587" s="132"/>
      <c r="AI587" s="132"/>
      <c r="AJ587" s="95"/>
      <c r="AK587" s="95"/>
      <c r="AL587" s="95"/>
      <c r="AM587" s="95"/>
      <c r="AN587" s="132"/>
      <c r="AO587" s="132"/>
      <c r="AP587" s="95"/>
      <c r="AQ587" s="132"/>
      <c r="AR587" s="132"/>
    </row>
    <row r="588" spans="25:44" s="82" customFormat="1" x14ac:dyDescent="0.2">
      <c r="Y588" s="132"/>
      <c r="Z588" s="132"/>
      <c r="AA588" s="132"/>
      <c r="AB588" s="95"/>
      <c r="AC588" s="126"/>
      <c r="AD588" s="340"/>
      <c r="AE588" s="132"/>
      <c r="AF588" s="132"/>
      <c r="AG588" s="132"/>
      <c r="AH588" s="132"/>
      <c r="AI588" s="132"/>
      <c r="AJ588" s="95"/>
      <c r="AK588" s="95"/>
      <c r="AL588" s="95"/>
      <c r="AM588" s="95"/>
      <c r="AN588" s="132"/>
      <c r="AO588" s="132"/>
      <c r="AP588" s="95"/>
      <c r="AQ588" s="132"/>
      <c r="AR588" s="132"/>
    </row>
    <row r="589" spans="25:44" s="82" customFormat="1" x14ac:dyDescent="0.2">
      <c r="Y589" s="132"/>
      <c r="Z589" s="132"/>
      <c r="AA589" s="132"/>
      <c r="AB589" s="95"/>
      <c r="AC589" s="126"/>
      <c r="AD589" s="340"/>
      <c r="AE589" s="132"/>
      <c r="AF589" s="132"/>
      <c r="AG589" s="132"/>
      <c r="AH589" s="132"/>
      <c r="AI589" s="132"/>
      <c r="AJ589" s="95"/>
      <c r="AK589" s="95"/>
      <c r="AL589" s="95"/>
      <c r="AM589" s="95"/>
      <c r="AN589" s="132"/>
      <c r="AO589" s="132"/>
      <c r="AP589" s="95"/>
      <c r="AQ589" s="132"/>
      <c r="AR589" s="132"/>
    </row>
    <row r="590" spans="25:44" s="82" customFormat="1" x14ac:dyDescent="0.2">
      <c r="Y590" s="132"/>
      <c r="Z590" s="132"/>
      <c r="AA590" s="132"/>
      <c r="AB590" s="95"/>
      <c r="AC590" s="126"/>
      <c r="AD590" s="340"/>
      <c r="AE590" s="132"/>
      <c r="AF590" s="132"/>
      <c r="AG590" s="132"/>
      <c r="AH590" s="132"/>
      <c r="AI590" s="132"/>
      <c r="AJ590" s="95"/>
      <c r="AK590" s="95"/>
      <c r="AL590" s="95"/>
      <c r="AM590" s="95"/>
      <c r="AN590" s="132"/>
      <c r="AO590" s="132"/>
      <c r="AP590" s="95"/>
      <c r="AQ590" s="132"/>
      <c r="AR590" s="132"/>
    </row>
    <row r="591" spans="25:44" s="82" customFormat="1" x14ac:dyDescent="0.2">
      <c r="Y591" s="132"/>
      <c r="Z591" s="132"/>
      <c r="AA591" s="132"/>
      <c r="AB591" s="95"/>
      <c r="AC591" s="126"/>
      <c r="AD591" s="340"/>
      <c r="AE591" s="132"/>
      <c r="AF591" s="132"/>
      <c r="AG591" s="132"/>
      <c r="AH591" s="132"/>
      <c r="AI591" s="132"/>
      <c r="AJ591" s="95"/>
      <c r="AK591" s="95"/>
      <c r="AL591" s="95"/>
      <c r="AM591" s="95"/>
      <c r="AN591" s="132"/>
      <c r="AO591" s="132"/>
      <c r="AP591" s="95"/>
      <c r="AQ591" s="132"/>
      <c r="AR591" s="132"/>
    </row>
    <row r="592" spans="25:44" s="82" customFormat="1" x14ac:dyDescent="0.2">
      <c r="Y592" s="132"/>
      <c r="Z592" s="132"/>
      <c r="AA592" s="132"/>
      <c r="AB592" s="95"/>
      <c r="AC592" s="126"/>
      <c r="AD592" s="340"/>
      <c r="AE592" s="132"/>
      <c r="AF592" s="132"/>
      <c r="AG592" s="132"/>
      <c r="AH592" s="132"/>
      <c r="AI592" s="132"/>
      <c r="AJ592" s="95"/>
      <c r="AK592" s="95"/>
      <c r="AL592" s="95"/>
      <c r="AM592" s="95"/>
      <c r="AN592" s="132"/>
      <c r="AO592" s="132"/>
      <c r="AP592" s="95"/>
      <c r="AQ592" s="132"/>
      <c r="AR592" s="132"/>
    </row>
    <row r="593" spans="25:44" s="82" customFormat="1" x14ac:dyDescent="0.2">
      <c r="Y593" s="132"/>
      <c r="Z593" s="132"/>
      <c r="AA593" s="132"/>
      <c r="AB593" s="95"/>
      <c r="AC593" s="126"/>
      <c r="AD593" s="340"/>
      <c r="AE593" s="132"/>
      <c r="AF593" s="132"/>
      <c r="AG593" s="132"/>
      <c r="AH593" s="132"/>
      <c r="AI593" s="132"/>
      <c r="AJ593" s="95"/>
      <c r="AK593" s="95"/>
      <c r="AL593" s="95"/>
      <c r="AM593" s="95"/>
      <c r="AN593" s="132"/>
      <c r="AO593" s="132"/>
      <c r="AP593" s="95"/>
      <c r="AQ593" s="132"/>
      <c r="AR593" s="132"/>
    </row>
    <row r="594" spans="25:44" s="82" customFormat="1" x14ac:dyDescent="0.2">
      <c r="Y594" s="132"/>
      <c r="Z594" s="132"/>
      <c r="AA594" s="132"/>
      <c r="AB594" s="95"/>
      <c r="AC594" s="126"/>
      <c r="AD594" s="340"/>
      <c r="AE594" s="132"/>
      <c r="AF594" s="132"/>
      <c r="AG594" s="132"/>
      <c r="AH594" s="132"/>
      <c r="AI594" s="132"/>
      <c r="AJ594" s="95"/>
      <c r="AK594" s="95"/>
      <c r="AL594" s="95"/>
      <c r="AM594" s="95"/>
      <c r="AN594" s="132"/>
      <c r="AO594" s="132"/>
      <c r="AP594" s="95"/>
      <c r="AQ594" s="132"/>
      <c r="AR594" s="132"/>
    </row>
    <row r="595" spans="25:44" s="82" customFormat="1" x14ac:dyDescent="0.2">
      <c r="Y595" s="132"/>
      <c r="Z595" s="132"/>
      <c r="AA595" s="132"/>
      <c r="AB595" s="95"/>
      <c r="AC595" s="126"/>
      <c r="AD595" s="340"/>
      <c r="AE595" s="132"/>
      <c r="AF595" s="132"/>
      <c r="AG595" s="132"/>
      <c r="AH595" s="132"/>
      <c r="AI595" s="132"/>
      <c r="AJ595" s="95"/>
      <c r="AK595" s="95"/>
      <c r="AL595" s="95"/>
      <c r="AM595" s="95"/>
      <c r="AN595" s="132"/>
      <c r="AO595" s="132"/>
      <c r="AP595" s="95"/>
      <c r="AQ595" s="132"/>
      <c r="AR595" s="132"/>
    </row>
    <row r="596" spans="25:44" s="82" customFormat="1" x14ac:dyDescent="0.2">
      <c r="Y596" s="132"/>
      <c r="Z596" s="132"/>
      <c r="AA596" s="132"/>
      <c r="AB596" s="95"/>
      <c r="AC596" s="126"/>
      <c r="AD596" s="340"/>
      <c r="AE596" s="132"/>
      <c r="AF596" s="132"/>
      <c r="AG596" s="132"/>
      <c r="AH596" s="132"/>
      <c r="AI596" s="132"/>
      <c r="AJ596" s="95"/>
      <c r="AK596" s="95"/>
      <c r="AL596" s="95"/>
      <c r="AM596" s="95"/>
      <c r="AN596" s="132"/>
      <c r="AO596" s="132"/>
      <c r="AP596" s="95"/>
      <c r="AQ596" s="132"/>
      <c r="AR596" s="132"/>
    </row>
    <row r="597" spans="25:44" s="82" customFormat="1" x14ac:dyDescent="0.2">
      <c r="Y597" s="132"/>
      <c r="Z597" s="132"/>
      <c r="AA597" s="132"/>
      <c r="AB597" s="95"/>
      <c r="AC597" s="126"/>
      <c r="AD597" s="340"/>
      <c r="AE597" s="132"/>
      <c r="AF597" s="132"/>
      <c r="AG597" s="132"/>
      <c r="AH597" s="132"/>
      <c r="AI597" s="132"/>
      <c r="AJ597" s="95"/>
      <c r="AK597" s="95"/>
      <c r="AL597" s="95"/>
      <c r="AM597" s="95"/>
      <c r="AN597" s="132"/>
      <c r="AO597" s="132"/>
      <c r="AP597" s="95"/>
      <c r="AQ597" s="132"/>
      <c r="AR597" s="132"/>
    </row>
    <row r="598" spans="25:44" s="82" customFormat="1" x14ac:dyDescent="0.2">
      <c r="Y598" s="132"/>
      <c r="Z598" s="132"/>
      <c r="AA598" s="132"/>
      <c r="AB598" s="95"/>
      <c r="AC598" s="126"/>
      <c r="AD598" s="340"/>
      <c r="AE598" s="132"/>
      <c r="AF598" s="132"/>
      <c r="AG598" s="132"/>
      <c r="AH598" s="132"/>
      <c r="AI598" s="132"/>
      <c r="AJ598" s="95"/>
      <c r="AK598" s="95"/>
      <c r="AL598" s="95"/>
      <c r="AM598" s="95"/>
      <c r="AN598" s="132"/>
      <c r="AO598" s="132"/>
      <c r="AP598" s="95"/>
      <c r="AQ598" s="132"/>
      <c r="AR598" s="132"/>
    </row>
    <row r="599" spans="25:44" s="82" customFormat="1" x14ac:dyDescent="0.2">
      <c r="Y599" s="132"/>
      <c r="Z599" s="132"/>
      <c r="AA599" s="132"/>
      <c r="AB599" s="95"/>
      <c r="AC599" s="126"/>
      <c r="AD599" s="340"/>
      <c r="AE599" s="132"/>
      <c r="AF599" s="132"/>
      <c r="AG599" s="132"/>
      <c r="AH599" s="132"/>
      <c r="AI599" s="132"/>
      <c r="AJ599" s="95"/>
      <c r="AK599" s="95"/>
      <c r="AL599" s="95"/>
      <c r="AM599" s="95"/>
      <c r="AN599" s="132"/>
      <c r="AO599" s="132"/>
      <c r="AP599" s="95"/>
      <c r="AQ599" s="132"/>
      <c r="AR599" s="132"/>
    </row>
    <row r="600" spans="25:44" s="82" customFormat="1" x14ac:dyDescent="0.2">
      <c r="Y600" s="132"/>
      <c r="Z600" s="132"/>
      <c r="AA600" s="132"/>
      <c r="AB600" s="95"/>
      <c r="AC600" s="126"/>
      <c r="AD600" s="340"/>
      <c r="AE600" s="132"/>
      <c r="AF600" s="132"/>
      <c r="AG600" s="132"/>
      <c r="AH600" s="132"/>
      <c r="AI600" s="132"/>
      <c r="AJ600" s="95"/>
      <c r="AK600" s="95"/>
      <c r="AL600" s="95"/>
      <c r="AM600" s="95"/>
      <c r="AN600" s="132"/>
      <c r="AO600" s="132"/>
      <c r="AP600" s="95"/>
      <c r="AQ600" s="132"/>
      <c r="AR600" s="132"/>
    </row>
    <row r="601" spans="25:44" s="82" customFormat="1" x14ac:dyDescent="0.2">
      <c r="Y601" s="132"/>
      <c r="Z601" s="132"/>
      <c r="AA601" s="132"/>
      <c r="AB601" s="95"/>
      <c r="AC601" s="126"/>
      <c r="AD601" s="340"/>
      <c r="AE601" s="132"/>
      <c r="AF601" s="132"/>
      <c r="AG601" s="132"/>
      <c r="AH601" s="132"/>
      <c r="AI601" s="132"/>
      <c r="AJ601" s="95"/>
      <c r="AK601" s="95"/>
      <c r="AL601" s="95"/>
      <c r="AM601" s="95"/>
      <c r="AN601" s="132"/>
      <c r="AO601" s="132"/>
      <c r="AP601" s="95"/>
      <c r="AQ601" s="132"/>
      <c r="AR601" s="132"/>
    </row>
    <row r="602" spans="25:44" s="82" customFormat="1" x14ac:dyDescent="0.2">
      <c r="Y602" s="132"/>
      <c r="Z602" s="132"/>
      <c r="AA602" s="132"/>
      <c r="AB602" s="95"/>
      <c r="AC602" s="126"/>
      <c r="AD602" s="340"/>
      <c r="AE602" s="132"/>
      <c r="AF602" s="132"/>
      <c r="AG602" s="132"/>
      <c r="AH602" s="132"/>
      <c r="AI602" s="132"/>
      <c r="AJ602" s="95"/>
      <c r="AK602" s="95"/>
      <c r="AL602" s="95"/>
      <c r="AM602" s="95"/>
      <c r="AN602" s="132"/>
      <c r="AO602" s="132"/>
      <c r="AP602" s="95"/>
      <c r="AQ602" s="132"/>
      <c r="AR602" s="132"/>
    </row>
    <row r="603" spans="25:44" s="82" customFormat="1" x14ac:dyDescent="0.2">
      <c r="Y603" s="132"/>
      <c r="Z603" s="132"/>
      <c r="AA603" s="132"/>
      <c r="AB603" s="95"/>
      <c r="AC603" s="126"/>
      <c r="AD603" s="340"/>
      <c r="AE603" s="132"/>
      <c r="AF603" s="132"/>
      <c r="AG603" s="132"/>
      <c r="AH603" s="132"/>
      <c r="AI603" s="132"/>
      <c r="AJ603" s="95"/>
      <c r="AK603" s="95"/>
      <c r="AL603" s="95"/>
      <c r="AM603" s="95"/>
      <c r="AN603" s="132"/>
      <c r="AO603" s="132"/>
      <c r="AP603" s="95"/>
      <c r="AQ603" s="132"/>
      <c r="AR603" s="132"/>
    </row>
    <row r="604" spans="25:44" s="82" customFormat="1" x14ac:dyDescent="0.2">
      <c r="Y604" s="132"/>
      <c r="Z604" s="132"/>
      <c r="AA604" s="132"/>
      <c r="AB604" s="95"/>
      <c r="AC604" s="126"/>
      <c r="AD604" s="340"/>
      <c r="AE604" s="132"/>
      <c r="AF604" s="132"/>
      <c r="AG604" s="132"/>
      <c r="AH604" s="132"/>
      <c r="AI604" s="132"/>
      <c r="AJ604" s="95"/>
      <c r="AK604" s="95"/>
      <c r="AL604" s="95"/>
      <c r="AM604" s="95"/>
      <c r="AN604" s="132"/>
      <c r="AO604" s="132"/>
      <c r="AP604" s="95"/>
      <c r="AQ604" s="132"/>
      <c r="AR604" s="132"/>
    </row>
    <row r="605" spans="25:44" s="82" customFormat="1" x14ac:dyDescent="0.2">
      <c r="Y605" s="132"/>
      <c r="Z605" s="132"/>
      <c r="AA605" s="132"/>
      <c r="AB605" s="95"/>
      <c r="AC605" s="126"/>
      <c r="AD605" s="340"/>
      <c r="AE605" s="132"/>
      <c r="AF605" s="132"/>
      <c r="AG605" s="132"/>
      <c r="AH605" s="132"/>
      <c r="AI605" s="132"/>
      <c r="AJ605" s="95"/>
      <c r="AK605" s="95"/>
      <c r="AL605" s="95"/>
      <c r="AM605" s="95"/>
      <c r="AN605" s="132"/>
      <c r="AO605" s="132"/>
      <c r="AP605" s="95"/>
      <c r="AQ605" s="132"/>
      <c r="AR605" s="132"/>
    </row>
    <row r="606" spans="25:44" s="82" customFormat="1" x14ac:dyDescent="0.2">
      <c r="Y606" s="132"/>
      <c r="Z606" s="132"/>
      <c r="AA606" s="132"/>
      <c r="AB606" s="95"/>
      <c r="AC606" s="126"/>
      <c r="AD606" s="340"/>
      <c r="AE606" s="132"/>
      <c r="AF606" s="132"/>
      <c r="AG606" s="132"/>
      <c r="AH606" s="132"/>
      <c r="AI606" s="132"/>
      <c r="AJ606" s="95"/>
      <c r="AK606" s="95"/>
      <c r="AL606" s="95"/>
      <c r="AM606" s="95"/>
      <c r="AN606" s="132"/>
      <c r="AO606" s="132"/>
      <c r="AP606" s="95"/>
      <c r="AQ606" s="132"/>
      <c r="AR606" s="132"/>
    </row>
    <row r="607" spans="25:44" s="82" customFormat="1" x14ac:dyDescent="0.2">
      <c r="Y607" s="132"/>
      <c r="Z607" s="132"/>
      <c r="AA607" s="132"/>
      <c r="AB607" s="95"/>
      <c r="AC607" s="126"/>
      <c r="AD607" s="340"/>
      <c r="AE607" s="132"/>
      <c r="AF607" s="132"/>
      <c r="AG607" s="132"/>
      <c r="AH607" s="132"/>
      <c r="AI607" s="132"/>
      <c r="AJ607" s="95"/>
      <c r="AK607" s="95"/>
      <c r="AL607" s="95"/>
      <c r="AM607" s="95"/>
      <c r="AN607" s="132"/>
      <c r="AO607" s="132"/>
      <c r="AP607" s="95"/>
      <c r="AQ607" s="132"/>
      <c r="AR607" s="132"/>
    </row>
    <row r="608" spans="25:44" s="82" customFormat="1" x14ac:dyDescent="0.2">
      <c r="Y608" s="132"/>
      <c r="Z608" s="132"/>
      <c r="AA608" s="132"/>
      <c r="AB608" s="95"/>
      <c r="AC608" s="126"/>
      <c r="AD608" s="340"/>
      <c r="AE608" s="132"/>
      <c r="AF608" s="132"/>
      <c r="AG608" s="132"/>
      <c r="AH608" s="132"/>
      <c r="AI608" s="132"/>
      <c r="AJ608" s="95"/>
      <c r="AK608" s="95"/>
      <c r="AL608" s="95"/>
      <c r="AM608" s="95"/>
      <c r="AN608" s="132"/>
      <c r="AO608" s="132"/>
      <c r="AP608" s="95"/>
      <c r="AQ608" s="132"/>
      <c r="AR608" s="132"/>
    </row>
    <row r="609" spans="25:44" s="82" customFormat="1" x14ac:dyDescent="0.2">
      <c r="Y609" s="132"/>
      <c r="Z609" s="132"/>
      <c r="AA609" s="132"/>
      <c r="AB609" s="95"/>
      <c r="AC609" s="126"/>
      <c r="AD609" s="340"/>
      <c r="AE609" s="132"/>
      <c r="AF609" s="132"/>
      <c r="AG609" s="132"/>
      <c r="AH609" s="132"/>
      <c r="AI609" s="132"/>
      <c r="AJ609" s="95"/>
      <c r="AK609" s="95"/>
      <c r="AL609" s="95"/>
      <c r="AM609" s="95"/>
      <c r="AN609" s="132"/>
      <c r="AO609" s="132"/>
      <c r="AP609" s="95"/>
      <c r="AQ609" s="132"/>
      <c r="AR609" s="132"/>
    </row>
    <row r="610" spans="25:44" s="82" customFormat="1" x14ac:dyDescent="0.2">
      <c r="Y610" s="132"/>
      <c r="Z610" s="132"/>
      <c r="AA610" s="132"/>
      <c r="AB610" s="95"/>
      <c r="AC610" s="126"/>
      <c r="AD610" s="340"/>
      <c r="AE610" s="132"/>
      <c r="AF610" s="132"/>
      <c r="AG610" s="132"/>
      <c r="AH610" s="132"/>
      <c r="AI610" s="132"/>
      <c r="AJ610" s="95"/>
      <c r="AK610" s="95"/>
      <c r="AL610" s="95"/>
      <c r="AM610" s="95"/>
      <c r="AN610" s="132"/>
      <c r="AO610" s="132"/>
      <c r="AP610" s="95"/>
      <c r="AQ610" s="132"/>
      <c r="AR610" s="132"/>
    </row>
    <row r="611" spans="25:44" s="82" customFormat="1" x14ac:dyDescent="0.2">
      <c r="Y611" s="132"/>
      <c r="Z611" s="132"/>
      <c r="AA611" s="132"/>
      <c r="AB611" s="95"/>
      <c r="AC611" s="126"/>
      <c r="AD611" s="340"/>
      <c r="AE611" s="132"/>
      <c r="AF611" s="132"/>
      <c r="AG611" s="132"/>
      <c r="AH611" s="132"/>
      <c r="AI611" s="132"/>
      <c r="AJ611" s="95"/>
      <c r="AK611" s="95"/>
      <c r="AL611" s="95"/>
      <c r="AM611" s="95"/>
      <c r="AN611" s="132"/>
      <c r="AO611" s="132"/>
      <c r="AP611" s="95"/>
      <c r="AQ611" s="132"/>
      <c r="AR611" s="132"/>
    </row>
    <row r="612" spans="25:44" s="82" customFormat="1" x14ac:dyDescent="0.2">
      <c r="Y612" s="132"/>
      <c r="Z612" s="132"/>
      <c r="AA612" s="132"/>
      <c r="AB612" s="95"/>
      <c r="AC612" s="126"/>
      <c r="AD612" s="340"/>
      <c r="AE612" s="132"/>
      <c r="AF612" s="132"/>
      <c r="AG612" s="132"/>
      <c r="AH612" s="132"/>
      <c r="AI612" s="132"/>
      <c r="AJ612" s="95"/>
      <c r="AK612" s="95"/>
      <c r="AL612" s="95"/>
      <c r="AM612" s="95"/>
      <c r="AN612" s="132"/>
      <c r="AO612" s="132"/>
      <c r="AP612" s="95"/>
      <c r="AQ612" s="132"/>
      <c r="AR612" s="132"/>
    </row>
    <row r="613" spans="25:44" s="82" customFormat="1" x14ac:dyDescent="0.2">
      <c r="Y613" s="132"/>
      <c r="Z613" s="132"/>
      <c r="AA613" s="132"/>
      <c r="AB613" s="95"/>
      <c r="AC613" s="126"/>
      <c r="AD613" s="340"/>
      <c r="AE613" s="132"/>
      <c r="AF613" s="132"/>
      <c r="AG613" s="132"/>
      <c r="AH613" s="132"/>
      <c r="AI613" s="132"/>
      <c r="AJ613" s="95"/>
      <c r="AK613" s="95"/>
      <c r="AL613" s="95"/>
      <c r="AM613" s="95"/>
      <c r="AN613" s="132"/>
      <c r="AO613" s="132"/>
      <c r="AP613" s="95"/>
      <c r="AQ613" s="132"/>
      <c r="AR613" s="132"/>
    </row>
    <row r="614" spans="25:44" s="82" customFormat="1" x14ac:dyDescent="0.2">
      <c r="Y614" s="132"/>
      <c r="Z614" s="132"/>
      <c r="AA614" s="132"/>
      <c r="AB614" s="95"/>
      <c r="AC614" s="126"/>
      <c r="AD614" s="340"/>
      <c r="AE614" s="132"/>
      <c r="AF614" s="132"/>
      <c r="AG614" s="132"/>
      <c r="AH614" s="132"/>
      <c r="AI614" s="132"/>
      <c r="AJ614" s="95"/>
      <c r="AK614" s="95"/>
      <c r="AL614" s="95"/>
      <c r="AM614" s="95"/>
      <c r="AN614" s="132"/>
      <c r="AO614" s="132"/>
      <c r="AP614" s="95"/>
      <c r="AQ614" s="132"/>
      <c r="AR614" s="132"/>
    </row>
    <row r="615" spans="25:44" s="82" customFormat="1" x14ac:dyDescent="0.2">
      <c r="Y615" s="132"/>
      <c r="Z615" s="132"/>
      <c r="AA615" s="132"/>
      <c r="AB615" s="95"/>
      <c r="AC615" s="126"/>
      <c r="AD615" s="340"/>
      <c r="AE615" s="132"/>
      <c r="AF615" s="132"/>
      <c r="AG615" s="132"/>
      <c r="AH615" s="132"/>
      <c r="AI615" s="132"/>
      <c r="AJ615" s="95"/>
      <c r="AK615" s="95"/>
      <c r="AL615" s="95"/>
      <c r="AM615" s="95"/>
      <c r="AN615" s="132"/>
      <c r="AO615" s="132"/>
      <c r="AP615" s="95"/>
      <c r="AQ615" s="132"/>
      <c r="AR615" s="132"/>
    </row>
    <row r="616" spans="25:44" s="82" customFormat="1" x14ac:dyDescent="0.2">
      <c r="Y616" s="132"/>
      <c r="Z616" s="132"/>
      <c r="AA616" s="132"/>
      <c r="AB616" s="95"/>
      <c r="AC616" s="126"/>
      <c r="AD616" s="340"/>
      <c r="AE616" s="132"/>
      <c r="AF616" s="132"/>
      <c r="AG616" s="132"/>
      <c r="AH616" s="132"/>
      <c r="AI616" s="132"/>
      <c r="AJ616" s="95"/>
      <c r="AK616" s="95"/>
      <c r="AL616" s="95"/>
      <c r="AM616" s="95"/>
      <c r="AN616" s="132"/>
      <c r="AO616" s="132"/>
      <c r="AP616" s="95"/>
      <c r="AQ616" s="132"/>
      <c r="AR616" s="132"/>
    </row>
    <row r="617" spans="25:44" s="82" customFormat="1" x14ac:dyDescent="0.2">
      <c r="Y617" s="132"/>
      <c r="Z617" s="132"/>
      <c r="AA617" s="132"/>
      <c r="AB617" s="95"/>
      <c r="AC617" s="126"/>
      <c r="AD617" s="340"/>
      <c r="AE617" s="132"/>
      <c r="AF617" s="132"/>
      <c r="AG617" s="132"/>
      <c r="AH617" s="132"/>
      <c r="AI617" s="132"/>
      <c r="AJ617" s="95"/>
      <c r="AK617" s="95"/>
      <c r="AL617" s="95"/>
      <c r="AM617" s="95"/>
      <c r="AN617" s="132"/>
      <c r="AO617" s="132"/>
      <c r="AP617" s="95"/>
      <c r="AQ617" s="132"/>
      <c r="AR617" s="132"/>
    </row>
    <row r="618" spans="25:44" s="82" customFormat="1" x14ac:dyDescent="0.2">
      <c r="Y618" s="132"/>
      <c r="Z618" s="132"/>
      <c r="AA618" s="132"/>
      <c r="AB618" s="95"/>
      <c r="AC618" s="126"/>
      <c r="AD618" s="340"/>
      <c r="AE618" s="132"/>
      <c r="AF618" s="132"/>
      <c r="AG618" s="132"/>
      <c r="AH618" s="132"/>
      <c r="AI618" s="132"/>
      <c r="AJ618" s="95"/>
      <c r="AK618" s="95"/>
      <c r="AL618" s="95"/>
      <c r="AM618" s="95"/>
      <c r="AN618" s="132"/>
      <c r="AO618" s="132"/>
      <c r="AP618" s="95"/>
      <c r="AQ618" s="132"/>
      <c r="AR618" s="132"/>
    </row>
    <row r="619" spans="25:44" s="82" customFormat="1" x14ac:dyDescent="0.2">
      <c r="Y619" s="132"/>
      <c r="Z619" s="132"/>
      <c r="AA619" s="132"/>
      <c r="AB619" s="95"/>
      <c r="AC619" s="126"/>
      <c r="AD619" s="340"/>
      <c r="AE619" s="132"/>
      <c r="AF619" s="132"/>
      <c r="AG619" s="132"/>
      <c r="AH619" s="132"/>
      <c r="AI619" s="132"/>
      <c r="AJ619" s="95"/>
      <c r="AK619" s="95"/>
      <c r="AL619" s="95"/>
      <c r="AM619" s="95"/>
      <c r="AN619" s="132"/>
      <c r="AO619" s="132"/>
      <c r="AP619" s="95"/>
      <c r="AQ619" s="132"/>
      <c r="AR619" s="132"/>
    </row>
    <row r="620" spans="25:44" s="82" customFormat="1" x14ac:dyDescent="0.2">
      <c r="Y620" s="132"/>
      <c r="Z620" s="132"/>
      <c r="AA620" s="132"/>
      <c r="AB620" s="95"/>
      <c r="AC620" s="126"/>
      <c r="AD620" s="340"/>
      <c r="AE620" s="132"/>
      <c r="AF620" s="132"/>
      <c r="AG620" s="132"/>
      <c r="AH620" s="132"/>
      <c r="AI620" s="132"/>
      <c r="AJ620" s="95"/>
      <c r="AK620" s="95"/>
      <c r="AL620" s="95"/>
      <c r="AM620" s="95"/>
      <c r="AN620" s="132"/>
      <c r="AO620" s="132"/>
      <c r="AP620" s="95"/>
      <c r="AQ620" s="132"/>
      <c r="AR620" s="132"/>
    </row>
    <row r="621" spans="25:44" s="82" customFormat="1" x14ac:dyDescent="0.2">
      <c r="Y621" s="132"/>
      <c r="Z621" s="132"/>
      <c r="AA621" s="132"/>
      <c r="AB621" s="95"/>
      <c r="AC621" s="126"/>
      <c r="AD621" s="340"/>
      <c r="AE621" s="132"/>
      <c r="AF621" s="132"/>
      <c r="AG621" s="132"/>
      <c r="AH621" s="132"/>
      <c r="AI621" s="132"/>
      <c r="AJ621" s="95"/>
      <c r="AK621" s="95"/>
      <c r="AL621" s="95"/>
      <c r="AM621" s="95"/>
      <c r="AN621" s="132"/>
      <c r="AO621" s="132"/>
      <c r="AP621" s="95"/>
      <c r="AQ621" s="132"/>
      <c r="AR621" s="132"/>
    </row>
    <row r="622" spans="25:44" s="82" customFormat="1" x14ac:dyDescent="0.2">
      <c r="Y622" s="132"/>
      <c r="Z622" s="132"/>
      <c r="AA622" s="132"/>
      <c r="AB622" s="95"/>
      <c r="AC622" s="126"/>
      <c r="AD622" s="340"/>
      <c r="AE622" s="132"/>
      <c r="AF622" s="132"/>
      <c r="AG622" s="132"/>
      <c r="AH622" s="132"/>
      <c r="AI622" s="132"/>
      <c r="AJ622" s="95"/>
      <c r="AK622" s="95"/>
      <c r="AL622" s="95"/>
      <c r="AM622" s="95"/>
      <c r="AN622" s="132"/>
      <c r="AO622" s="132"/>
      <c r="AP622" s="95"/>
      <c r="AQ622" s="132"/>
      <c r="AR622" s="132"/>
    </row>
    <row r="623" spans="25:44" s="82" customFormat="1" x14ac:dyDescent="0.2">
      <c r="Y623" s="132"/>
      <c r="Z623" s="132"/>
      <c r="AA623" s="132"/>
      <c r="AB623" s="95"/>
      <c r="AC623" s="126"/>
      <c r="AD623" s="340"/>
      <c r="AE623" s="132"/>
      <c r="AF623" s="132"/>
      <c r="AG623" s="132"/>
      <c r="AH623" s="132"/>
      <c r="AI623" s="132"/>
      <c r="AJ623" s="95"/>
      <c r="AK623" s="95"/>
      <c r="AL623" s="95"/>
      <c r="AM623" s="95"/>
      <c r="AN623" s="132"/>
      <c r="AO623" s="132"/>
      <c r="AP623" s="95"/>
      <c r="AQ623" s="132"/>
      <c r="AR623" s="132"/>
    </row>
    <row r="624" spans="25:44" s="82" customFormat="1" x14ac:dyDescent="0.2">
      <c r="Y624" s="132"/>
      <c r="Z624" s="132"/>
      <c r="AA624" s="132"/>
      <c r="AB624" s="95"/>
      <c r="AC624" s="126"/>
      <c r="AD624" s="340"/>
      <c r="AE624" s="132"/>
      <c r="AF624" s="132"/>
      <c r="AG624" s="132"/>
      <c r="AH624" s="132"/>
      <c r="AI624" s="132"/>
      <c r="AJ624" s="95"/>
      <c r="AK624" s="95"/>
      <c r="AL624" s="95"/>
      <c r="AM624" s="95"/>
      <c r="AN624" s="132"/>
      <c r="AO624" s="132"/>
      <c r="AP624" s="95"/>
      <c r="AQ624" s="132"/>
      <c r="AR624" s="132"/>
    </row>
    <row r="625" spans="25:44" s="82" customFormat="1" x14ac:dyDescent="0.2">
      <c r="Y625" s="132"/>
      <c r="Z625" s="132"/>
      <c r="AA625" s="132"/>
      <c r="AB625" s="95"/>
      <c r="AC625" s="126"/>
      <c r="AD625" s="340"/>
      <c r="AE625" s="132"/>
      <c r="AF625" s="132"/>
      <c r="AG625" s="132"/>
      <c r="AH625" s="132"/>
      <c r="AI625" s="132"/>
      <c r="AJ625" s="95"/>
      <c r="AK625" s="95"/>
      <c r="AL625" s="95"/>
      <c r="AM625" s="95"/>
      <c r="AN625" s="132"/>
      <c r="AO625" s="132"/>
      <c r="AP625" s="95"/>
      <c r="AQ625" s="132"/>
      <c r="AR625" s="132"/>
    </row>
    <row r="626" spans="25:44" s="82" customFormat="1" x14ac:dyDescent="0.2">
      <c r="Y626" s="132"/>
      <c r="Z626" s="132"/>
      <c r="AA626" s="132"/>
      <c r="AB626" s="95"/>
      <c r="AC626" s="126"/>
      <c r="AD626" s="340"/>
      <c r="AE626" s="132"/>
      <c r="AF626" s="132"/>
      <c r="AG626" s="132"/>
      <c r="AH626" s="132"/>
      <c r="AI626" s="132"/>
      <c r="AJ626" s="95"/>
      <c r="AK626" s="95"/>
      <c r="AL626" s="95"/>
      <c r="AM626" s="95"/>
      <c r="AN626" s="132"/>
      <c r="AO626" s="132"/>
      <c r="AP626" s="95"/>
      <c r="AQ626" s="132"/>
      <c r="AR626" s="132"/>
    </row>
    <row r="627" spans="25:44" s="82" customFormat="1" x14ac:dyDescent="0.2">
      <c r="Y627" s="132"/>
      <c r="Z627" s="132"/>
      <c r="AA627" s="132"/>
      <c r="AB627" s="95"/>
      <c r="AC627" s="126"/>
      <c r="AD627" s="340"/>
      <c r="AE627" s="132"/>
      <c r="AF627" s="132"/>
      <c r="AG627" s="132"/>
      <c r="AH627" s="132"/>
      <c r="AI627" s="132"/>
      <c r="AJ627" s="95"/>
      <c r="AK627" s="95"/>
      <c r="AL627" s="95"/>
      <c r="AM627" s="95"/>
      <c r="AN627" s="132"/>
      <c r="AO627" s="132"/>
      <c r="AP627" s="95"/>
      <c r="AQ627" s="132"/>
      <c r="AR627" s="132"/>
    </row>
    <row r="628" spans="25:44" s="82" customFormat="1" x14ac:dyDescent="0.2">
      <c r="Y628" s="132"/>
      <c r="Z628" s="132"/>
      <c r="AA628" s="132"/>
      <c r="AB628" s="95"/>
      <c r="AC628" s="126"/>
      <c r="AD628" s="340"/>
      <c r="AE628" s="132"/>
      <c r="AF628" s="132"/>
      <c r="AG628" s="132"/>
      <c r="AH628" s="132"/>
      <c r="AI628" s="132"/>
      <c r="AJ628" s="95"/>
      <c r="AK628" s="95"/>
      <c r="AL628" s="95"/>
      <c r="AM628" s="95"/>
      <c r="AN628" s="132"/>
      <c r="AO628" s="132"/>
      <c r="AP628" s="95"/>
      <c r="AQ628" s="132"/>
      <c r="AR628" s="132"/>
    </row>
    <row r="629" spans="25:44" s="82" customFormat="1" x14ac:dyDescent="0.2">
      <c r="Y629" s="132"/>
      <c r="Z629" s="132"/>
      <c r="AA629" s="132"/>
      <c r="AB629" s="95"/>
      <c r="AC629" s="126"/>
      <c r="AD629" s="340"/>
      <c r="AE629" s="132"/>
      <c r="AF629" s="132"/>
      <c r="AG629" s="132"/>
      <c r="AH629" s="132"/>
      <c r="AI629" s="132"/>
      <c r="AJ629" s="95"/>
      <c r="AK629" s="95"/>
      <c r="AL629" s="95"/>
      <c r="AM629" s="95"/>
      <c r="AN629" s="132"/>
      <c r="AO629" s="132"/>
      <c r="AP629" s="95"/>
      <c r="AQ629" s="132"/>
      <c r="AR629" s="132"/>
    </row>
    <row r="630" spans="25:44" s="82" customFormat="1" x14ac:dyDescent="0.2">
      <c r="Y630" s="132"/>
      <c r="Z630" s="132"/>
      <c r="AA630" s="132"/>
      <c r="AB630" s="95"/>
      <c r="AC630" s="126"/>
      <c r="AD630" s="340"/>
      <c r="AE630" s="132"/>
      <c r="AF630" s="132"/>
      <c r="AG630" s="132"/>
      <c r="AH630" s="132"/>
      <c r="AI630" s="132"/>
      <c r="AJ630" s="95"/>
      <c r="AK630" s="95"/>
      <c r="AL630" s="95"/>
      <c r="AM630" s="95"/>
      <c r="AN630" s="132"/>
      <c r="AO630" s="132"/>
      <c r="AP630" s="95"/>
      <c r="AQ630" s="132"/>
      <c r="AR630" s="132"/>
    </row>
    <row r="631" spans="25:44" s="82" customFormat="1" x14ac:dyDescent="0.2">
      <c r="Y631" s="132"/>
      <c r="Z631" s="132"/>
      <c r="AA631" s="132"/>
      <c r="AB631" s="95"/>
      <c r="AC631" s="126"/>
      <c r="AD631" s="340"/>
      <c r="AE631" s="132"/>
      <c r="AF631" s="132"/>
      <c r="AG631" s="132"/>
      <c r="AH631" s="132"/>
      <c r="AI631" s="132"/>
      <c r="AJ631" s="95"/>
      <c r="AK631" s="95"/>
      <c r="AL631" s="95"/>
      <c r="AM631" s="95"/>
      <c r="AN631" s="132"/>
      <c r="AO631" s="132"/>
      <c r="AP631" s="95"/>
      <c r="AQ631" s="132"/>
      <c r="AR631" s="132"/>
    </row>
    <row r="632" spans="25:44" s="82" customFormat="1" x14ac:dyDescent="0.2">
      <c r="Y632" s="132"/>
      <c r="Z632" s="132"/>
      <c r="AA632" s="132"/>
      <c r="AB632" s="95"/>
      <c r="AC632" s="126"/>
      <c r="AD632" s="340"/>
      <c r="AE632" s="132"/>
      <c r="AF632" s="132"/>
      <c r="AG632" s="132"/>
      <c r="AH632" s="132"/>
      <c r="AI632" s="132"/>
      <c r="AJ632" s="95"/>
      <c r="AK632" s="95"/>
      <c r="AL632" s="95"/>
      <c r="AM632" s="95"/>
      <c r="AN632" s="132"/>
      <c r="AO632" s="132"/>
      <c r="AP632" s="95"/>
      <c r="AQ632" s="132"/>
      <c r="AR632" s="132"/>
    </row>
    <row r="633" spans="25:44" s="82" customFormat="1" x14ac:dyDescent="0.2">
      <c r="Y633" s="132"/>
      <c r="Z633" s="132"/>
      <c r="AA633" s="132"/>
      <c r="AB633" s="95"/>
      <c r="AC633" s="126"/>
      <c r="AD633" s="340"/>
      <c r="AE633" s="132"/>
      <c r="AF633" s="132"/>
      <c r="AG633" s="132"/>
      <c r="AH633" s="132"/>
      <c r="AI633" s="132"/>
      <c r="AJ633" s="95"/>
      <c r="AK633" s="95"/>
      <c r="AL633" s="95"/>
      <c r="AM633" s="95"/>
      <c r="AN633" s="132"/>
      <c r="AO633" s="132"/>
      <c r="AP633" s="95"/>
      <c r="AQ633" s="132"/>
      <c r="AR633" s="132"/>
    </row>
    <row r="634" spans="25:44" s="82" customFormat="1" x14ac:dyDescent="0.2">
      <c r="Y634" s="132"/>
      <c r="Z634" s="132"/>
      <c r="AA634" s="132"/>
      <c r="AB634" s="95"/>
      <c r="AC634" s="126"/>
      <c r="AD634" s="340"/>
      <c r="AE634" s="132"/>
      <c r="AF634" s="132"/>
      <c r="AG634" s="132"/>
      <c r="AH634" s="132"/>
      <c r="AI634" s="132"/>
      <c r="AJ634" s="95"/>
      <c r="AK634" s="95"/>
      <c r="AL634" s="95"/>
      <c r="AM634" s="95"/>
      <c r="AN634" s="132"/>
      <c r="AO634" s="132"/>
      <c r="AP634" s="95"/>
      <c r="AQ634" s="132"/>
      <c r="AR634" s="132"/>
    </row>
    <row r="635" spans="25:44" s="82" customFormat="1" x14ac:dyDescent="0.2">
      <c r="Y635" s="132"/>
      <c r="Z635" s="132"/>
      <c r="AA635" s="132"/>
      <c r="AB635" s="95"/>
      <c r="AC635" s="126"/>
      <c r="AD635" s="340"/>
      <c r="AE635" s="132"/>
      <c r="AF635" s="132"/>
      <c r="AG635" s="132"/>
      <c r="AH635" s="132"/>
      <c r="AI635" s="132"/>
      <c r="AJ635" s="95"/>
      <c r="AK635" s="95"/>
      <c r="AL635" s="95"/>
      <c r="AM635" s="95"/>
      <c r="AN635" s="132"/>
      <c r="AO635" s="132"/>
      <c r="AP635" s="95"/>
      <c r="AQ635" s="132"/>
      <c r="AR635" s="132"/>
    </row>
    <row r="636" spans="25:44" s="82" customFormat="1" x14ac:dyDescent="0.2">
      <c r="Y636" s="132"/>
      <c r="Z636" s="132"/>
      <c r="AA636" s="132"/>
      <c r="AB636" s="95"/>
      <c r="AC636" s="126"/>
      <c r="AD636" s="340"/>
      <c r="AE636" s="132"/>
      <c r="AF636" s="132"/>
      <c r="AG636" s="132"/>
      <c r="AH636" s="132"/>
      <c r="AI636" s="132"/>
      <c r="AJ636" s="95"/>
      <c r="AK636" s="95"/>
      <c r="AL636" s="95"/>
      <c r="AM636" s="95"/>
      <c r="AN636" s="132"/>
      <c r="AO636" s="132"/>
      <c r="AP636" s="95"/>
      <c r="AQ636" s="132"/>
      <c r="AR636" s="132"/>
    </row>
    <row r="637" spans="25:44" s="82" customFormat="1" x14ac:dyDescent="0.2">
      <c r="Y637" s="132"/>
      <c r="Z637" s="132"/>
      <c r="AA637" s="132"/>
      <c r="AB637" s="95"/>
      <c r="AC637" s="126"/>
      <c r="AD637" s="340"/>
      <c r="AE637" s="132"/>
      <c r="AF637" s="132"/>
      <c r="AG637" s="132"/>
      <c r="AH637" s="132"/>
      <c r="AI637" s="132"/>
      <c r="AJ637" s="95"/>
      <c r="AK637" s="95"/>
      <c r="AL637" s="95"/>
      <c r="AM637" s="95"/>
      <c r="AN637" s="132"/>
      <c r="AO637" s="132"/>
      <c r="AP637" s="95"/>
      <c r="AQ637" s="132"/>
      <c r="AR637" s="132"/>
    </row>
    <row r="638" spans="25:44" s="82" customFormat="1" x14ac:dyDescent="0.2">
      <c r="Y638" s="132"/>
      <c r="Z638" s="132"/>
      <c r="AA638" s="132"/>
      <c r="AB638" s="95"/>
      <c r="AC638" s="126"/>
      <c r="AD638" s="340"/>
      <c r="AE638" s="132"/>
      <c r="AF638" s="132"/>
      <c r="AG638" s="132"/>
      <c r="AH638" s="132"/>
      <c r="AI638" s="132"/>
      <c r="AJ638" s="95"/>
      <c r="AK638" s="95"/>
      <c r="AL638" s="95"/>
      <c r="AM638" s="95"/>
      <c r="AN638" s="132"/>
      <c r="AO638" s="132"/>
      <c r="AP638" s="95"/>
      <c r="AQ638" s="132"/>
      <c r="AR638" s="132"/>
    </row>
    <row r="639" spans="25:44" s="82" customFormat="1" x14ac:dyDescent="0.2">
      <c r="Y639" s="132"/>
      <c r="Z639" s="132"/>
      <c r="AA639" s="132"/>
      <c r="AB639" s="95"/>
      <c r="AC639" s="126"/>
      <c r="AD639" s="340"/>
      <c r="AE639" s="132"/>
      <c r="AF639" s="132"/>
      <c r="AG639" s="132"/>
      <c r="AH639" s="132"/>
      <c r="AI639" s="132"/>
      <c r="AJ639" s="95"/>
      <c r="AK639" s="95"/>
      <c r="AL639" s="95"/>
      <c r="AM639" s="95"/>
      <c r="AN639" s="132"/>
      <c r="AO639" s="132"/>
      <c r="AP639" s="95"/>
      <c r="AQ639" s="132"/>
      <c r="AR639" s="132"/>
    </row>
    <row r="640" spans="25:44" s="82" customFormat="1" x14ac:dyDescent="0.2">
      <c r="Y640" s="132"/>
      <c r="Z640" s="132"/>
      <c r="AA640" s="132"/>
      <c r="AB640" s="95"/>
      <c r="AC640" s="126"/>
      <c r="AD640" s="340"/>
      <c r="AE640" s="132"/>
      <c r="AF640" s="132"/>
      <c r="AG640" s="132"/>
      <c r="AH640" s="132"/>
      <c r="AI640" s="132"/>
      <c r="AJ640" s="95"/>
      <c r="AK640" s="95"/>
      <c r="AL640" s="95"/>
      <c r="AM640" s="95"/>
      <c r="AN640" s="132"/>
      <c r="AO640" s="132"/>
      <c r="AP640" s="95"/>
      <c r="AQ640" s="132"/>
      <c r="AR640" s="132"/>
    </row>
    <row r="641" spans="25:44" s="82" customFormat="1" x14ac:dyDescent="0.2">
      <c r="Y641" s="132"/>
      <c r="Z641" s="132"/>
      <c r="AA641" s="132"/>
      <c r="AB641" s="95"/>
      <c r="AC641" s="126"/>
      <c r="AD641" s="340"/>
      <c r="AE641" s="132"/>
      <c r="AF641" s="132"/>
      <c r="AG641" s="132"/>
      <c r="AH641" s="132"/>
      <c r="AI641" s="132"/>
      <c r="AJ641" s="95"/>
      <c r="AK641" s="95"/>
      <c r="AL641" s="95"/>
      <c r="AM641" s="95"/>
      <c r="AN641" s="132"/>
      <c r="AO641" s="132"/>
      <c r="AP641" s="95"/>
      <c r="AQ641" s="132"/>
      <c r="AR641" s="132"/>
    </row>
    <row r="642" spans="25:44" s="82" customFormat="1" x14ac:dyDescent="0.2">
      <c r="Y642" s="132"/>
      <c r="Z642" s="132"/>
      <c r="AA642" s="132"/>
      <c r="AB642" s="95"/>
      <c r="AC642" s="126"/>
      <c r="AD642" s="340"/>
      <c r="AE642" s="132"/>
      <c r="AF642" s="132"/>
      <c r="AG642" s="132"/>
      <c r="AH642" s="132"/>
      <c r="AI642" s="132"/>
      <c r="AJ642" s="95"/>
      <c r="AK642" s="95"/>
      <c r="AL642" s="95"/>
      <c r="AM642" s="95"/>
      <c r="AN642" s="132"/>
      <c r="AO642" s="132"/>
      <c r="AP642" s="95"/>
      <c r="AQ642" s="132"/>
      <c r="AR642" s="132"/>
    </row>
    <row r="643" spans="25:44" s="82" customFormat="1" x14ac:dyDescent="0.2">
      <c r="Y643" s="132"/>
      <c r="Z643" s="132"/>
      <c r="AA643" s="132"/>
      <c r="AB643" s="95"/>
      <c r="AC643" s="126"/>
      <c r="AD643" s="340"/>
      <c r="AE643" s="132"/>
      <c r="AF643" s="132"/>
      <c r="AG643" s="132"/>
      <c r="AH643" s="132"/>
      <c r="AI643" s="132"/>
      <c r="AJ643" s="95"/>
      <c r="AK643" s="95"/>
      <c r="AL643" s="95"/>
      <c r="AM643" s="95"/>
      <c r="AN643" s="132"/>
      <c r="AO643" s="132"/>
      <c r="AP643" s="95"/>
      <c r="AQ643" s="132"/>
      <c r="AR643" s="132"/>
    </row>
    <row r="644" spans="25:44" s="82" customFormat="1" x14ac:dyDescent="0.2">
      <c r="Y644" s="132"/>
      <c r="Z644" s="132"/>
      <c r="AA644" s="132"/>
      <c r="AB644" s="95"/>
      <c r="AC644" s="126"/>
      <c r="AD644" s="340"/>
      <c r="AE644" s="132"/>
      <c r="AF644" s="132"/>
      <c r="AG644" s="132"/>
      <c r="AH644" s="132"/>
      <c r="AI644" s="132"/>
      <c r="AJ644" s="95"/>
      <c r="AK644" s="95"/>
      <c r="AL644" s="95"/>
      <c r="AM644" s="95"/>
      <c r="AN644" s="132"/>
      <c r="AO644" s="132"/>
      <c r="AP644" s="95"/>
      <c r="AQ644" s="132"/>
      <c r="AR644" s="132"/>
    </row>
    <row r="645" spans="25:44" s="82" customFormat="1" x14ac:dyDescent="0.2">
      <c r="Y645" s="132"/>
      <c r="Z645" s="132"/>
      <c r="AA645" s="132"/>
      <c r="AB645" s="95"/>
      <c r="AC645" s="126"/>
      <c r="AD645" s="340"/>
      <c r="AE645" s="132"/>
      <c r="AF645" s="132"/>
      <c r="AG645" s="132"/>
      <c r="AH645" s="132"/>
      <c r="AI645" s="132"/>
      <c r="AJ645" s="95"/>
      <c r="AK645" s="95"/>
      <c r="AL645" s="95"/>
      <c r="AM645" s="95"/>
      <c r="AN645" s="132"/>
      <c r="AO645" s="132"/>
      <c r="AP645" s="95"/>
      <c r="AQ645" s="132"/>
      <c r="AR645" s="132"/>
    </row>
    <row r="646" spans="25:44" s="82" customFormat="1" x14ac:dyDescent="0.2">
      <c r="Y646" s="132"/>
      <c r="Z646" s="132"/>
      <c r="AA646" s="132"/>
      <c r="AB646" s="95"/>
      <c r="AC646" s="126"/>
      <c r="AD646" s="340"/>
      <c r="AE646" s="132"/>
      <c r="AF646" s="132"/>
      <c r="AG646" s="132"/>
      <c r="AH646" s="132"/>
      <c r="AI646" s="132"/>
      <c r="AJ646" s="95"/>
      <c r="AK646" s="95"/>
      <c r="AL646" s="95"/>
      <c r="AM646" s="95"/>
      <c r="AN646" s="132"/>
      <c r="AO646" s="132"/>
      <c r="AP646" s="95"/>
      <c r="AQ646" s="132"/>
      <c r="AR646" s="132"/>
    </row>
    <row r="647" spans="25:44" s="82" customFormat="1" x14ac:dyDescent="0.2">
      <c r="Y647" s="132"/>
      <c r="Z647" s="132"/>
      <c r="AA647" s="132"/>
      <c r="AB647" s="95"/>
      <c r="AC647" s="126"/>
      <c r="AD647" s="340"/>
      <c r="AE647" s="132"/>
      <c r="AF647" s="132"/>
      <c r="AG647" s="132"/>
      <c r="AH647" s="132"/>
      <c r="AI647" s="132"/>
      <c r="AJ647" s="95"/>
      <c r="AK647" s="95"/>
      <c r="AL647" s="95"/>
      <c r="AM647" s="95"/>
      <c r="AN647" s="132"/>
      <c r="AO647" s="132"/>
      <c r="AP647" s="95"/>
      <c r="AQ647" s="132"/>
      <c r="AR647" s="132"/>
    </row>
    <row r="648" spans="25:44" s="82" customFormat="1" x14ac:dyDescent="0.2">
      <c r="Y648" s="132"/>
      <c r="Z648" s="132"/>
      <c r="AA648" s="132"/>
      <c r="AB648" s="95"/>
      <c r="AC648" s="126"/>
      <c r="AD648" s="340"/>
      <c r="AE648" s="132"/>
      <c r="AF648" s="132"/>
      <c r="AG648" s="132"/>
      <c r="AH648" s="132"/>
      <c r="AI648" s="132"/>
      <c r="AJ648" s="95"/>
      <c r="AK648" s="95"/>
      <c r="AL648" s="95"/>
      <c r="AM648" s="95"/>
      <c r="AN648" s="132"/>
      <c r="AO648" s="132"/>
      <c r="AP648" s="95"/>
      <c r="AQ648" s="132"/>
      <c r="AR648" s="132"/>
    </row>
    <row r="649" spans="25:44" s="82" customFormat="1" x14ac:dyDescent="0.2">
      <c r="Y649" s="132"/>
      <c r="Z649" s="132"/>
      <c r="AA649" s="132"/>
      <c r="AB649" s="95"/>
      <c r="AC649" s="126"/>
      <c r="AD649" s="340"/>
      <c r="AE649" s="132"/>
      <c r="AF649" s="132"/>
      <c r="AG649" s="132"/>
      <c r="AH649" s="132"/>
      <c r="AI649" s="132"/>
      <c r="AJ649" s="95"/>
      <c r="AK649" s="95"/>
      <c r="AL649" s="95"/>
      <c r="AM649" s="95"/>
      <c r="AN649" s="132"/>
      <c r="AO649" s="132"/>
      <c r="AP649" s="95"/>
      <c r="AQ649" s="132"/>
      <c r="AR649" s="132"/>
    </row>
    <row r="650" spans="25:44" s="82" customFormat="1" x14ac:dyDescent="0.2">
      <c r="Y650" s="132"/>
      <c r="Z650" s="132"/>
      <c r="AA650" s="132"/>
      <c r="AB650" s="95"/>
      <c r="AC650" s="126"/>
      <c r="AD650" s="340"/>
      <c r="AE650" s="132"/>
      <c r="AF650" s="132"/>
      <c r="AG650" s="132"/>
      <c r="AH650" s="132"/>
      <c r="AI650" s="132"/>
      <c r="AJ650" s="95"/>
      <c r="AK650" s="95"/>
      <c r="AL650" s="95"/>
      <c r="AM650" s="95"/>
      <c r="AN650" s="132"/>
      <c r="AO650" s="132"/>
      <c r="AP650" s="95"/>
      <c r="AQ650" s="132"/>
      <c r="AR650" s="132"/>
    </row>
    <row r="651" spans="25:44" s="82" customFormat="1" x14ac:dyDescent="0.2">
      <c r="Y651" s="132"/>
      <c r="Z651" s="132"/>
      <c r="AA651" s="132"/>
      <c r="AB651" s="95"/>
      <c r="AC651" s="126"/>
      <c r="AD651" s="340"/>
      <c r="AE651" s="132"/>
      <c r="AF651" s="132"/>
      <c r="AG651" s="132"/>
      <c r="AH651" s="132"/>
      <c r="AI651" s="132"/>
      <c r="AJ651" s="95"/>
      <c r="AK651" s="95"/>
      <c r="AL651" s="95"/>
      <c r="AM651" s="95"/>
      <c r="AN651" s="132"/>
      <c r="AO651" s="132"/>
      <c r="AP651" s="95"/>
      <c r="AQ651" s="132"/>
      <c r="AR651" s="132"/>
    </row>
    <row r="652" spans="25:44" s="82" customFormat="1" x14ac:dyDescent="0.2">
      <c r="Y652" s="132"/>
      <c r="Z652" s="132"/>
      <c r="AA652" s="132"/>
      <c r="AB652" s="95"/>
      <c r="AC652" s="126"/>
      <c r="AD652" s="340"/>
      <c r="AE652" s="132"/>
      <c r="AF652" s="132"/>
      <c r="AG652" s="132"/>
      <c r="AH652" s="132"/>
      <c r="AI652" s="132"/>
      <c r="AJ652" s="95"/>
      <c r="AK652" s="95"/>
      <c r="AL652" s="95"/>
      <c r="AM652" s="95"/>
      <c r="AN652" s="132"/>
      <c r="AO652" s="132"/>
      <c r="AP652" s="95"/>
      <c r="AQ652" s="132"/>
      <c r="AR652" s="132"/>
    </row>
    <row r="653" spans="25:44" s="82" customFormat="1" x14ac:dyDescent="0.2">
      <c r="Y653" s="132"/>
      <c r="Z653" s="132"/>
      <c r="AA653" s="132"/>
      <c r="AB653" s="95"/>
      <c r="AC653" s="126"/>
      <c r="AD653" s="340"/>
      <c r="AE653" s="132"/>
      <c r="AF653" s="132"/>
      <c r="AG653" s="132"/>
      <c r="AH653" s="132"/>
      <c r="AI653" s="132"/>
      <c r="AJ653" s="95"/>
      <c r="AK653" s="95"/>
      <c r="AL653" s="95"/>
      <c r="AM653" s="95"/>
      <c r="AN653" s="132"/>
      <c r="AO653" s="132"/>
      <c r="AP653" s="95"/>
      <c r="AQ653" s="132"/>
      <c r="AR653" s="132"/>
    </row>
    <row r="654" spans="25:44" s="82" customFormat="1" x14ac:dyDescent="0.2">
      <c r="Y654" s="132"/>
      <c r="Z654" s="132"/>
      <c r="AA654" s="132"/>
      <c r="AB654" s="95"/>
      <c r="AC654" s="126"/>
      <c r="AD654" s="340"/>
      <c r="AE654" s="132"/>
      <c r="AF654" s="132"/>
      <c r="AG654" s="132"/>
      <c r="AH654" s="132"/>
      <c r="AI654" s="132"/>
      <c r="AJ654" s="95"/>
      <c r="AK654" s="95"/>
      <c r="AL654" s="95"/>
      <c r="AM654" s="95"/>
      <c r="AN654" s="132"/>
      <c r="AO654" s="132"/>
      <c r="AP654" s="95"/>
      <c r="AQ654" s="132"/>
      <c r="AR654" s="132"/>
    </row>
    <row r="655" spans="25:44" s="82" customFormat="1" x14ac:dyDescent="0.2">
      <c r="Y655" s="132"/>
      <c r="Z655" s="132"/>
      <c r="AA655" s="132"/>
      <c r="AB655" s="95"/>
      <c r="AC655" s="126"/>
      <c r="AD655" s="340"/>
      <c r="AE655" s="132"/>
      <c r="AF655" s="132"/>
      <c r="AG655" s="132"/>
      <c r="AH655" s="132"/>
      <c r="AI655" s="132"/>
      <c r="AJ655" s="95"/>
      <c r="AK655" s="95"/>
      <c r="AL655" s="95"/>
      <c r="AM655" s="95"/>
      <c r="AN655" s="132"/>
      <c r="AO655" s="132"/>
      <c r="AP655" s="95"/>
      <c r="AQ655" s="132"/>
      <c r="AR655" s="132"/>
    </row>
    <row r="656" spans="25:44" s="82" customFormat="1" x14ac:dyDescent="0.2">
      <c r="Y656" s="132"/>
      <c r="Z656" s="132"/>
      <c r="AA656" s="132"/>
      <c r="AB656" s="95"/>
      <c r="AC656" s="126"/>
      <c r="AD656" s="340"/>
      <c r="AE656" s="132"/>
      <c r="AF656" s="132"/>
      <c r="AG656" s="132"/>
      <c r="AH656" s="132"/>
      <c r="AI656" s="132"/>
      <c r="AJ656" s="95"/>
      <c r="AK656" s="95"/>
      <c r="AL656" s="95"/>
      <c r="AM656" s="95"/>
      <c r="AN656" s="132"/>
      <c r="AO656" s="132"/>
      <c r="AP656" s="95"/>
      <c r="AQ656" s="132"/>
      <c r="AR656" s="132"/>
    </row>
    <row r="657" spans="25:44" s="82" customFormat="1" x14ac:dyDescent="0.2">
      <c r="Y657" s="132"/>
      <c r="Z657" s="132"/>
      <c r="AA657" s="132"/>
      <c r="AB657" s="95"/>
      <c r="AC657" s="126"/>
      <c r="AD657" s="340"/>
      <c r="AE657" s="132"/>
      <c r="AF657" s="132"/>
      <c r="AG657" s="132"/>
      <c r="AH657" s="132"/>
      <c r="AI657" s="132"/>
      <c r="AJ657" s="95"/>
      <c r="AK657" s="95"/>
      <c r="AL657" s="95"/>
      <c r="AM657" s="95"/>
      <c r="AN657" s="132"/>
      <c r="AO657" s="132"/>
      <c r="AP657" s="95"/>
      <c r="AQ657" s="132"/>
      <c r="AR657" s="132"/>
    </row>
    <row r="658" spans="25:44" s="82" customFormat="1" x14ac:dyDescent="0.2">
      <c r="Y658" s="132"/>
      <c r="Z658" s="132"/>
      <c r="AA658" s="132"/>
      <c r="AB658" s="95"/>
      <c r="AC658" s="126"/>
      <c r="AD658" s="340"/>
      <c r="AE658" s="132"/>
      <c r="AF658" s="132"/>
      <c r="AG658" s="132"/>
      <c r="AH658" s="132"/>
      <c r="AI658" s="132"/>
      <c r="AJ658" s="95"/>
      <c r="AK658" s="95"/>
      <c r="AL658" s="95"/>
      <c r="AM658" s="95"/>
      <c r="AN658" s="132"/>
      <c r="AO658" s="132"/>
      <c r="AP658" s="95"/>
      <c r="AQ658" s="132"/>
      <c r="AR658" s="132"/>
    </row>
    <row r="659" spans="25:44" s="82" customFormat="1" x14ac:dyDescent="0.2">
      <c r="Y659" s="132"/>
      <c r="Z659" s="132"/>
      <c r="AA659" s="132"/>
      <c r="AB659" s="95"/>
      <c r="AC659" s="126"/>
      <c r="AD659" s="340"/>
      <c r="AE659" s="132"/>
      <c r="AF659" s="132"/>
      <c r="AG659" s="132"/>
      <c r="AH659" s="132"/>
      <c r="AI659" s="132"/>
      <c r="AJ659" s="95"/>
      <c r="AK659" s="95"/>
      <c r="AL659" s="95"/>
      <c r="AM659" s="95"/>
      <c r="AN659" s="132"/>
      <c r="AO659" s="132"/>
      <c r="AP659" s="95"/>
      <c r="AQ659" s="132"/>
      <c r="AR659" s="132"/>
    </row>
    <row r="660" spans="25:44" s="82" customFormat="1" x14ac:dyDescent="0.2">
      <c r="Y660" s="132"/>
      <c r="Z660" s="132"/>
      <c r="AA660" s="132"/>
      <c r="AB660" s="95"/>
      <c r="AC660" s="126"/>
      <c r="AD660" s="340"/>
      <c r="AE660" s="132"/>
      <c r="AF660" s="132"/>
      <c r="AG660" s="132"/>
      <c r="AH660" s="132"/>
      <c r="AI660" s="132"/>
      <c r="AJ660" s="95"/>
      <c r="AK660" s="95"/>
      <c r="AL660" s="95"/>
      <c r="AM660" s="95"/>
      <c r="AN660" s="132"/>
      <c r="AO660" s="132"/>
      <c r="AP660" s="95"/>
      <c r="AQ660" s="132"/>
      <c r="AR660" s="132"/>
    </row>
    <row r="661" spans="25:44" s="82" customFormat="1" x14ac:dyDescent="0.2">
      <c r="Y661" s="132"/>
      <c r="Z661" s="132"/>
      <c r="AA661" s="132"/>
      <c r="AB661" s="95"/>
      <c r="AC661" s="126"/>
      <c r="AD661" s="340"/>
      <c r="AE661" s="132"/>
      <c r="AF661" s="132"/>
      <c r="AG661" s="132"/>
      <c r="AH661" s="132"/>
      <c r="AI661" s="132"/>
      <c r="AJ661" s="95"/>
      <c r="AK661" s="95"/>
      <c r="AL661" s="95"/>
      <c r="AM661" s="95"/>
      <c r="AN661" s="132"/>
      <c r="AO661" s="132"/>
      <c r="AP661" s="95"/>
      <c r="AQ661" s="132"/>
      <c r="AR661" s="132"/>
    </row>
    <row r="662" spans="25:44" s="82" customFormat="1" x14ac:dyDescent="0.2">
      <c r="Y662" s="132"/>
      <c r="Z662" s="132"/>
      <c r="AA662" s="132"/>
      <c r="AB662" s="95"/>
      <c r="AC662" s="126"/>
      <c r="AD662" s="340"/>
      <c r="AE662" s="132"/>
      <c r="AF662" s="132"/>
      <c r="AG662" s="132"/>
      <c r="AH662" s="132"/>
      <c r="AI662" s="132"/>
      <c r="AJ662" s="95"/>
      <c r="AK662" s="95"/>
      <c r="AL662" s="95"/>
      <c r="AM662" s="95"/>
      <c r="AN662" s="132"/>
      <c r="AO662" s="132"/>
      <c r="AP662" s="95"/>
      <c r="AQ662" s="132"/>
      <c r="AR662" s="132"/>
    </row>
    <row r="663" spans="25:44" s="82" customFormat="1" x14ac:dyDescent="0.2">
      <c r="Y663" s="132"/>
      <c r="Z663" s="132"/>
      <c r="AA663" s="132"/>
      <c r="AB663" s="95"/>
      <c r="AC663" s="126"/>
      <c r="AD663" s="340"/>
      <c r="AE663" s="132"/>
      <c r="AF663" s="132"/>
      <c r="AG663" s="132"/>
      <c r="AH663" s="132"/>
      <c r="AI663" s="132"/>
      <c r="AJ663" s="95"/>
      <c r="AK663" s="95"/>
      <c r="AL663" s="95"/>
      <c r="AM663" s="95"/>
      <c r="AN663" s="132"/>
      <c r="AO663" s="132"/>
      <c r="AP663" s="95"/>
      <c r="AQ663" s="132"/>
      <c r="AR663" s="132"/>
    </row>
    <row r="664" spans="25:44" s="82" customFormat="1" x14ac:dyDescent="0.2">
      <c r="Y664" s="132"/>
      <c r="Z664" s="132"/>
      <c r="AA664" s="132"/>
      <c r="AB664" s="95"/>
      <c r="AC664" s="126"/>
      <c r="AD664" s="340"/>
      <c r="AE664" s="132"/>
      <c r="AF664" s="132"/>
      <c r="AG664" s="132"/>
      <c r="AH664" s="132"/>
      <c r="AI664" s="132"/>
      <c r="AJ664" s="95"/>
      <c r="AK664" s="95"/>
      <c r="AL664" s="95"/>
      <c r="AM664" s="95"/>
      <c r="AN664" s="132"/>
      <c r="AO664" s="132"/>
      <c r="AP664" s="95"/>
      <c r="AQ664" s="132"/>
      <c r="AR664" s="132"/>
    </row>
    <row r="665" spans="25:44" s="82" customFormat="1" x14ac:dyDescent="0.2">
      <c r="Y665" s="132"/>
      <c r="Z665" s="132"/>
      <c r="AA665" s="132"/>
      <c r="AB665" s="95"/>
      <c r="AC665" s="126"/>
      <c r="AD665" s="340"/>
      <c r="AE665" s="132"/>
      <c r="AF665" s="132"/>
      <c r="AG665" s="132"/>
      <c r="AH665" s="132"/>
      <c r="AI665" s="132"/>
      <c r="AJ665" s="95"/>
      <c r="AK665" s="95"/>
      <c r="AL665" s="95"/>
      <c r="AM665" s="95"/>
      <c r="AN665" s="132"/>
      <c r="AO665" s="132"/>
      <c r="AP665" s="95"/>
      <c r="AQ665" s="132"/>
      <c r="AR665" s="132"/>
    </row>
    <row r="666" spans="25:44" s="82" customFormat="1" x14ac:dyDescent="0.2">
      <c r="Y666" s="132"/>
      <c r="Z666" s="132"/>
      <c r="AA666" s="132"/>
      <c r="AB666" s="95"/>
      <c r="AC666" s="126"/>
      <c r="AD666" s="340"/>
      <c r="AE666" s="132"/>
      <c r="AF666" s="132"/>
      <c r="AG666" s="132"/>
      <c r="AH666" s="132"/>
      <c r="AI666" s="132"/>
      <c r="AJ666" s="95"/>
      <c r="AK666" s="95"/>
      <c r="AL666" s="95"/>
      <c r="AM666" s="95"/>
      <c r="AN666" s="132"/>
      <c r="AO666" s="132"/>
      <c r="AP666" s="95"/>
      <c r="AQ666" s="132"/>
      <c r="AR666" s="132"/>
    </row>
    <row r="667" spans="25:44" s="82" customFormat="1" x14ac:dyDescent="0.2">
      <c r="Y667" s="132"/>
      <c r="Z667" s="132"/>
      <c r="AA667" s="132"/>
      <c r="AB667" s="95"/>
      <c r="AC667" s="126"/>
      <c r="AD667" s="340"/>
      <c r="AE667" s="132"/>
      <c r="AF667" s="132"/>
      <c r="AG667" s="132"/>
      <c r="AH667" s="132"/>
      <c r="AI667" s="132"/>
      <c r="AJ667" s="95"/>
      <c r="AK667" s="95"/>
      <c r="AL667" s="95"/>
      <c r="AM667" s="95"/>
      <c r="AN667" s="132"/>
      <c r="AO667" s="132"/>
      <c r="AP667" s="95"/>
      <c r="AQ667" s="132"/>
      <c r="AR667" s="132"/>
    </row>
    <row r="668" spans="25:44" s="82" customFormat="1" x14ac:dyDescent="0.2">
      <c r="Y668" s="132"/>
      <c r="Z668" s="132"/>
      <c r="AA668" s="132"/>
      <c r="AB668" s="95"/>
      <c r="AC668" s="126"/>
      <c r="AD668" s="340"/>
      <c r="AE668" s="132"/>
      <c r="AF668" s="132"/>
      <c r="AG668" s="132"/>
      <c r="AH668" s="132"/>
      <c r="AI668" s="132"/>
      <c r="AJ668" s="95"/>
      <c r="AK668" s="95"/>
      <c r="AL668" s="95"/>
      <c r="AM668" s="95"/>
      <c r="AN668" s="132"/>
      <c r="AO668" s="132"/>
      <c r="AP668" s="95"/>
      <c r="AQ668" s="132"/>
      <c r="AR668" s="132"/>
    </row>
    <row r="669" spans="25:44" s="82" customFormat="1" x14ac:dyDescent="0.2">
      <c r="Y669" s="132"/>
      <c r="Z669" s="132"/>
      <c r="AA669" s="132"/>
      <c r="AB669" s="95"/>
      <c r="AC669" s="126"/>
      <c r="AD669" s="340"/>
      <c r="AE669" s="132"/>
      <c r="AF669" s="132"/>
      <c r="AG669" s="132"/>
      <c r="AH669" s="132"/>
      <c r="AI669" s="132"/>
      <c r="AJ669" s="95"/>
      <c r="AK669" s="95"/>
      <c r="AL669" s="95"/>
      <c r="AM669" s="95"/>
      <c r="AN669" s="132"/>
      <c r="AO669" s="132"/>
      <c r="AP669" s="95"/>
      <c r="AQ669" s="132"/>
      <c r="AR669" s="132"/>
    </row>
    <row r="670" spans="25:44" s="82" customFormat="1" x14ac:dyDescent="0.2">
      <c r="Y670" s="132"/>
      <c r="Z670" s="132"/>
      <c r="AA670" s="132"/>
      <c r="AB670" s="95"/>
      <c r="AC670" s="126"/>
      <c r="AD670" s="340"/>
      <c r="AE670" s="132"/>
      <c r="AF670" s="132"/>
      <c r="AG670" s="132"/>
      <c r="AH670" s="132"/>
      <c r="AI670" s="132"/>
      <c r="AJ670" s="95"/>
      <c r="AK670" s="95"/>
      <c r="AL670" s="95"/>
      <c r="AM670" s="95"/>
      <c r="AN670" s="132"/>
      <c r="AO670" s="132"/>
      <c r="AP670" s="95"/>
      <c r="AQ670" s="132"/>
      <c r="AR670" s="132"/>
    </row>
    <row r="671" spans="25:44" s="82" customFormat="1" x14ac:dyDescent="0.2">
      <c r="Y671" s="132"/>
      <c r="Z671" s="132"/>
      <c r="AA671" s="132"/>
      <c r="AB671" s="95"/>
      <c r="AC671" s="126"/>
      <c r="AD671" s="340"/>
      <c r="AE671" s="132"/>
      <c r="AF671" s="132"/>
      <c r="AG671" s="132"/>
      <c r="AH671" s="132"/>
      <c r="AI671" s="132"/>
      <c r="AJ671" s="95"/>
      <c r="AK671" s="95"/>
      <c r="AL671" s="95"/>
      <c r="AM671" s="95"/>
      <c r="AN671" s="132"/>
      <c r="AO671" s="132"/>
      <c r="AP671" s="95"/>
      <c r="AQ671" s="132"/>
      <c r="AR671" s="132"/>
    </row>
    <row r="672" spans="25:44" s="82" customFormat="1" x14ac:dyDescent="0.2">
      <c r="Y672" s="132"/>
      <c r="Z672" s="132"/>
      <c r="AA672" s="132"/>
      <c r="AB672" s="95"/>
      <c r="AC672" s="126"/>
      <c r="AD672" s="340"/>
      <c r="AE672" s="132"/>
      <c r="AF672" s="132"/>
      <c r="AG672" s="132"/>
      <c r="AH672" s="132"/>
      <c r="AI672" s="132"/>
      <c r="AJ672" s="95"/>
      <c r="AK672" s="95"/>
      <c r="AL672" s="95"/>
      <c r="AM672" s="95"/>
      <c r="AN672" s="132"/>
      <c r="AO672" s="132"/>
      <c r="AP672" s="95"/>
      <c r="AQ672" s="132"/>
      <c r="AR672" s="132"/>
    </row>
    <row r="673" spans="25:44" s="82" customFormat="1" x14ac:dyDescent="0.2">
      <c r="Y673" s="132"/>
      <c r="Z673" s="132"/>
      <c r="AA673" s="132"/>
      <c r="AB673" s="95"/>
      <c r="AC673" s="126"/>
      <c r="AD673" s="340"/>
      <c r="AE673" s="132"/>
      <c r="AF673" s="132"/>
      <c r="AG673" s="132"/>
      <c r="AH673" s="132"/>
      <c r="AI673" s="132"/>
      <c r="AJ673" s="95"/>
      <c r="AK673" s="95"/>
      <c r="AL673" s="95"/>
      <c r="AM673" s="95"/>
      <c r="AN673" s="132"/>
      <c r="AO673" s="132"/>
      <c r="AP673" s="95"/>
      <c r="AQ673" s="132"/>
      <c r="AR673" s="132"/>
    </row>
    <row r="674" spans="25:44" s="82" customFormat="1" x14ac:dyDescent="0.2">
      <c r="Y674" s="132"/>
      <c r="Z674" s="132"/>
      <c r="AA674" s="132"/>
      <c r="AB674" s="95"/>
      <c r="AC674" s="126"/>
      <c r="AD674" s="340"/>
      <c r="AE674" s="132"/>
      <c r="AF674" s="132"/>
      <c r="AG674" s="132"/>
      <c r="AH674" s="132"/>
      <c r="AI674" s="132"/>
      <c r="AJ674" s="95"/>
      <c r="AK674" s="95"/>
      <c r="AL674" s="95"/>
      <c r="AM674" s="95"/>
      <c r="AN674" s="132"/>
      <c r="AO674" s="132"/>
      <c r="AP674" s="95"/>
      <c r="AQ674" s="132"/>
      <c r="AR674" s="132"/>
    </row>
    <row r="675" spans="25:44" s="82" customFormat="1" x14ac:dyDescent="0.2">
      <c r="Y675" s="132"/>
      <c r="Z675" s="132"/>
      <c r="AA675" s="132"/>
      <c r="AB675" s="95"/>
      <c r="AC675" s="126"/>
      <c r="AD675" s="340"/>
      <c r="AE675" s="132"/>
      <c r="AF675" s="132"/>
      <c r="AG675" s="132"/>
      <c r="AH675" s="132"/>
      <c r="AI675" s="132"/>
      <c r="AJ675" s="95"/>
      <c r="AK675" s="95"/>
      <c r="AL675" s="95"/>
      <c r="AM675" s="95"/>
      <c r="AN675" s="132"/>
      <c r="AO675" s="132"/>
      <c r="AP675" s="95"/>
      <c r="AQ675" s="132"/>
      <c r="AR675" s="132"/>
    </row>
    <row r="676" spans="25:44" s="82" customFormat="1" x14ac:dyDescent="0.2">
      <c r="Y676" s="132"/>
      <c r="Z676" s="132"/>
      <c r="AA676" s="132"/>
      <c r="AB676" s="95"/>
      <c r="AC676" s="126"/>
      <c r="AD676" s="340"/>
      <c r="AE676" s="132"/>
      <c r="AF676" s="132"/>
      <c r="AG676" s="132"/>
      <c r="AH676" s="132"/>
      <c r="AI676" s="132"/>
      <c r="AJ676" s="95"/>
      <c r="AK676" s="95"/>
      <c r="AL676" s="95"/>
      <c r="AM676" s="95"/>
      <c r="AN676" s="132"/>
      <c r="AO676" s="132"/>
      <c r="AP676" s="95"/>
      <c r="AQ676" s="132"/>
      <c r="AR676" s="132"/>
    </row>
    <row r="677" spans="25:44" s="82" customFormat="1" x14ac:dyDescent="0.2">
      <c r="Y677" s="132"/>
      <c r="Z677" s="132"/>
      <c r="AA677" s="132"/>
      <c r="AB677" s="95"/>
      <c r="AC677" s="126"/>
      <c r="AD677" s="340"/>
      <c r="AE677" s="132"/>
      <c r="AF677" s="132"/>
      <c r="AG677" s="132"/>
      <c r="AH677" s="132"/>
      <c r="AI677" s="132"/>
      <c r="AJ677" s="95"/>
      <c r="AK677" s="95"/>
      <c r="AL677" s="95"/>
      <c r="AM677" s="95"/>
      <c r="AN677" s="132"/>
      <c r="AO677" s="132"/>
      <c r="AP677" s="95"/>
      <c r="AQ677" s="132"/>
      <c r="AR677" s="132"/>
    </row>
    <row r="678" spans="25:44" s="82" customFormat="1" x14ac:dyDescent="0.2">
      <c r="Y678" s="132"/>
      <c r="Z678" s="132"/>
      <c r="AA678" s="132"/>
      <c r="AB678" s="95"/>
      <c r="AC678" s="126"/>
      <c r="AD678" s="340"/>
      <c r="AE678" s="132"/>
      <c r="AF678" s="132"/>
      <c r="AG678" s="132"/>
      <c r="AH678" s="132"/>
      <c r="AI678" s="132"/>
      <c r="AJ678" s="95"/>
      <c r="AK678" s="95"/>
      <c r="AL678" s="95"/>
      <c r="AM678" s="95"/>
      <c r="AN678" s="132"/>
      <c r="AO678" s="132"/>
      <c r="AP678" s="95"/>
      <c r="AQ678" s="132"/>
      <c r="AR678" s="132"/>
    </row>
    <row r="679" spans="25:44" s="82" customFormat="1" x14ac:dyDescent="0.2">
      <c r="Y679" s="132"/>
      <c r="Z679" s="132"/>
      <c r="AA679" s="132"/>
      <c r="AB679" s="95"/>
      <c r="AC679" s="126"/>
      <c r="AD679" s="340"/>
      <c r="AE679" s="132"/>
      <c r="AF679" s="132"/>
      <c r="AG679" s="132"/>
      <c r="AH679" s="132"/>
      <c r="AI679" s="132"/>
      <c r="AJ679" s="95"/>
      <c r="AK679" s="95"/>
      <c r="AL679" s="95"/>
      <c r="AM679" s="95"/>
      <c r="AN679" s="132"/>
      <c r="AO679" s="132"/>
      <c r="AP679" s="95"/>
      <c r="AQ679" s="132"/>
      <c r="AR679" s="132"/>
    </row>
    <row r="680" spans="25:44" s="82" customFormat="1" x14ac:dyDescent="0.2">
      <c r="Y680" s="132"/>
      <c r="Z680" s="132"/>
      <c r="AA680" s="132"/>
      <c r="AB680" s="95"/>
      <c r="AC680" s="126"/>
      <c r="AD680" s="340"/>
      <c r="AE680" s="132"/>
      <c r="AF680" s="132"/>
      <c r="AG680" s="132"/>
      <c r="AH680" s="132"/>
      <c r="AI680" s="132"/>
      <c r="AJ680" s="95"/>
      <c r="AK680" s="95"/>
      <c r="AL680" s="95"/>
      <c r="AM680" s="95"/>
      <c r="AN680" s="132"/>
      <c r="AO680" s="132"/>
      <c r="AP680" s="95"/>
      <c r="AQ680" s="132"/>
      <c r="AR680" s="132"/>
    </row>
    <row r="681" spans="25:44" s="82" customFormat="1" x14ac:dyDescent="0.2">
      <c r="Y681" s="132"/>
      <c r="Z681" s="132"/>
      <c r="AA681" s="132"/>
      <c r="AB681" s="95"/>
      <c r="AC681" s="126"/>
      <c r="AD681" s="340"/>
      <c r="AE681" s="132"/>
      <c r="AF681" s="132"/>
      <c r="AG681" s="132"/>
      <c r="AH681" s="132"/>
      <c r="AI681" s="132"/>
      <c r="AJ681" s="95"/>
      <c r="AK681" s="95"/>
      <c r="AL681" s="95"/>
      <c r="AM681" s="95"/>
      <c r="AN681" s="132"/>
      <c r="AO681" s="132"/>
      <c r="AP681" s="95"/>
      <c r="AQ681" s="132"/>
      <c r="AR681" s="132"/>
    </row>
    <row r="682" spans="25:44" s="82" customFormat="1" x14ac:dyDescent="0.2">
      <c r="Y682" s="132"/>
      <c r="Z682" s="132"/>
      <c r="AA682" s="132"/>
      <c r="AB682" s="95"/>
      <c r="AC682" s="126"/>
      <c r="AD682" s="340"/>
      <c r="AE682" s="132"/>
      <c r="AF682" s="132"/>
      <c r="AG682" s="132"/>
      <c r="AH682" s="132"/>
      <c r="AI682" s="132"/>
      <c r="AJ682" s="95"/>
      <c r="AK682" s="95"/>
      <c r="AL682" s="95"/>
      <c r="AM682" s="95"/>
      <c r="AN682" s="132"/>
      <c r="AO682" s="132"/>
      <c r="AP682" s="95"/>
      <c r="AQ682" s="132"/>
      <c r="AR682" s="132"/>
    </row>
    <row r="683" spans="25:44" s="82" customFormat="1" x14ac:dyDescent="0.2">
      <c r="Y683" s="132"/>
      <c r="Z683" s="132"/>
      <c r="AA683" s="132"/>
      <c r="AB683" s="95"/>
      <c r="AC683" s="126"/>
      <c r="AD683" s="340"/>
      <c r="AE683" s="132"/>
      <c r="AF683" s="132"/>
      <c r="AG683" s="132"/>
      <c r="AH683" s="132"/>
      <c r="AI683" s="132"/>
      <c r="AJ683" s="95"/>
      <c r="AK683" s="95"/>
      <c r="AL683" s="95"/>
      <c r="AM683" s="95"/>
      <c r="AN683" s="132"/>
      <c r="AO683" s="132"/>
      <c r="AP683" s="95"/>
      <c r="AQ683" s="132"/>
      <c r="AR683" s="132"/>
    </row>
    <row r="684" spans="25:44" s="82" customFormat="1" x14ac:dyDescent="0.2">
      <c r="Y684" s="132"/>
      <c r="Z684" s="132"/>
      <c r="AA684" s="132"/>
      <c r="AB684" s="95"/>
      <c r="AC684" s="126"/>
      <c r="AD684" s="340"/>
      <c r="AE684" s="132"/>
      <c r="AF684" s="132"/>
      <c r="AG684" s="132"/>
      <c r="AH684" s="132"/>
      <c r="AI684" s="132"/>
      <c r="AJ684" s="95"/>
      <c r="AK684" s="95"/>
      <c r="AL684" s="95"/>
      <c r="AM684" s="95"/>
      <c r="AN684" s="132"/>
      <c r="AO684" s="132"/>
      <c r="AP684" s="95"/>
      <c r="AQ684" s="132"/>
      <c r="AR684" s="132"/>
    </row>
    <row r="685" spans="25:44" s="82" customFormat="1" x14ac:dyDescent="0.2">
      <c r="Y685" s="132"/>
      <c r="Z685" s="132"/>
      <c r="AA685" s="132"/>
      <c r="AB685" s="95"/>
      <c r="AC685" s="126"/>
      <c r="AD685" s="340"/>
      <c r="AE685" s="132"/>
      <c r="AF685" s="132"/>
      <c r="AG685" s="132"/>
      <c r="AH685" s="132"/>
      <c r="AI685" s="132"/>
      <c r="AJ685" s="95"/>
      <c r="AK685" s="95"/>
      <c r="AL685" s="95"/>
      <c r="AM685" s="95"/>
      <c r="AN685" s="132"/>
      <c r="AO685" s="132"/>
      <c r="AP685" s="95"/>
      <c r="AQ685" s="132"/>
      <c r="AR685" s="132"/>
    </row>
    <row r="686" spans="25:44" s="82" customFormat="1" x14ac:dyDescent="0.2">
      <c r="Y686" s="132"/>
      <c r="Z686" s="132"/>
      <c r="AA686" s="132"/>
      <c r="AB686" s="95"/>
      <c r="AC686" s="126"/>
      <c r="AD686" s="340"/>
      <c r="AE686" s="132"/>
      <c r="AF686" s="132"/>
      <c r="AG686" s="132"/>
      <c r="AH686" s="132"/>
      <c r="AI686" s="132"/>
      <c r="AJ686" s="95"/>
      <c r="AK686" s="95"/>
      <c r="AL686" s="95"/>
      <c r="AM686" s="95"/>
      <c r="AN686" s="132"/>
      <c r="AO686" s="132"/>
      <c r="AP686" s="95"/>
      <c r="AQ686" s="132"/>
      <c r="AR686" s="132"/>
    </row>
    <row r="687" spans="25:44" s="82" customFormat="1" x14ac:dyDescent="0.2">
      <c r="Y687" s="132"/>
      <c r="Z687" s="132"/>
      <c r="AA687" s="132"/>
      <c r="AB687" s="95"/>
      <c r="AC687" s="126"/>
      <c r="AD687" s="340"/>
      <c r="AE687" s="132"/>
      <c r="AF687" s="132"/>
      <c r="AG687" s="132"/>
      <c r="AH687" s="132"/>
      <c r="AI687" s="132"/>
      <c r="AJ687" s="95"/>
      <c r="AK687" s="95"/>
      <c r="AL687" s="95"/>
      <c r="AM687" s="95"/>
      <c r="AN687" s="132"/>
      <c r="AO687" s="132"/>
      <c r="AP687" s="95"/>
      <c r="AQ687" s="132"/>
      <c r="AR687" s="132"/>
    </row>
    <row r="688" spans="25:44" s="82" customFormat="1" x14ac:dyDescent="0.2">
      <c r="Y688" s="132"/>
      <c r="Z688" s="132"/>
      <c r="AA688" s="132"/>
      <c r="AB688" s="95"/>
      <c r="AC688" s="126"/>
      <c r="AD688" s="340"/>
      <c r="AE688" s="132"/>
      <c r="AF688" s="132"/>
      <c r="AG688" s="132"/>
      <c r="AH688" s="132"/>
      <c r="AI688" s="132"/>
      <c r="AJ688" s="95"/>
      <c r="AK688" s="95"/>
      <c r="AL688" s="95"/>
      <c r="AM688" s="95"/>
      <c r="AN688" s="132"/>
      <c r="AO688" s="132"/>
      <c r="AP688" s="95"/>
      <c r="AQ688" s="132"/>
      <c r="AR688" s="132"/>
    </row>
    <row r="689" spans="25:44" s="82" customFormat="1" x14ac:dyDescent="0.2">
      <c r="Y689" s="132"/>
      <c r="Z689" s="132"/>
      <c r="AA689" s="132"/>
      <c r="AB689" s="95"/>
      <c r="AC689" s="126"/>
      <c r="AD689" s="340"/>
      <c r="AE689" s="132"/>
      <c r="AF689" s="132"/>
      <c r="AG689" s="132"/>
      <c r="AH689" s="132"/>
      <c r="AI689" s="132"/>
      <c r="AJ689" s="95"/>
      <c r="AK689" s="95"/>
      <c r="AL689" s="95"/>
      <c r="AM689" s="95"/>
      <c r="AN689" s="132"/>
      <c r="AO689" s="132"/>
      <c r="AP689" s="95"/>
      <c r="AQ689" s="132"/>
      <c r="AR689" s="132"/>
    </row>
    <row r="690" spans="25:44" s="82" customFormat="1" x14ac:dyDescent="0.2">
      <c r="Y690" s="132"/>
      <c r="Z690" s="132"/>
      <c r="AA690" s="132"/>
      <c r="AB690" s="95"/>
      <c r="AC690" s="126"/>
      <c r="AD690" s="340"/>
      <c r="AE690" s="132"/>
      <c r="AF690" s="132"/>
      <c r="AG690" s="132"/>
      <c r="AH690" s="132"/>
      <c r="AI690" s="132"/>
      <c r="AJ690" s="95"/>
      <c r="AK690" s="95"/>
      <c r="AL690" s="95"/>
      <c r="AM690" s="95"/>
      <c r="AN690" s="132"/>
      <c r="AO690" s="132"/>
      <c r="AP690" s="95"/>
      <c r="AQ690" s="132"/>
      <c r="AR690" s="132"/>
    </row>
    <row r="691" spans="25:44" s="82" customFormat="1" x14ac:dyDescent="0.2">
      <c r="Y691" s="132"/>
      <c r="Z691" s="132"/>
      <c r="AA691" s="132"/>
      <c r="AB691" s="95"/>
      <c r="AC691" s="126"/>
      <c r="AD691" s="340"/>
      <c r="AE691" s="132"/>
      <c r="AF691" s="132"/>
      <c r="AG691" s="132"/>
      <c r="AH691" s="132"/>
      <c r="AI691" s="132"/>
      <c r="AJ691" s="95"/>
      <c r="AK691" s="95"/>
      <c r="AL691" s="95"/>
      <c r="AM691" s="95"/>
      <c r="AN691" s="132"/>
      <c r="AO691" s="132"/>
      <c r="AP691" s="95"/>
      <c r="AQ691" s="132"/>
      <c r="AR691" s="132"/>
    </row>
    <row r="692" spans="25:44" s="82" customFormat="1" x14ac:dyDescent="0.2">
      <c r="Y692" s="132"/>
      <c r="Z692" s="132"/>
      <c r="AA692" s="132"/>
      <c r="AB692" s="95"/>
      <c r="AC692" s="126"/>
      <c r="AD692" s="340"/>
      <c r="AE692" s="132"/>
      <c r="AF692" s="132"/>
      <c r="AG692" s="132"/>
      <c r="AH692" s="132"/>
      <c r="AI692" s="132"/>
      <c r="AJ692" s="95"/>
      <c r="AK692" s="95"/>
      <c r="AL692" s="95"/>
      <c r="AM692" s="95"/>
      <c r="AN692" s="132"/>
      <c r="AO692" s="132"/>
      <c r="AP692" s="95"/>
      <c r="AQ692" s="132"/>
      <c r="AR692" s="132"/>
    </row>
    <row r="693" spans="25:44" s="82" customFormat="1" x14ac:dyDescent="0.2">
      <c r="Y693" s="132"/>
      <c r="Z693" s="132"/>
      <c r="AA693" s="132"/>
      <c r="AB693" s="95"/>
      <c r="AC693" s="126"/>
      <c r="AD693" s="340"/>
      <c r="AE693" s="132"/>
      <c r="AF693" s="132"/>
      <c r="AG693" s="132"/>
      <c r="AH693" s="132"/>
      <c r="AI693" s="132"/>
      <c r="AJ693" s="95"/>
      <c r="AK693" s="95"/>
      <c r="AL693" s="95"/>
      <c r="AM693" s="95"/>
      <c r="AN693" s="132"/>
      <c r="AO693" s="132"/>
      <c r="AP693" s="95"/>
      <c r="AQ693" s="132"/>
      <c r="AR693" s="132"/>
    </row>
    <row r="694" spans="25:44" s="82" customFormat="1" x14ac:dyDescent="0.2">
      <c r="Y694" s="132"/>
      <c r="Z694" s="132"/>
      <c r="AA694" s="132"/>
      <c r="AB694" s="95"/>
      <c r="AC694" s="126"/>
      <c r="AD694" s="340"/>
      <c r="AE694" s="132"/>
      <c r="AF694" s="132"/>
      <c r="AG694" s="132"/>
      <c r="AH694" s="132"/>
      <c r="AI694" s="132"/>
      <c r="AJ694" s="95"/>
      <c r="AK694" s="95"/>
      <c r="AL694" s="95"/>
      <c r="AM694" s="95"/>
      <c r="AN694" s="132"/>
      <c r="AO694" s="132"/>
      <c r="AP694" s="95"/>
      <c r="AQ694" s="132"/>
      <c r="AR694" s="132"/>
    </row>
    <row r="695" spans="25:44" s="82" customFormat="1" x14ac:dyDescent="0.2">
      <c r="Y695" s="132"/>
      <c r="Z695" s="132"/>
      <c r="AA695" s="132"/>
      <c r="AB695" s="95"/>
      <c r="AC695" s="126"/>
      <c r="AD695" s="340"/>
      <c r="AE695" s="132"/>
      <c r="AF695" s="132"/>
      <c r="AG695" s="132"/>
      <c r="AH695" s="132"/>
      <c r="AI695" s="132"/>
      <c r="AJ695" s="95"/>
      <c r="AK695" s="95"/>
      <c r="AL695" s="95"/>
      <c r="AM695" s="95"/>
      <c r="AN695" s="132"/>
      <c r="AO695" s="132"/>
      <c r="AP695" s="95"/>
      <c r="AQ695" s="132"/>
      <c r="AR695" s="132"/>
    </row>
    <row r="696" spans="25:44" s="82" customFormat="1" x14ac:dyDescent="0.2">
      <c r="Y696" s="132"/>
      <c r="Z696" s="132"/>
      <c r="AA696" s="132"/>
      <c r="AB696" s="95"/>
      <c r="AC696" s="126"/>
      <c r="AD696" s="340"/>
      <c r="AE696" s="132"/>
      <c r="AF696" s="132"/>
      <c r="AG696" s="132"/>
      <c r="AH696" s="132"/>
      <c r="AI696" s="132"/>
      <c r="AJ696" s="95"/>
      <c r="AK696" s="95"/>
      <c r="AL696" s="95"/>
      <c r="AM696" s="95"/>
      <c r="AN696" s="132"/>
      <c r="AO696" s="132"/>
      <c r="AP696" s="95"/>
      <c r="AQ696" s="132"/>
      <c r="AR696" s="132"/>
    </row>
    <row r="697" spans="25:44" s="82" customFormat="1" x14ac:dyDescent="0.2">
      <c r="Y697" s="132"/>
      <c r="Z697" s="132"/>
      <c r="AA697" s="132"/>
      <c r="AB697" s="95"/>
      <c r="AC697" s="126"/>
      <c r="AD697" s="340"/>
      <c r="AE697" s="132"/>
      <c r="AF697" s="132"/>
      <c r="AG697" s="132"/>
      <c r="AH697" s="132"/>
      <c r="AI697" s="132"/>
      <c r="AJ697" s="95"/>
      <c r="AK697" s="95"/>
      <c r="AL697" s="95"/>
      <c r="AM697" s="95"/>
      <c r="AN697" s="132"/>
      <c r="AO697" s="132"/>
      <c r="AP697" s="95"/>
      <c r="AQ697" s="132"/>
      <c r="AR697" s="132"/>
    </row>
    <row r="698" spans="25:44" s="82" customFormat="1" x14ac:dyDescent="0.2">
      <c r="Y698" s="132"/>
      <c r="Z698" s="132"/>
      <c r="AA698" s="132"/>
      <c r="AB698" s="95"/>
      <c r="AC698" s="126"/>
      <c r="AD698" s="340"/>
      <c r="AE698" s="132"/>
      <c r="AF698" s="132"/>
      <c r="AG698" s="132"/>
      <c r="AH698" s="132"/>
      <c r="AI698" s="132"/>
      <c r="AJ698" s="95"/>
      <c r="AK698" s="95"/>
      <c r="AL698" s="95"/>
      <c r="AM698" s="95"/>
      <c r="AN698" s="132"/>
      <c r="AO698" s="132"/>
      <c r="AP698" s="95"/>
      <c r="AQ698" s="132"/>
      <c r="AR698" s="132"/>
    </row>
    <row r="699" spans="25:44" s="82" customFormat="1" x14ac:dyDescent="0.2">
      <c r="Y699" s="132"/>
      <c r="Z699" s="132"/>
      <c r="AA699" s="132"/>
      <c r="AB699" s="95"/>
      <c r="AC699" s="126"/>
      <c r="AD699" s="340"/>
      <c r="AE699" s="132"/>
      <c r="AF699" s="132"/>
      <c r="AG699" s="132"/>
      <c r="AH699" s="132"/>
      <c r="AI699" s="132"/>
      <c r="AJ699" s="95"/>
      <c r="AK699" s="95"/>
      <c r="AL699" s="95"/>
      <c r="AM699" s="95"/>
      <c r="AN699" s="132"/>
      <c r="AO699" s="132"/>
      <c r="AP699" s="95"/>
      <c r="AQ699" s="132"/>
      <c r="AR699" s="132"/>
    </row>
    <row r="700" spans="25:44" s="82" customFormat="1" x14ac:dyDescent="0.2">
      <c r="Y700" s="132"/>
      <c r="Z700" s="132"/>
      <c r="AA700" s="132"/>
      <c r="AB700" s="95"/>
      <c r="AC700" s="126"/>
      <c r="AD700" s="340"/>
      <c r="AE700" s="132"/>
      <c r="AF700" s="132"/>
      <c r="AG700" s="132"/>
      <c r="AH700" s="132"/>
      <c r="AI700" s="132"/>
      <c r="AJ700" s="95"/>
      <c r="AK700" s="95"/>
      <c r="AL700" s="95"/>
      <c r="AM700" s="95"/>
      <c r="AN700" s="132"/>
      <c r="AO700" s="132"/>
      <c r="AP700" s="95"/>
      <c r="AQ700" s="132"/>
      <c r="AR700" s="132"/>
    </row>
    <row r="701" spans="25:44" s="82" customFormat="1" x14ac:dyDescent="0.2">
      <c r="Y701" s="132"/>
      <c r="Z701" s="132"/>
      <c r="AA701" s="132"/>
      <c r="AB701" s="95"/>
      <c r="AC701" s="126"/>
      <c r="AD701" s="340"/>
      <c r="AE701" s="132"/>
      <c r="AF701" s="132"/>
      <c r="AG701" s="132"/>
      <c r="AH701" s="132"/>
      <c r="AI701" s="132"/>
      <c r="AJ701" s="95"/>
      <c r="AK701" s="95"/>
      <c r="AL701" s="95"/>
      <c r="AM701" s="95"/>
      <c r="AN701" s="132"/>
      <c r="AO701" s="132"/>
      <c r="AP701" s="95"/>
      <c r="AQ701" s="132"/>
      <c r="AR701" s="132"/>
    </row>
    <row r="702" spans="25:44" s="82" customFormat="1" x14ac:dyDescent="0.2">
      <c r="Y702" s="132"/>
      <c r="Z702" s="132"/>
      <c r="AA702" s="132"/>
      <c r="AB702" s="95"/>
      <c r="AC702" s="126"/>
      <c r="AD702" s="340"/>
      <c r="AE702" s="132"/>
      <c r="AF702" s="132"/>
      <c r="AG702" s="132"/>
      <c r="AH702" s="132"/>
      <c r="AI702" s="132"/>
      <c r="AJ702" s="95"/>
      <c r="AK702" s="95"/>
      <c r="AL702" s="95"/>
      <c r="AM702" s="95"/>
      <c r="AN702" s="132"/>
      <c r="AO702" s="132"/>
      <c r="AP702" s="95"/>
      <c r="AQ702" s="132"/>
      <c r="AR702" s="132"/>
    </row>
    <row r="703" spans="25:44" s="82" customFormat="1" x14ac:dyDescent="0.2">
      <c r="Y703" s="132"/>
      <c r="Z703" s="132"/>
      <c r="AA703" s="132"/>
      <c r="AB703" s="95"/>
      <c r="AC703" s="126"/>
      <c r="AD703" s="340"/>
      <c r="AE703" s="132"/>
      <c r="AF703" s="132"/>
      <c r="AG703" s="132"/>
      <c r="AH703" s="132"/>
      <c r="AI703" s="132"/>
      <c r="AJ703" s="95"/>
      <c r="AK703" s="95"/>
      <c r="AL703" s="95"/>
      <c r="AM703" s="95"/>
      <c r="AN703" s="132"/>
      <c r="AO703" s="132"/>
      <c r="AP703" s="95"/>
      <c r="AQ703" s="132"/>
      <c r="AR703" s="132"/>
    </row>
    <row r="704" spans="25:44" s="82" customFormat="1" x14ac:dyDescent="0.2">
      <c r="Y704" s="132"/>
      <c r="Z704" s="132"/>
      <c r="AA704" s="132"/>
      <c r="AB704" s="95"/>
      <c r="AC704" s="126"/>
      <c r="AD704" s="340"/>
      <c r="AE704" s="132"/>
      <c r="AF704" s="132"/>
      <c r="AG704" s="132"/>
      <c r="AH704" s="132"/>
      <c r="AI704" s="132"/>
      <c r="AJ704" s="95"/>
      <c r="AK704" s="95"/>
      <c r="AL704" s="95"/>
      <c r="AM704" s="95"/>
      <c r="AN704" s="132"/>
      <c r="AO704" s="132"/>
      <c r="AP704" s="95"/>
      <c r="AQ704" s="132"/>
      <c r="AR704" s="132"/>
    </row>
    <row r="705" spans="25:44" s="82" customFormat="1" x14ac:dyDescent="0.2">
      <c r="Y705" s="132"/>
      <c r="Z705" s="132"/>
      <c r="AA705" s="132"/>
      <c r="AB705" s="95"/>
      <c r="AC705" s="126"/>
      <c r="AD705" s="340"/>
      <c r="AE705" s="132"/>
      <c r="AF705" s="132"/>
      <c r="AG705" s="132"/>
      <c r="AH705" s="132"/>
      <c r="AI705" s="132"/>
      <c r="AJ705" s="95"/>
      <c r="AK705" s="95"/>
      <c r="AL705" s="95"/>
      <c r="AM705" s="95"/>
      <c r="AN705" s="132"/>
      <c r="AO705" s="132"/>
      <c r="AP705" s="95"/>
      <c r="AQ705" s="132"/>
      <c r="AR705" s="132"/>
    </row>
    <row r="706" spans="25:44" s="82" customFormat="1" x14ac:dyDescent="0.2">
      <c r="Y706" s="132"/>
      <c r="Z706" s="132"/>
      <c r="AA706" s="132"/>
      <c r="AB706" s="95"/>
      <c r="AC706" s="126"/>
      <c r="AD706" s="340"/>
      <c r="AE706" s="132"/>
      <c r="AF706" s="132"/>
      <c r="AG706" s="132"/>
      <c r="AH706" s="132"/>
      <c r="AI706" s="132"/>
      <c r="AJ706" s="95"/>
      <c r="AK706" s="95"/>
      <c r="AL706" s="95"/>
      <c r="AM706" s="95"/>
      <c r="AN706" s="132"/>
      <c r="AO706" s="132"/>
      <c r="AP706" s="95"/>
      <c r="AQ706" s="132"/>
      <c r="AR706" s="132"/>
    </row>
    <row r="707" spans="25:44" s="82" customFormat="1" x14ac:dyDescent="0.2">
      <c r="Y707" s="132"/>
      <c r="Z707" s="132"/>
      <c r="AA707" s="132"/>
      <c r="AB707" s="95"/>
      <c r="AC707" s="126"/>
      <c r="AD707" s="340"/>
      <c r="AE707" s="132"/>
      <c r="AF707" s="132"/>
      <c r="AG707" s="132"/>
      <c r="AH707" s="132"/>
      <c r="AI707" s="132"/>
      <c r="AJ707" s="95"/>
      <c r="AK707" s="95"/>
      <c r="AL707" s="95"/>
      <c r="AM707" s="95"/>
      <c r="AN707" s="132"/>
      <c r="AO707" s="132"/>
      <c r="AP707" s="95"/>
      <c r="AQ707" s="132"/>
      <c r="AR707" s="132"/>
    </row>
    <row r="708" spans="25:44" s="82" customFormat="1" x14ac:dyDescent="0.2">
      <c r="Y708" s="132"/>
      <c r="Z708" s="132"/>
      <c r="AA708" s="132"/>
      <c r="AB708" s="95"/>
      <c r="AC708" s="126"/>
      <c r="AD708" s="340"/>
      <c r="AE708" s="132"/>
      <c r="AF708" s="132"/>
      <c r="AG708" s="132"/>
      <c r="AH708" s="132"/>
      <c r="AI708" s="132"/>
      <c r="AJ708" s="95"/>
      <c r="AK708" s="95"/>
      <c r="AL708" s="95"/>
      <c r="AM708" s="95"/>
      <c r="AN708" s="132"/>
      <c r="AO708" s="132"/>
      <c r="AP708" s="95"/>
      <c r="AQ708" s="132"/>
      <c r="AR708" s="132"/>
    </row>
    <row r="709" spans="25:44" s="82" customFormat="1" x14ac:dyDescent="0.2">
      <c r="Y709" s="132"/>
      <c r="Z709" s="132"/>
      <c r="AA709" s="132"/>
      <c r="AB709" s="95"/>
      <c r="AC709" s="126"/>
      <c r="AD709" s="340"/>
      <c r="AE709" s="132"/>
      <c r="AF709" s="132"/>
      <c r="AG709" s="132"/>
      <c r="AH709" s="132"/>
      <c r="AI709" s="132"/>
      <c r="AJ709" s="95"/>
      <c r="AK709" s="95"/>
      <c r="AL709" s="95"/>
      <c r="AM709" s="95"/>
      <c r="AN709" s="132"/>
      <c r="AO709" s="132"/>
      <c r="AP709" s="95"/>
      <c r="AQ709" s="132"/>
      <c r="AR709" s="132"/>
    </row>
    <row r="710" spans="25:44" s="82" customFormat="1" x14ac:dyDescent="0.2">
      <c r="Y710" s="132"/>
      <c r="Z710" s="132"/>
      <c r="AA710" s="132"/>
      <c r="AB710" s="95"/>
      <c r="AC710" s="126"/>
      <c r="AD710" s="340"/>
      <c r="AE710" s="132"/>
      <c r="AF710" s="132"/>
      <c r="AG710" s="132"/>
      <c r="AH710" s="132"/>
      <c r="AI710" s="132"/>
      <c r="AJ710" s="95"/>
      <c r="AK710" s="95"/>
      <c r="AL710" s="95"/>
      <c r="AM710" s="95"/>
      <c r="AN710" s="132"/>
      <c r="AO710" s="132"/>
      <c r="AP710" s="95"/>
      <c r="AQ710" s="132"/>
      <c r="AR710" s="132"/>
    </row>
    <row r="711" spans="25:44" s="82" customFormat="1" x14ac:dyDescent="0.2">
      <c r="Y711" s="132"/>
      <c r="Z711" s="132"/>
      <c r="AA711" s="132"/>
      <c r="AB711" s="95"/>
      <c r="AC711" s="126"/>
      <c r="AD711" s="340"/>
      <c r="AE711" s="132"/>
      <c r="AF711" s="132"/>
      <c r="AG711" s="132"/>
      <c r="AH711" s="132"/>
      <c r="AI711" s="132"/>
      <c r="AJ711" s="95"/>
      <c r="AK711" s="95"/>
      <c r="AL711" s="95"/>
      <c r="AM711" s="95"/>
      <c r="AN711" s="132"/>
      <c r="AO711" s="132"/>
      <c r="AP711" s="95"/>
      <c r="AQ711" s="132"/>
      <c r="AR711" s="132"/>
    </row>
    <row r="712" spans="25:44" s="82" customFormat="1" x14ac:dyDescent="0.2">
      <c r="Y712" s="132"/>
      <c r="Z712" s="132"/>
      <c r="AA712" s="132"/>
      <c r="AB712" s="95"/>
      <c r="AC712" s="126"/>
      <c r="AD712" s="340"/>
      <c r="AE712" s="132"/>
      <c r="AF712" s="132"/>
      <c r="AG712" s="132"/>
      <c r="AH712" s="132"/>
      <c r="AI712" s="132"/>
      <c r="AJ712" s="95"/>
      <c r="AK712" s="95"/>
      <c r="AL712" s="95"/>
      <c r="AM712" s="95"/>
      <c r="AN712" s="132"/>
      <c r="AO712" s="132"/>
      <c r="AP712" s="95"/>
      <c r="AQ712" s="132"/>
      <c r="AR712" s="132"/>
    </row>
    <row r="713" spans="25:44" s="82" customFormat="1" x14ac:dyDescent="0.2">
      <c r="Y713" s="132"/>
      <c r="Z713" s="132"/>
      <c r="AA713" s="132"/>
      <c r="AB713" s="95"/>
      <c r="AC713" s="126"/>
      <c r="AD713" s="340"/>
      <c r="AE713" s="132"/>
      <c r="AF713" s="132"/>
      <c r="AG713" s="132"/>
      <c r="AH713" s="132"/>
      <c r="AI713" s="132"/>
      <c r="AJ713" s="95"/>
      <c r="AK713" s="95"/>
      <c r="AL713" s="95"/>
      <c r="AM713" s="95"/>
      <c r="AN713" s="132"/>
      <c r="AO713" s="132"/>
      <c r="AP713" s="95"/>
      <c r="AQ713" s="132"/>
      <c r="AR713" s="132"/>
    </row>
    <row r="714" spans="25:44" s="82" customFormat="1" x14ac:dyDescent="0.2">
      <c r="Y714" s="132"/>
      <c r="Z714" s="132"/>
      <c r="AA714" s="132"/>
      <c r="AB714" s="95"/>
      <c r="AC714" s="126"/>
      <c r="AD714" s="340"/>
      <c r="AE714" s="132"/>
      <c r="AF714" s="132"/>
      <c r="AG714" s="132"/>
      <c r="AH714" s="132"/>
      <c r="AI714" s="132"/>
      <c r="AJ714" s="95"/>
      <c r="AK714" s="95"/>
      <c r="AL714" s="95"/>
      <c r="AM714" s="95"/>
      <c r="AN714" s="132"/>
      <c r="AO714" s="132"/>
      <c r="AP714" s="95"/>
      <c r="AQ714" s="132"/>
      <c r="AR714" s="132"/>
    </row>
    <row r="715" spans="25:44" s="82" customFormat="1" x14ac:dyDescent="0.2">
      <c r="Y715" s="132"/>
      <c r="Z715" s="132"/>
      <c r="AA715" s="132"/>
      <c r="AB715" s="95"/>
      <c r="AC715" s="126"/>
      <c r="AD715" s="340"/>
      <c r="AE715" s="132"/>
      <c r="AF715" s="132"/>
      <c r="AG715" s="132"/>
      <c r="AH715" s="132"/>
      <c r="AI715" s="132"/>
      <c r="AJ715" s="95"/>
      <c r="AK715" s="95"/>
      <c r="AL715" s="95"/>
      <c r="AM715" s="95"/>
      <c r="AN715" s="132"/>
      <c r="AO715" s="132"/>
      <c r="AP715" s="95"/>
      <c r="AQ715" s="132"/>
      <c r="AR715" s="132"/>
    </row>
    <row r="716" spans="25:44" s="82" customFormat="1" x14ac:dyDescent="0.2">
      <c r="Y716" s="132"/>
      <c r="Z716" s="132"/>
      <c r="AA716" s="132"/>
      <c r="AB716" s="95"/>
      <c r="AC716" s="126"/>
      <c r="AD716" s="340"/>
      <c r="AE716" s="132"/>
      <c r="AF716" s="132"/>
      <c r="AG716" s="132"/>
      <c r="AH716" s="132"/>
      <c r="AI716" s="132"/>
      <c r="AJ716" s="95"/>
      <c r="AK716" s="95"/>
      <c r="AL716" s="95"/>
      <c r="AM716" s="95"/>
      <c r="AN716" s="132"/>
      <c r="AO716" s="132"/>
      <c r="AP716" s="95"/>
      <c r="AQ716" s="132"/>
      <c r="AR716" s="132"/>
    </row>
    <row r="717" spans="25:44" s="82" customFormat="1" x14ac:dyDescent="0.2">
      <c r="Y717" s="132"/>
      <c r="Z717" s="132"/>
      <c r="AA717" s="132"/>
      <c r="AB717" s="95"/>
      <c r="AC717" s="126"/>
      <c r="AD717" s="340"/>
      <c r="AE717" s="132"/>
      <c r="AF717" s="132"/>
      <c r="AG717" s="132"/>
      <c r="AH717" s="132"/>
      <c r="AI717" s="132"/>
      <c r="AJ717" s="95"/>
      <c r="AK717" s="95"/>
      <c r="AL717" s="95"/>
      <c r="AM717" s="95"/>
      <c r="AN717" s="132"/>
      <c r="AO717" s="132"/>
      <c r="AP717" s="95"/>
      <c r="AQ717" s="132"/>
      <c r="AR717" s="132"/>
    </row>
    <row r="718" spans="25:44" s="82" customFormat="1" x14ac:dyDescent="0.2">
      <c r="Y718" s="132"/>
      <c r="Z718" s="132"/>
      <c r="AA718" s="132"/>
      <c r="AB718" s="95"/>
      <c r="AC718" s="126"/>
      <c r="AD718" s="340"/>
      <c r="AE718" s="132"/>
      <c r="AF718" s="132"/>
      <c r="AG718" s="132"/>
      <c r="AH718" s="132"/>
      <c r="AI718" s="132"/>
      <c r="AJ718" s="95"/>
      <c r="AK718" s="95"/>
      <c r="AL718" s="95"/>
      <c r="AM718" s="95"/>
      <c r="AN718" s="132"/>
      <c r="AO718" s="132"/>
      <c r="AP718" s="95"/>
      <c r="AQ718" s="132"/>
      <c r="AR718" s="132"/>
    </row>
    <row r="719" spans="25:44" s="82" customFormat="1" x14ac:dyDescent="0.2">
      <c r="Y719" s="132"/>
      <c r="Z719" s="132"/>
      <c r="AA719" s="132"/>
      <c r="AB719" s="95"/>
      <c r="AC719" s="126"/>
      <c r="AD719" s="340"/>
      <c r="AE719" s="132"/>
      <c r="AF719" s="132"/>
      <c r="AG719" s="132"/>
      <c r="AH719" s="132"/>
      <c r="AI719" s="132"/>
      <c r="AJ719" s="95"/>
      <c r="AK719" s="95"/>
      <c r="AL719" s="95"/>
      <c r="AM719" s="95"/>
      <c r="AN719" s="132"/>
      <c r="AO719" s="132"/>
      <c r="AP719" s="95"/>
      <c r="AQ719" s="132"/>
      <c r="AR719" s="132"/>
    </row>
    <row r="720" spans="25:44" s="82" customFormat="1" x14ac:dyDescent="0.2">
      <c r="Y720" s="132"/>
      <c r="Z720" s="132"/>
      <c r="AA720" s="132"/>
      <c r="AB720" s="95"/>
      <c r="AC720" s="126"/>
      <c r="AD720" s="340"/>
      <c r="AE720" s="132"/>
      <c r="AF720" s="132"/>
      <c r="AG720" s="132"/>
      <c r="AH720" s="132"/>
      <c r="AI720" s="132"/>
      <c r="AJ720" s="95"/>
      <c r="AK720" s="95"/>
      <c r="AL720" s="95"/>
      <c r="AM720" s="95"/>
      <c r="AN720" s="132"/>
      <c r="AO720" s="132"/>
      <c r="AP720" s="95"/>
      <c r="AQ720" s="132"/>
      <c r="AR720" s="132"/>
    </row>
    <row r="721" spans="25:44" s="82" customFormat="1" x14ac:dyDescent="0.2">
      <c r="Y721" s="132"/>
      <c r="Z721" s="132"/>
      <c r="AA721" s="132"/>
      <c r="AB721" s="95"/>
      <c r="AC721" s="126"/>
      <c r="AD721" s="340"/>
      <c r="AE721" s="132"/>
      <c r="AF721" s="132"/>
      <c r="AG721" s="132"/>
      <c r="AH721" s="132"/>
      <c r="AI721" s="132"/>
      <c r="AJ721" s="95"/>
      <c r="AK721" s="95"/>
      <c r="AL721" s="95"/>
      <c r="AM721" s="95"/>
      <c r="AN721" s="132"/>
      <c r="AO721" s="132"/>
      <c r="AP721" s="95"/>
      <c r="AQ721" s="132"/>
      <c r="AR721" s="132"/>
    </row>
    <row r="722" spans="25:44" s="82" customFormat="1" x14ac:dyDescent="0.2">
      <c r="Y722" s="132"/>
      <c r="Z722" s="132"/>
      <c r="AA722" s="132"/>
      <c r="AB722" s="95"/>
      <c r="AC722" s="126"/>
      <c r="AD722" s="340"/>
      <c r="AE722" s="132"/>
      <c r="AF722" s="132"/>
      <c r="AG722" s="132"/>
      <c r="AH722" s="132"/>
      <c r="AI722" s="132"/>
      <c r="AJ722" s="95"/>
      <c r="AK722" s="95"/>
      <c r="AL722" s="95"/>
      <c r="AM722" s="95"/>
      <c r="AN722" s="132"/>
      <c r="AO722" s="132"/>
      <c r="AP722" s="95"/>
      <c r="AQ722" s="132"/>
      <c r="AR722" s="132"/>
    </row>
    <row r="723" spans="25:44" s="82" customFormat="1" x14ac:dyDescent="0.2">
      <c r="Y723" s="132"/>
      <c r="Z723" s="132"/>
      <c r="AA723" s="132"/>
      <c r="AB723" s="95"/>
      <c r="AC723" s="126"/>
      <c r="AD723" s="340"/>
      <c r="AE723" s="132"/>
      <c r="AF723" s="132"/>
      <c r="AG723" s="132"/>
      <c r="AH723" s="132"/>
      <c r="AI723" s="132"/>
      <c r="AJ723" s="95"/>
      <c r="AK723" s="95"/>
      <c r="AL723" s="95"/>
      <c r="AM723" s="95"/>
      <c r="AN723" s="132"/>
      <c r="AO723" s="132"/>
      <c r="AP723" s="95"/>
      <c r="AQ723" s="132"/>
      <c r="AR723" s="132"/>
    </row>
    <row r="724" spans="25:44" s="82" customFormat="1" x14ac:dyDescent="0.2">
      <c r="Y724" s="132"/>
      <c r="Z724" s="132"/>
      <c r="AA724" s="132"/>
      <c r="AB724" s="95"/>
      <c r="AC724" s="126"/>
      <c r="AD724" s="340"/>
      <c r="AE724" s="132"/>
      <c r="AF724" s="132"/>
      <c r="AG724" s="132"/>
      <c r="AH724" s="132"/>
      <c r="AI724" s="132"/>
      <c r="AJ724" s="95"/>
      <c r="AK724" s="95"/>
      <c r="AL724" s="95"/>
      <c r="AM724" s="95"/>
      <c r="AN724" s="132"/>
      <c r="AO724" s="132"/>
      <c r="AP724" s="95"/>
      <c r="AQ724" s="132"/>
      <c r="AR724" s="132"/>
    </row>
    <row r="725" spans="25:44" s="82" customFormat="1" x14ac:dyDescent="0.2">
      <c r="Y725" s="132"/>
      <c r="Z725" s="132"/>
      <c r="AA725" s="132"/>
      <c r="AB725" s="95"/>
      <c r="AC725" s="126"/>
      <c r="AD725" s="340"/>
      <c r="AE725" s="132"/>
      <c r="AF725" s="132"/>
      <c r="AG725" s="132"/>
      <c r="AH725" s="132"/>
      <c r="AI725" s="132"/>
      <c r="AJ725" s="95"/>
      <c r="AK725" s="95"/>
      <c r="AL725" s="95"/>
      <c r="AM725" s="95"/>
      <c r="AN725" s="132"/>
      <c r="AO725" s="132"/>
      <c r="AP725" s="95"/>
      <c r="AQ725" s="132"/>
      <c r="AR725" s="132"/>
    </row>
    <row r="726" spans="25:44" s="82" customFormat="1" x14ac:dyDescent="0.2">
      <c r="Y726" s="132"/>
      <c r="Z726" s="132"/>
      <c r="AA726" s="132"/>
      <c r="AB726" s="95"/>
      <c r="AC726" s="126"/>
      <c r="AD726" s="340"/>
      <c r="AE726" s="132"/>
      <c r="AF726" s="132"/>
      <c r="AG726" s="132"/>
      <c r="AH726" s="132"/>
      <c r="AI726" s="132"/>
      <c r="AJ726" s="95"/>
      <c r="AK726" s="95"/>
      <c r="AL726" s="95"/>
      <c r="AM726" s="95"/>
      <c r="AN726" s="132"/>
      <c r="AO726" s="132"/>
      <c r="AP726" s="95"/>
      <c r="AQ726" s="132"/>
      <c r="AR726" s="132"/>
    </row>
    <row r="727" spans="25:44" s="82" customFormat="1" x14ac:dyDescent="0.2">
      <c r="Y727" s="132"/>
      <c r="Z727" s="132"/>
      <c r="AA727" s="132"/>
      <c r="AB727" s="95"/>
      <c r="AC727" s="126"/>
      <c r="AD727" s="340"/>
      <c r="AE727" s="132"/>
      <c r="AF727" s="132"/>
      <c r="AG727" s="132"/>
      <c r="AH727" s="132"/>
      <c r="AI727" s="132"/>
      <c r="AJ727" s="95"/>
      <c r="AK727" s="95"/>
      <c r="AL727" s="95"/>
      <c r="AM727" s="95"/>
      <c r="AN727" s="132"/>
      <c r="AO727" s="132"/>
      <c r="AP727" s="95"/>
      <c r="AQ727" s="132"/>
      <c r="AR727" s="132"/>
    </row>
    <row r="728" spans="25:44" s="82" customFormat="1" x14ac:dyDescent="0.2">
      <c r="Y728" s="132"/>
      <c r="Z728" s="132"/>
      <c r="AA728" s="132"/>
      <c r="AB728" s="95"/>
      <c r="AC728" s="126"/>
      <c r="AD728" s="340"/>
      <c r="AE728" s="132"/>
      <c r="AF728" s="132"/>
      <c r="AG728" s="132"/>
      <c r="AH728" s="132"/>
      <c r="AI728" s="132"/>
      <c r="AJ728" s="95"/>
      <c r="AK728" s="95"/>
      <c r="AL728" s="95"/>
      <c r="AM728" s="95"/>
      <c r="AN728" s="132"/>
      <c r="AO728" s="132"/>
      <c r="AP728" s="95"/>
      <c r="AQ728" s="132"/>
      <c r="AR728" s="132"/>
    </row>
    <row r="729" spans="25:44" s="82" customFormat="1" x14ac:dyDescent="0.2">
      <c r="Y729" s="132"/>
      <c r="Z729" s="132"/>
      <c r="AA729" s="132"/>
      <c r="AB729" s="95"/>
      <c r="AC729" s="126"/>
      <c r="AD729" s="340"/>
      <c r="AE729" s="132"/>
      <c r="AF729" s="132"/>
      <c r="AG729" s="132"/>
      <c r="AH729" s="132"/>
      <c r="AI729" s="132"/>
      <c r="AJ729" s="95"/>
      <c r="AK729" s="95"/>
      <c r="AL729" s="95"/>
      <c r="AM729" s="95"/>
      <c r="AN729" s="132"/>
      <c r="AO729" s="132"/>
      <c r="AP729" s="95"/>
      <c r="AQ729" s="132"/>
      <c r="AR729" s="132"/>
    </row>
    <row r="730" spans="25:44" s="82" customFormat="1" x14ac:dyDescent="0.2">
      <c r="Y730" s="132"/>
      <c r="Z730" s="132"/>
      <c r="AA730" s="132"/>
      <c r="AB730" s="95"/>
      <c r="AC730" s="126"/>
      <c r="AD730" s="340"/>
      <c r="AE730" s="132"/>
      <c r="AF730" s="132"/>
      <c r="AG730" s="132"/>
      <c r="AH730" s="132"/>
      <c r="AI730" s="132"/>
      <c r="AJ730" s="95"/>
      <c r="AK730" s="95"/>
      <c r="AL730" s="95"/>
      <c r="AM730" s="95"/>
      <c r="AN730" s="132"/>
      <c r="AO730" s="132"/>
      <c r="AP730" s="95"/>
      <c r="AQ730" s="132"/>
      <c r="AR730" s="132"/>
    </row>
    <row r="731" spans="25:44" s="82" customFormat="1" x14ac:dyDescent="0.2">
      <c r="Y731" s="132"/>
      <c r="Z731" s="132"/>
      <c r="AA731" s="132"/>
      <c r="AB731" s="95"/>
      <c r="AC731" s="126"/>
      <c r="AD731" s="340"/>
      <c r="AE731" s="132"/>
      <c r="AF731" s="132"/>
      <c r="AG731" s="132"/>
      <c r="AH731" s="132"/>
      <c r="AI731" s="132"/>
      <c r="AJ731" s="95"/>
      <c r="AK731" s="95"/>
      <c r="AL731" s="95"/>
      <c r="AM731" s="95"/>
      <c r="AN731" s="132"/>
      <c r="AO731" s="132"/>
      <c r="AP731" s="95"/>
      <c r="AQ731" s="132"/>
      <c r="AR731" s="132"/>
    </row>
    <row r="732" spans="25:44" s="82" customFormat="1" x14ac:dyDescent="0.2">
      <c r="Y732" s="132"/>
      <c r="Z732" s="132"/>
      <c r="AA732" s="132"/>
      <c r="AB732" s="95"/>
      <c r="AC732" s="126"/>
      <c r="AD732" s="340"/>
      <c r="AE732" s="132"/>
      <c r="AF732" s="132"/>
      <c r="AG732" s="132"/>
      <c r="AH732" s="132"/>
      <c r="AI732" s="132"/>
      <c r="AJ732" s="95"/>
      <c r="AK732" s="95"/>
      <c r="AL732" s="95"/>
      <c r="AM732" s="95"/>
      <c r="AN732" s="132"/>
      <c r="AO732" s="132"/>
      <c r="AP732" s="95"/>
      <c r="AQ732" s="132"/>
      <c r="AR732" s="132"/>
    </row>
    <row r="733" spans="25:44" s="82" customFormat="1" x14ac:dyDescent="0.2">
      <c r="Y733" s="132"/>
      <c r="Z733" s="132"/>
      <c r="AA733" s="132"/>
      <c r="AB733" s="95"/>
      <c r="AC733" s="126"/>
      <c r="AD733" s="340"/>
      <c r="AE733" s="132"/>
      <c r="AF733" s="132"/>
      <c r="AG733" s="132"/>
      <c r="AH733" s="132"/>
      <c r="AI733" s="132"/>
      <c r="AJ733" s="95"/>
      <c r="AK733" s="95"/>
      <c r="AL733" s="95"/>
      <c r="AM733" s="95"/>
      <c r="AN733" s="132"/>
      <c r="AO733" s="132"/>
      <c r="AP733" s="95"/>
      <c r="AQ733" s="132"/>
      <c r="AR733" s="132"/>
    </row>
    <row r="734" spans="25:44" s="82" customFormat="1" x14ac:dyDescent="0.2">
      <c r="Y734" s="132"/>
      <c r="Z734" s="132"/>
      <c r="AA734" s="132"/>
      <c r="AB734" s="95"/>
      <c r="AC734" s="126"/>
      <c r="AD734" s="340"/>
      <c r="AE734" s="132"/>
      <c r="AF734" s="132"/>
      <c r="AG734" s="132"/>
      <c r="AH734" s="132"/>
      <c r="AI734" s="132"/>
      <c r="AJ734" s="95"/>
      <c r="AK734" s="95"/>
      <c r="AL734" s="95"/>
      <c r="AM734" s="95"/>
      <c r="AN734" s="132"/>
      <c r="AO734" s="132"/>
      <c r="AP734" s="95"/>
      <c r="AQ734" s="132"/>
      <c r="AR734" s="132"/>
    </row>
    <row r="735" spans="25:44" s="82" customFormat="1" x14ac:dyDescent="0.2">
      <c r="Y735" s="132"/>
      <c r="Z735" s="132"/>
      <c r="AA735" s="132"/>
      <c r="AB735" s="95"/>
      <c r="AC735" s="126"/>
      <c r="AD735" s="340"/>
      <c r="AE735" s="132"/>
      <c r="AF735" s="132"/>
      <c r="AG735" s="132"/>
      <c r="AH735" s="132"/>
      <c r="AI735" s="132"/>
      <c r="AJ735" s="95"/>
      <c r="AK735" s="95"/>
      <c r="AL735" s="95"/>
      <c r="AM735" s="95"/>
      <c r="AN735" s="132"/>
      <c r="AO735" s="132"/>
      <c r="AP735" s="95"/>
      <c r="AQ735" s="132"/>
      <c r="AR735" s="132"/>
    </row>
    <row r="736" spans="25:44" s="82" customFormat="1" x14ac:dyDescent="0.2">
      <c r="Y736" s="132"/>
      <c r="Z736" s="132"/>
      <c r="AA736" s="132"/>
      <c r="AB736" s="95"/>
      <c r="AC736" s="126"/>
      <c r="AD736" s="340"/>
      <c r="AE736" s="132"/>
      <c r="AF736" s="132"/>
      <c r="AG736" s="132"/>
      <c r="AH736" s="132"/>
      <c r="AI736" s="132"/>
      <c r="AJ736" s="95"/>
      <c r="AK736" s="95"/>
      <c r="AL736" s="95"/>
      <c r="AM736" s="95"/>
      <c r="AN736" s="132"/>
      <c r="AO736" s="132"/>
      <c r="AP736" s="95"/>
      <c r="AQ736" s="132"/>
      <c r="AR736" s="132"/>
    </row>
    <row r="737" spans="25:44" s="82" customFormat="1" x14ac:dyDescent="0.2">
      <c r="Y737" s="132"/>
      <c r="Z737" s="132"/>
      <c r="AA737" s="132"/>
      <c r="AB737" s="95"/>
      <c r="AC737" s="126"/>
      <c r="AD737" s="340"/>
      <c r="AE737" s="132"/>
      <c r="AF737" s="132"/>
      <c r="AG737" s="132"/>
      <c r="AH737" s="132"/>
      <c r="AI737" s="132"/>
      <c r="AJ737" s="95"/>
      <c r="AK737" s="95"/>
      <c r="AL737" s="95"/>
      <c r="AM737" s="95"/>
      <c r="AN737" s="132"/>
      <c r="AO737" s="132"/>
      <c r="AP737" s="95"/>
      <c r="AQ737" s="132"/>
      <c r="AR737" s="132"/>
    </row>
    <row r="738" spans="25:44" s="82" customFormat="1" x14ac:dyDescent="0.2">
      <c r="Y738" s="132"/>
      <c r="Z738" s="132"/>
      <c r="AA738" s="132"/>
      <c r="AB738" s="95"/>
      <c r="AC738" s="126"/>
      <c r="AD738" s="340"/>
      <c r="AE738" s="132"/>
      <c r="AF738" s="132"/>
      <c r="AG738" s="132"/>
      <c r="AH738" s="132"/>
      <c r="AI738" s="132"/>
      <c r="AJ738" s="95"/>
      <c r="AK738" s="95"/>
      <c r="AL738" s="95"/>
      <c r="AM738" s="95"/>
      <c r="AN738" s="132"/>
      <c r="AO738" s="132"/>
      <c r="AP738" s="95"/>
      <c r="AQ738" s="132"/>
      <c r="AR738" s="132"/>
    </row>
    <row r="739" spans="25:44" s="82" customFormat="1" x14ac:dyDescent="0.2">
      <c r="Y739" s="132"/>
      <c r="Z739" s="132"/>
      <c r="AA739" s="132"/>
      <c r="AB739" s="95"/>
      <c r="AC739" s="126"/>
      <c r="AD739" s="340"/>
      <c r="AE739" s="132"/>
      <c r="AF739" s="132"/>
      <c r="AG739" s="132"/>
      <c r="AH739" s="132"/>
      <c r="AI739" s="132"/>
      <c r="AJ739" s="95"/>
      <c r="AK739" s="95"/>
      <c r="AL739" s="95"/>
      <c r="AM739" s="95"/>
      <c r="AN739" s="132"/>
      <c r="AO739" s="132"/>
      <c r="AP739" s="95"/>
      <c r="AQ739" s="132"/>
      <c r="AR739" s="132"/>
    </row>
    <row r="740" spans="25:44" s="82" customFormat="1" x14ac:dyDescent="0.2">
      <c r="Y740" s="132"/>
      <c r="Z740" s="132"/>
      <c r="AA740" s="132"/>
      <c r="AB740" s="95"/>
      <c r="AC740" s="126"/>
      <c r="AD740" s="340"/>
      <c r="AE740" s="132"/>
      <c r="AF740" s="132"/>
      <c r="AG740" s="132"/>
      <c r="AH740" s="132"/>
      <c r="AI740" s="132"/>
      <c r="AJ740" s="95"/>
      <c r="AK740" s="95"/>
      <c r="AL740" s="95"/>
      <c r="AM740" s="95"/>
      <c r="AN740" s="132"/>
      <c r="AO740" s="132"/>
      <c r="AP740" s="95"/>
      <c r="AQ740" s="132"/>
      <c r="AR740" s="132"/>
    </row>
    <row r="741" spans="25:44" s="82" customFormat="1" x14ac:dyDescent="0.2">
      <c r="Y741" s="132"/>
      <c r="Z741" s="132"/>
      <c r="AA741" s="132"/>
      <c r="AB741" s="95"/>
      <c r="AC741" s="126"/>
      <c r="AD741" s="340"/>
      <c r="AE741" s="132"/>
      <c r="AF741" s="132"/>
      <c r="AG741" s="132"/>
      <c r="AH741" s="132"/>
      <c r="AI741" s="132"/>
      <c r="AJ741" s="95"/>
      <c r="AK741" s="95"/>
      <c r="AL741" s="95"/>
      <c r="AM741" s="95"/>
      <c r="AN741" s="132"/>
      <c r="AO741" s="132"/>
      <c r="AP741" s="95"/>
      <c r="AQ741" s="132"/>
      <c r="AR741" s="132"/>
    </row>
    <row r="742" spans="25:44" s="82" customFormat="1" x14ac:dyDescent="0.2">
      <c r="Y742" s="132"/>
      <c r="Z742" s="132"/>
      <c r="AA742" s="132"/>
      <c r="AB742" s="95"/>
      <c r="AC742" s="126"/>
      <c r="AD742" s="340"/>
      <c r="AE742" s="132"/>
      <c r="AF742" s="132"/>
      <c r="AG742" s="132"/>
      <c r="AH742" s="132"/>
      <c r="AI742" s="132"/>
      <c r="AJ742" s="95"/>
      <c r="AK742" s="95"/>
      <c r="AL742" s="95"/>
      <c r="AM742" s="95"/>
      <c r="AN742" s="132"/>
      <c r="AO742" s="132"/>
      <c r="AP742" s="95"/>
      <c r="AQ742" s="132"/>
      <c r="AR742" s="132"/>
    </row>
    <row r="743" spans="25:44" s="82" customFormat="1" x14ac:dyDescent="0.2">
      <c r="Y743" s="132"/>
      <c r="Z743" s="132"/>
      <c r="AA743" s="132"/>
      <c r="AB743" s="95"/>
      <c r="AC743" s="126"/>
      <c r="AD743" s="340"/>
      <c r="AE743" s="132"/>
      <c r="AF743" s="132"/>
      <c r="AG743" s="132"/>
      <c r="AH743" s="132"/>
      <c r="AI743" s="132"/>
      <c r="AJ743" s="95"/>
      <c r="AK743" s="95"/>
      <c r="AL743" s="95"/>
      <c r="AM743" s="95"/>
      <c r="AN743" s="132"/>
      <c r="AO743" s="132"/>
      <c r="AP743" s="95"/>
      <c r="AQ743" s="132"/>
      <c r="AR743" s="132"/>
    </row>
    <row r="744" spans="25:44" s="82" customFormat="1" x14ac:dyDescent="0.2">
      <c r="Y744" s="132"/>
      <c r="Z744" s="132"/>
      <c r="AA744" s="132"/>
      <c r="AB744" s="95"/>
      <c r="AC744" s="126"/>
      <c r="AD744" s="340"/>
      <c r="AE744" s="132"/>
      <c r="AF744" s="132"/>
      <c r="AG744" s="132"/>
      <c r="AH744" s="132"/>
      <c r="AI744" s="132"/>
      <c r="AJ744" s="95"/>
      <c r="AK744" s="95"/>
      <c r="AL744" s="95"/>
      <c r="AM744" s="95"/>
      <c r="AN744" s="132"/>
      <c r="AO744" s="132"/>
      <c r="AP744" s="95"/>
      <c r="AQ744" s="132"/>
      <c r="AR744" s="132"/>
    </row>
    <row r="745" spans="25:44" s="82" customFormat="1" x14ac:dyDescent="0.2">
      <c r="Y745" s="132"/>
      <c r="Z745" s="132"/>
      <c r="AA745" s="132"/>
      <c r="AB745" s="95"/>
      <c r="AC745" s="126"/>
      <c r="AD745" s="340"/>
      <c r="AE745" s="132"/>
      <c r="AF745" s="132"/>
      <c r="AG745" s="132"/>
      <c r="AH745" s="132"/>
      <c r="AI745" s="132"/>
      <c r="AJ745" s="95"/>
      <c r="AK745" s="95"/>
      <c r="AL745" s="95"/>
      <c r="AM745" s="95"/>
      <c r="AN745" s="132"/>
      <c r="AO745" s="132"/>
      <c r="AP745" s="95"/>
      <c r="AQ745" s="132"/>
      <c r="AR745" s="132"/>
    </row>
    <row r="746" spans="25:44" s="82" customFormat="1" x14ac:dyDescent="0.2">
      <c r="Y746" s="132"/>
      <c r="Z746" s="132"/>
      <c r="AA746" s="132"/>
      <c r="AB746" s="95"/>
      <c r="AC746" s="126"/>
      <c r="AD746" s="340"/>
      <c r="AE746" s="132"/>
      <c r="AF746" s="132"/>
      <c r="AG746" s="132"/>
      <c r="AH746" s="132"/>
      <c r="AI746" s="132"/>
      <c r="AJ746" s="95"/>
      <c r="AK746" s="95"/>
      <c r="AL746" s="95"/>
      <c r="AM746" s="95"/>
      <c r="AN746" s="132"/>
      <c r="AO746" s="132"/>
      <c r="AP746" s="95"/>
      <c r="AQ746" s="132"/>
      <c r="AR746" s="132"/>
    </row>
    <row r="747" spans="25:44" s="82" customFormat="1" x14ac:dyDescent="0.2">
      <c r="Y747" s="132"/>
      <c r="Z747" s="132"/>
      <c r="AA747" s="132"/>
      <c r="AB747" s="95"/>
      <c r="AC747" s="126"/>
      <c r="AD747" s="340"/>
      <c r="AE747" s="132"/>
      <c r="AF747" s="132"/>
      <c r="AG747" s="132"/>
      <c r="AH747" s="132"/>
      <c r="AI747" s="132"/>
      <c r="AJ747" s="95"/>
      <c r="AK747" s="95"/>
      <c r="AL747" s="95"/>
      <c r="AM747" s="95"/>
      <c r="AN747" s="132"/>
      <c r="AO747" s="132"/>
      <c r="AP747" s="95"/>
      <c r="AQ747" s="132"/>
      <c r="AR747" s="132"/>
    </row>
    <row r="748" spans="25:44" s="82" customFormat="1" x14ac:dyDescent="0.2">
      <c r="Y748" s="132"/>
      <c r="Z748" s="132"/>
      <c r="AA748" s="132"/>
      <c r="AB748" s="95"/>
      <c r="AC748" s="126"/>
      <c r="AD748" s="340"/>
      <c r="AE748" s="132"/>
      <c r="AF748" s="132"/>
      <c r="AG748" s="132"/>
      <c r="AH748" s="132"/>
      <c r="AI748" s="132"/>
      <c r="AJ748" s="95"/>
      <c r="AK748" s="95"/>
      <c r="AL748" s="95"/>
      <c r="AM748" s="95"/>
      <c r="AN748" s="132"/>
      <c r="AO748" s="132"/>
      <c r="AP748" s="95"/>
      <c r="AQ748" s="132"/>
      <c r="AR748" s="132"/>
    </row>
    <row r="749" spans="25:44" s="82" customFormat="1" x14ac:dyDescent="0.2">
      <c r="Y749" s="132"/>
      <c r="Z749" s="132"/>
      <c r="AA749" s="132"/>
      <c r="AB749" s="95"/>
      <c r="AC749" s="126"/>
      <c r="AD749" s="340"/>
      <c r="AE749" s="132"/>
      <c r="AF749" s="132"/>
      <c r="AG749" s="132"/>
      <c r="AH749" s="132"/>
      <c r="AI749" s="132"/>
      <c r="AJ749" s="95"/>
      <c r="AK749" s="95"/>
      <c r="AL749" s="95"/>
      <c r="AM749" s="95"/>
      <c r="AN749" s="132"/>
      <c r="AO749" s="132"/>
      <c r="AP749" s="95"/>
      <c r="AQ749" s="132"/>
      <c r="AR749" s="132"/>
    </row>
    <row r="750" spans="25:44" s="82" customFormat="1" x14ac:dyDescent="0.2">
      <c r="Y750" s="132"/>
      <c r="Z750" s="132"/>
      <c r="AA750" s="132"/>
      <c r="AB750" s="95"/>
      <c r="AC750" s="126"/>
      <c r="AD750" s="340"/>
      <c r="AE750" s="132"/>
      <c r="AF750" s="132"/>
      <c r="AG750" s="132"/>
      <c r="AH750" s="132"/>
      <c r="AI750" s="132"/>
      <c r="AJ750" s="95"/>
      <c r="AK750" s="95"/>
      <c r="AL750" s="95"/>
      <c r="AM750" s="95"/>
      <c r="AN750" s="132"/>
      <c r="AO750" s="132"/>
      <c r="AP750" s="95"/>
      <c r="AQ750" s="132"/>
      <c r="AR750" s="132"/>
    </row>
    <row r="751" spans="25:44" s="82" customFormat="1" x14ac:dyDescent="0.2">
      <c r="Y751" s="132"/>
      <c r="Z751" s="132"/>
      <c r="AA751" s="132"/>
      <c r="AB751" s="95"/>
      <c r="AC751" s="126"/>
      <c r="AD751" s="340"/>
      <c r="AE751" s="132"/>
      <c r="AF751" s="132"/>
      <c r="AG751" s="132"/>
      <c r="AH751" s="132"/>
      <c r="AI751" s="132"/>
      <c r="AJ751" s="95"/>
      <c r="AK751" s="95"/>
      <c r="AL751" s="95"/>
      <c r="AM751" s="95"/>
      <c r="AN751" s="132"/>
      <c r="AO751" s="132"/>
      <c r="AP751" s="95"/>
      <c r="AQ751" s="132"/>
      <c r="AR751" s="132"/>
    </row>
    <row r="752" spans="25:44" s="82" customFormat="1" x14ac:dyDescent="0.2">
      <c r="Y752" s="132"/>
      <c r="Z752" s="132"/>
      <c r="AA752" s="132"/>
      <c r="AB752" s="95"/>
      <c r="AC752" s="126"/>
      <c r="AD752" s="340"/>
      <c r="AE752" s="132"/>
      <c r="AF752" s="132"/>
      <c r="AG752" s="132"/>
      <c r="AH752" s="132"/>
      <c r="AI752" s="132"/>
      <c r="AJ752" s="95"/>
      <c r="AK752" s="95"/>
      <c r="AL752" s="95"/>
      <c r="AM752" s="95"/>
      <c r="AN752" s="132"/>
      <c r="AO752" s="132"/>
      <c r="AP752" s="95"/>
      <c r="AQ752" s="132"/>
      <c r="AR752" s="132"/>
    </row>
    <row r="753" spans="25:44" s="82" customFormat="1" x14ac:dyDescent="0.2">
      <c r="Y753" s="132"/>
      <c r="Z753" s="132"/>
      <c r="AA753" s="132"/>
      <c r="AB753" s="95"/>
      <c r="AC753" s="126"/>
      <c r="AD753" s="340"/>
      <c r="AE753" s="132"/>
      <c r="AF753" s="132"/>
      <c r="AG753" s="132"/>
      <c r="AH753" s="132"/>
      <c r="AI753" s="132"/>
      <c r="AJ753" s="95"/>
      <c r="AK753" s="95"/>
      <c r="AL753" s="95"/>
      <c r="AM753" s="95"/>
      <c r="AN753" s="132"/>
      <c r="AO753" s="132"/>
      <c r="AP753" s="95"/>
      <c r="AQ753" s="132"/>
      <c r="AR753" s="132"/>
    </row>
    <row r="754" spans="25:44" s="82" customFormat="1" x14ac:dyDescent="0.2">
      <c r="Y754" s="132"/>
      <c r="Z754" s="132"/>
      <c r="AA754" s="132"/>
      <c r="AB754" s="95"/>
      <c r="AC754" s="126"/>
      <c r="AD754" s="340"/>
      <c r="AE754" s="132"/>
      <c r="AF754" s="132"/>
      <c r="AG754" s="132"/>
      <c r="AH754" s="132"/>
      <c r="AI754" s="132"/>
      <c r="AJ754" s="95"/>
      <c r="AK754" s="95"/>
      <c r="AL754" s="95"/>
      <c r="AM754" s="95"/>
      <c r="AN754" s="132"/>
      <c r="AO754" s="132"/>
      <c r="AP754" s="95"/>
      <c r="AQ754" s="132"/>
      <c r="AR754" s="132"/>
    </row>
    <row r="755" spans="25:44" s="82" customFormat="1" x14ac:dyDescent="0.2">
      <c r="Y755" s="132"/>
      <c r="Z755" s="132"/>
      <c r="AA755" s="132"/>
      <c r="AB755" s="95"/>
      <c r="AC755" s="126"/>
      <c r="AD755" s="340"/>
      <c r="AE755" s="132"/>
      <c r="AF755" s="132"/>
      <c r="AG755" s="132"/>
      <c r="AH755" s="132"/>
      <c r="AI755" s="132"/>
      <c r="AJ755" s="95"/>
      <c r="AK755" s="95"/>
      <c r="AL755" s="95"/>
      <c r="AM755" s="95"/>
      <c r="AN755" s="132"/>
      <c r="AO755" s="132"/>
      <c r="AP755" s="95"/>
      <c r="AQ755" s="132"/>
      <c r="AR755" s="132"/>
    </row>
    <row r="756" spans="25:44" s="82" customFormat="1" x14ac:dyDescent="0.2">
      <c r="Y756" s="132"/>
      <c r="Z756" s="132"/>
      <c r="AA756" s="132"/>
      <c r="AB756" s="95"/>
      <c r="AC756" s="126"/>
      <c r="AD756" s="340"/>
      <c r="AE756" s="132"/>
      <c r="AF756" s="132"/>
      <c r="AG756" s="132"/>
      <c r="AH756" s="132"/>
      <c r="AI756" s="132"/>
      <c r="AJ756" s="95"/>
      <c r="AK756" s="95"/>
      <c r="AL756" s="95"/>
      <c r="AM756" s="95"/>
      <c r="AN756" s="132"/>
      <c r="AO756" s="132"/>
      <c r="AP756" s="95"/>
      <c r="AQ756" s="132"/>
      <c r="AR756" s="132"/>
    </row>
    <row r="757" spans="25:44" s="82" customFormat="1" x14ac:dyDescent="0.2">
      <c r="Y757" s="132"/>
      <c r="Z757" s="132"/>
      <c r="AA757" s="132"/>
      <c r="AB757" s="95"/>
      <c r="AC757" s="126"/>
      <c r="AD757" s="340"/>
      <c r="AE757" s="132"/>
      <c r="AF757" s="132"/>
      <c r="AG757" s="132"/>
      <c r="AH757" s="132"/>
      <c r="AI757" s="132"/>
      <c r="AJ757" s="95"/>
      <c r="AK757" s="95"/>
      <c r="AL757" s="95"/>
      <c r="AM757" s="95"/>
      <c r="AN757" s="132"/>
      <c r="AO757" s="132"/>
      <c r="AP757" s="95"/>
      <c r="AQ757" s="132"/>
      <c r="AR757" s="132"/>
    </row>
    <row r="758" spans="25:44" s="82" customFormat="1" x14ac:dyDescent="0.2">
      <c r="Y758" s="132"/>
      <c r="Z758" s="132"/>
      <c r="AA758" s="132"/>
      <c r="AB758" s="95"/>
      <c r="AC758" s="126"/>
      <c r="AD758" s="340"/>
      <c r="AE758" s="132"/>
      <c r="AF758" s="132"/>
      <c r="AG758" s="132"/>
      <c r="AH758" s="132"/>
      <c r="AI758" s="132"/>
      <c r="AJ758" s="95"/>
      <c r="AK758" s="95"/>
      <c r="AL758" s="95"/>
      <c r="AM758" s="95"/>
      <c r="AN758" s="132"/>
      <c r="AO758" s="132"/>
      <c r="AP758" s="95"/>
      <c r="AQ758" s="132"/>
      <c r="AR758" s="132"/>
    </row>
    <row r="759" spans="25:44" s="82" customFormat="1" x14ac:dyDescent="0.2">
      <c r="Y759" s="132"/>
      <c r="Z759" s="132"/>
      <c r="AA759" s="132"/>
      <c r="AB759" s="95"/>
      <c r="AC759" s="126"/>
      <c r="AD759" s="340"/>
      <c r="AE759" s="132"/>
      <c r="AF759" s="132"/>
      <c r="AG759" s="132"/>
      <c r="AH759" s="132"/>
      <c r="AI759" s="132"/>
      <c r="AJ759" s="95"/>
      <c r="AK759" s="95"/>
      <c r="AL759" s="95"/>
      <c r="AM759" s="95"/>
      <c r="AN759" s="132"/>
      <c r="AO759" s="132"/>
      <c r="AP759" s="95"/>
      <c r="AQ759" s="132"/>
      <c r="AR759" s="132"/>
    </row>
    <row r="760" spans="25:44" s="82" customFormat="1" x14ac:dyDescent="0.2">
      <c r="Y760" s="132"/>
      <c r="Z760" s="132"/>
      <c r="AA760" s="132"/>
      <c r="AB760" s="95"/>
      <c r="AC760" s="126"/>
      <c r="AD760" s="340"/>
      <c r="AE760" s="132"/>
      <c r="AF760" s="132"/>
      <c r="AG760" s="132"/>
      <c r="AH760" s="132"/>
      <c r="AI760" s="132"/>
      <c r="AJ760" s="95"/>
      <c r="AK760" s="95"/>
      <c r="AL760" s="95"/>
      <c r="AM760" s="95"/>
      <c r="AN760" s="132"/>
      <c r="AO760" s="132"/>
      <c r="AP760" s="95"/>
      <c r="AQ760" s="132"/>
      <c r="AR760" s="132"/>
    </row>
    <row r="761" spans="25:44" s="82" customFormat="1" x14ac:dyDescent="0.2">
      <c r="Y761" s="132"/>
      <c r="Z761" s="132"/>
      <c r="AA761" s="132"/>
      <c r="AB761" s="95"/>
      <c r="AC761" s="126"/>
      <c r="AD761" s="340"/>
      <c r="AE761" s="132"/>
      <c r="AF761" s="132"/>
      <c r="AG761" s="132"/>
      <c r="AH761" s="132"/>
      <c r="AI761" s="132"/>
      <c r="AJ761" s="95"/>
      <c r="AK761" s="95"/>
      <c r="AL761" s="95"/>
      <c r="AM761" s="95"/>
      <c r="AN761" s="132"/>
      <c r="AO761" s="132"/>
      <c r="AP761" s="95"/>
      <c r="AQ761" s="132"/>
      <c r="AR761" s="132"/>
    </row>
    <row r="762" spans="25:44" s="82" customFormat="1" x14ac:dyDescent="0.2">
      <c r="Y762" s="132"/>
      <c r="Z762" s="132"/>
      <c r="AA762" s="132"/>
      <c r="AB762" s="95"/>
      <c r="AC762" s="126"/>
      <c r="AD762" s="340"/>
      <c r="AE762" s="132"/>
      <c r="AF762" s="132"/>
      <c r="AG762" s="132"/>
      <c r="AH762" s="132"/>
      <c r="AI762" s="132"/>
      <c r="AJ762" s="95"/>
      <c r="AK762" s="95"/>
      <c r="AL762" s="95"/>
      <c r="AM762" s="95"/>
      <c r="AN762" s="132"/>
      <c r="AO762" s="132"/>
      <c r="AP762" s="95"/>
      <c r="AQ762" s="132"/>
      <c r="AR762" s="132"/>
    </row>
    <row r="763" spans="25:44" s="82" customFormat="1" x14ac:dyDescent="0.2">
      <c r="Y763" s="132"/>
      <c r="Z763" s="132"/>
      <c r="AA763" s="132"/>
      <c r="AB763" s="95"/>
      <c r="AC763" s="126"/>
      <c r="AD763" s="340"/>
      <c r="AE763" s="132"/>
      <c r="AF763" s="132"/>
      <c r="AG763" s="132"/>
      <c r="AH763" s="132"/>
      <c r="AI763" s="132"/>
      <c r="AJ763" s="95"/>
      <c r="AK763" s="95"/>
      <c r="AL763" s="95"/>
      <c r="AM763" s="95"/>
      <c r="AN763" s="132"/>
      <c r="AO763" s="132"/>
      <c r="AP763" s="95"/>
      <c r="AQ763" s="132"/>
      <c r="AR763" s="132"/>
    </row>
    <row r="764" spans="25:44" s="82" customFormat="1" x14ac:dyDescent="0.2">
      <c r="Y764" s="132"/>
      <c r="Z764" s="132"/>
      <c r="AA764" s="132"/>
      <c r="AB764" s="95"/>
      <c r="AC764" s="126"/>
      <c r="AD764" s="340"/>
      <c r="AE764" s="132"/>
      <c r="AF764" s="132"/>
      <c r="AG764" s="132"/>
      <c r="AH764" s="132"/>
      <c r="AI764" s="132"/>
      <c r="AJ764" s="95"/>
      <c r="AK764" s="95"/>
      <c r="AL764" s="95"/>
      <c r="AM764" s="95"/>
      <c r="AN764" s="132"/>
      <c r="AO764" s="132"/>
      <c r="AP764" s="95"/>
      <c r="AQ764" s="132"/>
      <c r="AR764" s="132"/>
    </row>
    <row r="765" spans="25:44" s="82" customFormat="1" x14ac:dyDescent="0.2">
      <c r="Y765" s="132"/>
      <c r="Z765" s="132"/>
      <c r="AA765" s="132"/>
      <c r="AB765" s="95"/>
      <c r="AC765" s="126"/>
      <c r="AD765" s="340"/>
      <c r="AE765" s="132"/>
      <c r="AF765" s="132"/>
      <c r="AG765" s="132"/>
      <c r="AH765" s="132"/>
      <c r="AI765" s="132"/>
      <c r="AJ765" s="95"/>
      <c r="AK765" s="95"/>
      <c r="AL765" s="95"/>
      <c r="AM765" s="95"/>
      <c r="AN765" s="132"/>
      <c r="AO765" s="132"/>
      <c r="AP765" s="95"/>
      <c r="AQ765" s="132"/>
      <c r="AR765" s="132"/>
    </row>
    <row r="766" spans="25:44" s="82" customFormat="1" x14ac:dyDescent="0.2">
      <c r="Y766" s="132"/>
      <c r="Z766" s="132"/>
      <c r="AA766" s="132"/>
      <c r="AB766" s="95"/>
      <c r="AC766" s="126"/>
      <c r="AD766" s="340"/>
      <c r="AE766" s="132"/>
      <c r="AF766" s="132"/>
      <c r="AG766" s="132"/>
      <c r="AH766" s="132"/>
      <c r="AI766" s="132"/>
      <c r="AJ766" s="95"/>
      <c r="AK766" s="95"/>
      <c r="AL766" s="95"/>
      <c r="AM766" s="95"/>
      <c r="AN766" s="132"/>
      <c r="AO766" s="132"/>
      <c r="AP766" s="95"/>
      <c r="AQ766" s="132"/>
      <c r="AR766" s="132"/>
    </row>
    <row r="767" spans="25:44" s="82" customFormat="1" x14ac:dyDescent="0.2">
      <c r="Y767" s="132"/>
      <c r="Z767" s="132"/>
      <c r="AA767" s="132"/>
      <c r="AB767" s="95"/>
      <c r="AC767" s="126"/>
      <c r="AD767" s="340"/>
      <c r="AE767" s="132"/>
      <c r="AF767" s="132"/>
      <c r="AG767" s="132"/>
      <c r="AH767" s="132"/>
      <c r="AI767" s="132"/>
      <c r="AJ767" s="95"/>
      <c r="AK767" s="95"/>
      <c r="AL767" s="95"/>
      <c r="AM767" s="95"/>
      <c r="AN767" s="132"/>
      <c r="AO767" s="132"/>
      <c r="AP767" s="95"/>
      <c r="AQ767" s="132"/>
      <c r="AR767" s="132"/>
    </row>
    <row r="768" spans="25:44" s="82" customFormat="1" x14ac:dyDescent="0.2">
      <c r="Y768" s="132"/>
      <c r="Z768" s="132"/>
      <c r="AA768" s="132"/>
      <c r="AB768" s="95"/>
      <c r="AC768" s="126"/>
      <c r="AD768" s="340"/>
      <c r="AE768" s="132"/>
      <c r="AF768" s="132"/>
      <c r="AG768" s="132"/>
      <c r="AH768" s="132"/>
      <c r="AI768" s="132"/>
      <c r="AJ768" s="95"/>
      <c r="AK768" s="95"/>
      <c r="AL768" s="95"/>
      <c r="AM768" s="95"/>
      <c r="AN768" s="132"/>
      <c r="AO768" s="132"/>
      <c r="AP768" s="95"/>
      <c r="AQ768" s="132"/>
      <c r="AR768" s="132"/>
    </row>
    <row r="769" spans="25:44" s="82" customFormat="1" x14ac:dyDescent="0.2">
      <c r="Y769" s="132"/>
      <c r="Z769" s="132"/>
      <c r="AA769" s="132"/>
      <c r="AB769" s="95"/>
      <c r="AC769" s="126"/>
      <c r="AD769" s="340"/>
      <c r="AE769" s="132"/>
      <c r="AF769" s="132"/>
      <c r="AG769" s="132"/>
      <c r="AH769" s="132"/>
      <c r="AI769" s="132"/>
      <c r="AJ769" s="95"/>
      <c r="AK769" s="95"/>
      <c r="AL769" s="95"/>
      <c r="AM769" s="95"/>
      <c r="AN769" s="132"/>
      <c r="AO769" s="132"/>
      <c r="AP769" s="95"/>
      <c r="AQ769" s="132"/>
      <c r="AR769" s="132"/>
    </row>
    <row r="770" spans="25:44" s="82" customFormat="1" x14ac:dyDescent="0.2">
      <c r="Y770" s="132"/>
      <c r="Z770" s="132"/>
      <c r="AA770" s="132"/>
      <c r="AB770" s="95"/>
      <c r="AC770" s="126"/>
      <c r="AD770" s="340"/>
      <c r="AE770" s="132"/>
      <c r="AF770" s="132"/>
      <c r="AG770" s="132"/>
      <c r="AH770" s="132"/>
      <c r="AI770" s="132"/>
      <c r="AJ770" s="95"/>
      <c r="AK770" s="95"/>
      <c r="AL770" s="95"/>
      <c r="AM770" s="95"/>
      <c r="AN770" s="132"/>
      <c r="AO770" s="132"/>
      <c r="AP770" s="95"/>
      <c r="AQ770" s="132"/>
      <c r="AR770" s="132"/>
    </row>
    <row r="771" spans="25:44" s="82" customFormat="1" x14ac:dyDescent="0.2">
      <c r="Y771" s="132"/>
      <c r="Z771" s="132"/>
      <c r="AA771" s="132"/>
      <c r="AB771" s="95"/>
      <c r="AC771" s="126"/>
      <c r="AD771" s="340"/>
      <c r="AE771" s="132"/>
      <c r="AF771" s="132"/>
      <c r="AG771" s="132"/>
      <c r="AH771" s="132"/>
      <c r="AI771" s="132"/>
      <c r="AJ771" s="95"/>
      <c r="AK771" s="95"/>
      <c r="AL771" s="95"/>
      <c r="AM771" s="95"/>
      <c r="AN771" s="132"/>
      <c r="AO771" s="132"/>
      <c r="AP771" s="95"/>
      <c r="AQ771" s="132"/>
      <c r="AR771" s="132"/>
    </row>
    <row r="772" spans="25:44" s="82" customFormat="1" x14ac:dyDescent="0.2">
      <c r="Y772" s="132"/>
      <c r="Z772" s="132"/>
      <c r="AA772" s="132"/>
      <c r="AB772" s="95"/>
      <c r="AC772" s="126"/>
      <c r="AD772" s="340"/>
      <c r="AE772" s="132"/>
      <c r="AF772" s="132"/>
      <c r="AG772" s="132"/>
      <c r="AH772" s="132"/>
      <c r="AI772" s="132"/>
      <c r="AJ772" s="95"/>
      <c r="AK772" s="95"/>
      <c r="AL772" s="95"/>
      <c r="AM772" s="95"/>
      <c r="AN772" s="132"/>
      <c r="AO772" s="132"/>
      <c r="AP772" s="95"/>
      <c r="AQ772" s="132"/>
      <c r="AR772" s="132"/>
    </row>
    <row r="773" spans="25:44" s="82" customFormat="1" x14ac:dyDescent="0.2">
      <c r="Y773" s="132"/>
      <c r="Z773" s="132"/>
      <c r="AA773" s="132"/>
      <c r="AB773" s="95"/>
      <c r="AC773" s="126"/>
      <c r="AD773" s="340"/>
      <c r="AE773" s="132"/>
      <c r="AF773" s="132"/>
      <c r="AG773" s="132"/>
      <c r="AH773" s="132"/>
      <c r="AI773" s="132"/>
      <c r="AJ773" s="95"/>
      <c r="AK773" s="95"/>
      <c r="AL773" s="95"/>
      <c r="AM773" s="95"/>
      <c r="AN773" s="132"/>
      <c r="AO773" s="132"/>
      <c r="AP773" s="95"/>
      <c r="AQ773" s="132"/>
      <c r="AR773" s="132"/>
    </row>
    <row r="774" spans="25:44" s="82" customFormat="1" x14ac:dyDescent="0.2">
      <c r="Y774" s="132"/>
      <c r="Z774" s="132"/>
      <c r="AA774" s="132"/>
      <c r="AB774" s="95"/>
      <c r="AC774" s="126"/>
      <c r="AD774" s="340"/>
      <c r="AE774" s="132"/>
      <c r="AF774" s="132"/>
      <c r="AG774" s="132"/>
      <c r="AH774" s="132"/>
      <c r="AI774" s="132"/>
      <c r="AJ774" s="95"/>
      <c r="AK774" s="95"/>
      <c r="AL774" s="95"/>
      <c r="AM774" s="95"/>
      <c r="AN774" s="132"/>
      <c r="AO774" s="132"/>
      <c r="AP774" s="95"/>
      <c r="AQ774" s="132"/>
      <c r="AR774" s="132"/>
    </row>
    <row r="775" spans="25:44" s="82" customFormat="1" x14ac:dyDescent="0.2">
      <c r="Y775" s="132"/>
      <c r="Z775" s="132"/>
      <c r="AA775" s="132"/>
      <c r="AB775" s="95"/>
      <c r="AC775" s="126"/>
      <c r="AD775" s="340"/>
      <c r="AE775" s="132"/>
      <c r="AF775" s="132"/>
      <c r="AG775" s="132"/>
      <c r="AH775" s="132"/>
      <c r="AI775" s="132"/>
      <c r="AJ775" s="95"/>
      <c r="AK775" s="95"/>
      <c r="AL775" s="95"/>
      <c r="AM775" s="95"/>
      <c r="AN775" s="132"/>
      <c r="AO775" s="132"/>
      <c r="AP775" s="95"/>
      <c r="AQ775" s="132"/>
      <c r="AR775" s="132"/>
    </row>
    <row r="776" spans="25:44" s="82" customFormat="1" x14ac:dyDescent="0.2">
      <c r="Y776" s="132"/>
      <c r="Z776" s="132"/>
      <c r="AA776" s="132"/>
      <c r="AB776" s="95"/>
      <c r="AC776" s="126"/>
      <c r="AD776" s="340"/>
      <c r="AE776" s="132"/>
      <c r="AF776" s="132"/>
      <c r="AG776" s="132"/>
      <c r="AH776" s="132"/>
      <c r="AI776" s="132"/>
      <c r="AJ776" s="95"/>
      <c r="AK776" s="95"/>
      <c r="AL776" s="95"/>
      <c r="AM776" s="95"/>
      <c r="AN776" s="132"/>
      <c r="AO776" s="132"/>
      <c r="AP776" s="95"/>
      <c r="AQ776" s="132"/>
      <c r="AR776" s="132"/>
    </row>
    <row r="777" spans="25:44" s="82" customFormat="1" x14ac:dyDescent="0.2">
      <c r="Y777" s="132"/>
      <c r="Z777" s="132"/>
      <c r="AA777" s="132"/>
      <c r="AB777" s="95"/>
      <c r="AC777" s="126"/>
      <c r="AD777" s="340"/>
      <c r="AE777" s="132"/>
      <c r="AF777" s="132"/>
      <c r="AG777" s="132"/>
      <c r="AH777" s="132"/>
      <c r="AI777" s="132"/>
      <c r="AJ777" s="95"/>
      <c r="AK777" s="95"/>
      <c r="AL777" s="95"/>
      <c r="AM777" s="95"/>
      <c r="AN777" s="132"/>
      <c r="AO777" s="132"/>
      <c r="AP777" s="95"/>
      <c r="AQ777" s="132"/>
      <c r="AR777" s="132"/>
    </row>
    <row r="778" spans="25:44" s="82" customFormat="1" x14ac:dyDescent="0.2">
      <c r="Y778" s="132"/>
      <c r="Z778" s="132"/>
      <c r="AA778" s="132"/>
      <c r="AB778" s="95"/>
      <c r="AC778" s="126"/>
      <c r="AD778" s="340"/>
      <c r="AE778" s="132"/>
      <c r="AF778" s="132"/>
      <c r="AG778" s="132"/>
      <c r="AH778" s="132"/>
      <c r="AI778" s="132"/>
      <c r="AJ778" s="95"/>
      <c r="AK778" s="95"/>
      <c r="AL778" s="95"/>
      <c r="AM778" s="95"/>
      <c r="AN778" s="132"/>
      <c r="AO778" s="132"/>
      <c r="AP778" s="95"/>
      <c r="AQ778" s="132"/>
      <c r="AR778" s="132"/>
    </row>
    <row r="779" spans="25:44" s="82" customFormat="1" x14ac:dyDescent="0.2">
      <c r="Y779" s="132"/>
      <c r="Z779" s="132"/>
      <c r="AA779" s="132"/>
      <c r="AB779" s="95"/>
      <c r="AC779" s="126"/>
      <c r="AD779" s="340"/>
      <c r="AE779" s="132"/>
      <c r="AF779" s="132"/>
      <c r="AG779" s="132"/>
      <c r="AH779" s="132"/>
      <c r="AI779" s="132"/>
      <c r="AJ779" s="95"/>
      <c r="AK779" s="95"/>
      <c r="AL779" s="95"/>
      <c r="AM779" s="95"/>
      <c r="AN779" s="132"/>
      <c r="AO779" s="132"/>
      <c r="AP779" s="95"/>
      <c r="AQ779" s="132"/>
      <c r="AR779" s="132"/>
    </row>
    <row r="780" spans="25:44" s="82" customFormat="1" x14ac:dyDescent="0.2">
      <c r="Y780" s="132"/>
      <c r="Z780" s="132"/>
      <c r="AA780" s="132"/>
      <c r="AB780" s="95"/>
      <c r="AC780" s="126"/>
      <c r="AD780" s="340"/>
      <c r="AE780" s="132"/>
      <c r="AF780" s="132"/>
      <c r="AG780" s="132"/>
      <c r="AH780" s="132"/>
      <c r="AI780" s="132"/>
      <c r="AJ780" s="95"/>
      <c r="AK780" s="95"/>
      <c r="AL780" s="95"/>
      <c r="AM780" s="95"/>
      <c r="AN780" s="132"/>
      <c r="AO780" s="132"/>
      <c r="AP780" s="95"/>
      <c r="AQ780" s="132"/>
      <c r="AR780" s="132"/>
    </row>
    <row r="781" spans="25:44" s="82" customFormat="1" x14ac:dyDescent="0.2">
      <c r="Y781" s="132"/>
      <c r="Z781" s="132"/>
      <c r="AA781" s="132"/>
      <c r="AB781" s="95"/>
      <c r="AC781" s="126"/>
      <c r="AD781" s="340"/>
      <c r="AE781" s="132"/>
      <c r="AF781" s="132"/>
      <c r="AG781" s="132"/>
      <c r="AH781" s="132"/>
      <c r="AI781" s="132"/>
      <c r="AJ781" s="95"/>
      <c r="AK781" s="95"/>
      <c r="AL781" s="95"/>
      <c r="AM781" s="95"/>
      <c r="AN781" s="132"/>
      <c r="AO781" s="132"/>
      <c r="AP781" s="95"/>
      <c r="AQ781" s="132"/>
      <c r="AR781" s="132"/>
    </row>
    <row r="782" spans="25:44" s="82" customFormat="1" x14ac:dyDescent="0.2">
      <c r="Y782" s="132"/>
      <c r="Z782" s="132"/>
      <c r="AA782" s="132"/>
      <c r="AB782" s="95"/>
      <c r="AC782" s="126"/>
      <c r="AD782" s="340"/>
      <c r="AE782" s="132"/>
      <c r="AF782" s="132"/>
      <c r="AG782" s="132"/>
      <c r="AH782" s="132"/>
      <c r="AI782" s="132"/>
      <c r="AJ782" s="95"/>
      <c r="AK782" s="95"/>
      <c r="AL782" s="95"/>
      <c r="AM782" s="95"/>
      <c r="AN782" s="132"/>
      <c r="AO782" s="132"/>
      <c r="AP782" s="95"/>
      <c r="AQ782" s="132"/>
      <c r="AR782" s="132"/>
    </row>
    <row r="783" spans="25:44" s="82" customFormat="1" x14ac:dyDescent="0.2">
      <c r="Y783" s="132"/>
      <c r="Z783" s="132"/>
      <c r="AA783" s="132"/>
      <c r="AB783" s="95"/>
      <c r="AC783" s="126"/>
      <c r="AD783" s="340"/>
      <c r="AE783" s="132"/>
      <c r="AF783" s="132"/>
      <c r="AG783" s="132"/>
      <c r="AH783" s="132"/>
      <c r="AI783" s="132"/>
      <c r="AJ783" s="95"/>
      <c r="AK783" s="95"/>
      <c r="AL783" s="95"/>
      <c r="AM783" s="95"/>
      <c r="AN783" s="132"/>
      <c r="AO783" s="132"/>
      <c r="AP783" s="95"/>
      <c r="AQ783" s="132"/>
      <c r="AR783" s="132"/>
    </row>
    <row r="784" spans="25:44" s="82" customFormat="1" x14ac:dyDescent="0.2">
      <c r="Y784" s="132"/>
      <c r="Z784" s="132"/>
      <c r="AA784" s="132"/>
      <c r="AB784" s="95"/>
      <c r="AC784" s="126"/>
      <c r="AD784" s="340"/>
      <c r="AE784" s="132"/>
      <c r="AF784" s="132"/>
      <c r="AG784" s="132"/>
      <c r="AH784" s="132"/>
      <c r="AI784" s="132"/>
      <c r="AJ784" s="95"/>
      <c r="AK784" s="95"/>
      <c r="AL784" s="95"/>
      <c r="AM784" s="95"/>
      <c r="AN784" s="132"/>
      <c r="AO784" s="132"/>
      <c r="AP784" s="95"/>
      <c r="AQ784" s="132"/>
      <c r="AR784" s="132"/>
    </row>
    <row r="785" spans="25:44" s="82" customFormat="1" x14ac:dyDescent="0.2">
      <c r="Y785" s="132"/>
      <c r="Z785" s="132"/>
      <c r="AA785" s="132"/>
      <c r="AB785" s="95"/>
      <c r="AC785" s="126"/>
      <c r="AD785" s="340"/>
      <c r="AE785" s="132"/>
      <c r="AF785" s="132"/>
      <c r="AG785" s="132"/>
      <c r="AH785" s="132"/>
      <c r="AI785" s="132"/>
      <c r="AJ785" s="95"/>
      <c r="AK785" s="95"/>
      <c r="AL785" s="95"/>
      <c r="AM785" s="95"/>
      <c r="AN785" s="132"/>
      <c r="AO785" s="132"/>
      <c r="AP785" s="95"/>
      <c r="AQ785" s="132"/>
      <c r="AR785" s="132"/>
    </row>
    <row r="786" spans="25:44" s="82" customFormat="1" x14ac:dyDescent="0.2">
      <c r="Y786" s="132"/>
      <c r="Z786" s="132"/>
      <c r="AA786" s="132"/>
      <c r="AB786" s="95"/>
      <c r="AC786" s="126"/>
      <c r="AD786" s="340"/>
      <c r="AE786" s="132"/>
      <c r="AF786" s="132"/>
      <c r="AG786" s="132"/>
      <c r="AH786" s="132"/>
      <c r="AI786" s="132"/>
      <c r="AJ786" s="95"/>
      <c r="AK786" s="95"/>
      <c r="AL786" s="95"/>
      <c r="AM786" s="95"/>
      <c r="AN786" s="132"/>
      <c r="AO786" s="132"/>
      <c r="AP786" s="95"/>
      <c r="AQ786" s="132"/>
      <c r="AR786" s="132"/>
    </row>
    <row r="787" spans="25:44" s="82" customFormat="1" x14ac:dyDescent="0.2">
      <c r="Y787" s="132"/>
      <c r="Z787" s="132"/>
      <c r="AA787" s="132"/>
      <c r="AB787" s="95"/>
      <c r="AC787" s="126"/>
      <c r="AD787" s="340"/>
      <c r="AE787" s="132"/>
      <c r="AF787" s="132"/>
      <c r="AG787" s="132"/>
      <c r="AH787" s="132"/>
      <c r="AI787" s="132"/>
      <c r="AJ787" s="95"/>
      <c r="AK787" s="95"/>
      <c r="AL787" s="95"/>
      <c r="AM787" s="95"/>
      <c r="AN787" s="132"/>
      <c r="AO787" s="132"/>
      <c r="AP787" s="95"/>
      <c r="AQ787" s="132"/>
      <c r="AR787" s="132"/>
    </row>
    <row r="788" spans="25:44" s="82" customFormat="1" x14ac:dyDescent="0.2">
      <c r="Y788" s="132"/>
      <c r="Z788" s="132"/>
      <c r="AA788" s="132"/>
      <c r="AB788" s="95"/>
      <c r="AC788" s="126"/>
      <c r="AD788" s="340"/>
      <c r="AE788" s="132"/>
      <c r="AF788" s="132"/>
      <c r="AG788" s="132"/>
      <c r="AH788" s="132"/>
      <c r="AI788" s="132"/>
      <c r="AJ788" s="95"/>
      <c r="AK788" s="95"/>
      <c r="AL788" s="95"/>
      <c r="AM788" s="95"/>
      <c r="AN788" s="132"/>
      <c r="AO788" s="132"/>
      <c r="AP788" s="95"/>
      <c r="AQ788" s="132"/>
      <c r="AR788" s="132"/>
    </row>
    <row r="789" spans="25:44" s="82" customFormat="1" x14ac:dyDescent="0.2">
      <c r="Y789" s="132"/>
      <c r="Z789" s="132"/>
      <c r="AA789" s="132"/>
      <c r="AB789" s="95"/>
      <c r="AC789" s="126"/>
      <c r="AD789" s="340"/>
      <c r="AE789" s="132"/>
      <c r="AF789" s="132"/>
      <c r="AG789" s="132"/>
      <c r="AH789" s="132"/>
      <c r="AI789" s="132"/>
      <c r="AJ789" s="95"/>
      <c r="AK789" s="95"/>
      <c r="AL789" s="95"/>
      <c r="AM789" s="95"/>
      <c r="AN789" s="132"/>
      <c r="AO789" s="132"/>
      <c r="AP789" s="95"/>
      <c r="AQ789" s="132"/>
      <c r="AR789" s="132"/>
    </row>
    <row r="790" spans="25:44" s="82" customFormat="1" x14ac:dyDescent="0.2">
      <c r="Y790" s="132"/>
      <c r="Z790" s="132"/>
      <c r="AA790" s="132"/>
      <c r="AB790" s="95"/>
      <c r="AC790" s="126"/>
      <c r="AD790" s="340"/>
      <c r="AE790" s="132"/>
      <c r="AF790" s="132"/>
      <c r="AG790" s="132"/>
      <c r="AH790" s="132"/>
      <c r="AI790" s="132"/>
      <c r="AJ790" s="95"/>
      <c r="AK790" s="95"/>
      <c r="AL790" s="95"/>
      <c r="AM790" s="95"/>
      <c r="AN790" s="132"/>
      <c r="AO790" s="132"/>
      <c r="AP790" s="95"/>
      <c r="AQ790" s="132"/>
      <c r="AR790" s="132"/>
    </row>
    <row r="791" spans="25:44" s="82" customFormat="1" x14ac:dyDescent="0.2">
      <c r="Y791" s="132"/>
      <c r="Z791" s="132"/>
      <c r="AA791" s="132"/>
      <c r="AB791" s="95"/>
      <c r="AC791" s="126"/>
      <c r="AD791" s="340"/>
      <c r="AE791" s="132"/>
      <c r="AF791" s="132"/>
      <c r="AG791" s="132"/>
      <c r="AH791" s="132"/>
      <c r="AI791" s="132"/>
      <c r="AJ791" s="95"/>
      <c r="AK791" s="95"/>
      <c r="AL791" s="95"/>
      <c r="AM791" s="95"/>
      <c r="AN791" s="132"/>
      <c r="AO791" s="132"/>
      <c r="AP791" s="95"/>
      <c r="AQ791" s="132"/>
      <c r="AR791" s="132"/>
    </row>
    <row r="792" spans="25:44" s="82" customFormat="1" x14ac:dyDescent="0.2">
      <c r="Y792" s="132"/>
      <c r="Z792" s="132"/>
      <c r="AA792" s="132"/>
      <c r="AB792" s="95"/>
      <c r="AC792" s="126"/>
      <c r="AD792" s="340"/>
      <c r="AE792" s="132"/>
      <c r="AF792" s="132"/>
      <c r="AG792" s="132"/>
      <c r="AH792" s="132"/>
      <c r="AI792" s="132"/>
      <c r="AJ792" s="95"/>
      <c r="AK792" s="95"/>
      <c r="AL792" s="95"/>
      <c r="AM792" s="95"/>
      <c r="AN792" s="132"/>
      <c r="AO792" s="132"/>
      <c r="AP792" s="95"/>
      <c r="AQ792" s="132"/>
      <c r="AR792" s="132"/>
    </row>
    <row r="793" spans="25:44" s="82" customFormat="1" x14ac:dyDescent="0.2">
      <c r="Y793" s="132"/>
      <c r="Z793" s="132"/>
      <c r="AA793" s="132"/>
      <c r="AB793" s="95"/>
      <c r="AC793" s="126"/>
      <c r="AD793" s="340"/>
      <c r="AE793" s="132"/>
      <c r="AF793" s="132"/>
      <c r="AG793" s="132"/>
      <c r="AH793" s="132"/>
      <c r="AI793" s="132"/>
      <c r="AJ793" s="95"/>
      <c r="AK793" s="95"/>
      <c r="AL793" s="95"/>
      <c r="AM793" s="95"/>
      <c r="AN793" s="132"/>
      <c r="AO793" s="132"/>
      <c r="AP793" s="95"/>
      <c r="AQ793" s="132"/>
      <c r="AR793" s="132"/>
    </row>
    <row r="794" spans="25:44" s="82" customFormat="1" x14ac:dyDescent="0.2">
      <c r="Y794" s="132"/>
      <c r="Z794" s="132"/>
      <c r="AA794" s="132"/>
      <c r="AB794" s="95"/>
      <c r="AC794" s="126"/>
      <c r="AD794" s="340"/>
      <c r="AE794" s="132"/>
      <c r="AF794" s="132"/>
      <c r="AG794" s="132"/>
      <c r="AH794" s="132"/>
      <c r="AI794" s="132"/>
      <c r="AJ794" s="95"/>
      <c r="AK794" s="95"/>
      <c r="AL794" s="95"/>
      <c r="AM794" s="95"/>
      <c r="AN794" s="132"/>
      <c r="AO794" s="132"/>
      <c r="AP794" s="95"/>
      <c r="AQ794" s="132"/>
      <c r="AR794" s="132"/>
    </row>
    <row r="795" spans="25:44" s="82" customFormat="1" x14ac:dyDescent="0.2">
      <c r="Y795" s="132"/>
      <c r="Z795" s="132"/>
      <c r="AA795" s="132"/>
      <c r="AB795" s="95"/>
      <c r="AC795" s="126"/>
      <c r="AD795" s="340"/>
      <c r="AE795" s="132"/>
      <c r="AF795" s="132"/>
      <c r="AG795" s="132"/>
      <c r="AH795" s="132"/>
      <c r="AI795" s="132"/>
      <c r="AJ795" s="95"/>
      <c r="AK795" s="95"/>
      <c r="AL795" s="95"/>
      <c r="AM795" s="95"/>
      <c r="AN795" s="132"/>
      <c r="AO795" s="132"/>
      <c r="AP795" s="95"/>
      <c r="AQ795" s="132"/>
      <c r="AR795" s="132"/>
    </row>
    <row r="796" spans="25:44" s="82" customFormat="1" x14ac:dyDescent="0.2">
      <c r="Y796" s="132"/>
      <c r="Z796" s="132"/>
      <c r="AA796" s="132"/>
      <c r="AB796" s="95"/>
      <c r="AC796" s="126"/>
      <c r="AD796" s="340"/>
      <c r="AE796" s="132"/>
      <c r="AF796" s="132"/>
      <c r="AG796" s="132"/>
      <c r="AH796" s="132"/>
      <c r="AI796" s="132"/>
      <c r="AJ796" s="95"/>
      <c r="AK796" s="95"/>
      <c r="AL796" s="95"/>
      <c r="AM796" s="95"/>
      <c r="AN796" s="132"/>
      <c r="AO796" s="132"/>
      <c r="AP796" s="95"/>
      <c r="AQ796" s="132"/>
      <c r="AR796" s="132"/>
    </row>
    <row r="797" spans="25:44" s="82" customFormat="1" x14ac:dyDescent="0.2">
      <c r="Y797" s="132"/>
      <c r="Z797" s="132"/>
      <c r="AA797" s="132"/>
      <c r="AB797" s="95"/>
      <c r="AC797" s="126"/>
      <c r="AD797" s="340"/>
      <c r="AE797" s="132"/>
      <c r="AF797" s="132"/>
      <c r="AG797" s="132"/>
      <c r="AH797" s="132"/>
      <c r="AI797" s="132"/>
      <c r="AJ797" s="95"/>
      <c r="AK797" s="95"/>
      <c r="AL797" s="95"/>
      <c r="AM797" s="95"/>
      <c r="AN797" s="132"/>
      <c r="AO797" s="132"/>
      <c r="AP797" s="95"/>
      <c r="AQ797" s="132"/>
      <c r="AR797" s="132"/>
    </row>
    <row r="798" spans="25:44" s="82" customFormat="1" x14ac:dyDescent="0.2">
      <c r="Y798" s="132"/>
      <c r="Z798" s="132"/>
      <c r="AA798" s="132"/>
      <c r="AB798" s="95"/>
      <c r="AC798" s="126"/>
      <c r="AD798" s="340"/>
      <c r="AE798" s="132"/>
      <c r="AF798" s="132"/>
      <c r="AG798" s="132"/>
      <c r="AH798" s="132"/>
      <c r="AI798" s="132"/>
      <c r="AJ798" s="95"/>
      <c r="AK798" s="95"/>
      <c r="AL798" s="95"/>
      <c r="AM798" s="95"/>
      <c r="AN798" s="132"/>
      <c r="AO798" s="132"/>
      <c r="AP798" s="95"/>
      <c r="AQ798" s="132"/>
      <c r="AR798" s="132"/>
    </row>
    <row r="799" spans="25:44" s="82" customFormat="1" x14ac:dyDescent="0.2">
      <c r="Y799" s="132"/>
      <c r="Z799" s="132"/>
      <c r="AA799" s="132"/>
      <c r="AB799" s="95"/>
      <c r="AC799" s="126"/>
      <c r="AD799" s="340"/>
      <c r="AE799" s="132"/>
      <c r="AF799" s="132"/>
      <c r="AG799" s="132"/>
      <c r="AH799" s="132"/>
      <c r="AI799" s="132"/>
      <c r="AJ799" s="95"/>
      <c r="AK799" s="95"/>
      <c r="AL799" s="95"/>
      <c r="AM799" s="95"/>
      <c r="AN799" s="132"/>
      <c r="AO799" s="132"/>
      <c r="AP799" s="95"/>
      <c r="AQ799" s="132"/>
      <c r="AR799" s="132"/>
    </row>
    <row r="800" spans="25:44" s="82" customFormat="1" x14ac:dyDescent="0.2">
      <c r="Y800" s="132"/>
      <c r="Z800" s="132"/>
      <c r="AA800" s="132"/>
      <c r="AB800" s="95"/>
      <c r="AC800" s="126"/>
      <c r="AD800" s="340"/>
      <c r="AE800" s="132"/>
      <c r="AF800" s="132"/>
      <c r="AG800" s="132"/>
      <c r="AH800" s="132"/>
      <c r="AI800" s="132"/>
      <c r="AJ800" s="95"/>
      <c r="AK800" s="95"/>
      <c r="AL800" s="95"/>
      <c r="AM800" s="95"/>
      <c r="AN800" s="132"/>
      <c r="AO800" s="132"/>
      <c r="AP800" s="95"/>
      <c r="AQ800" s="132"/>
      <c r="AR800" s="132"/>
    </row>
    <row r="801" spans="25:44" s="82" customFormat="1" x14ac:dyDescent="0.2">
      <c r="Y801" s="132"/>
      <c r="Z801" s="132"/>
      <c r="AA801" s="132"/>
      <c r="AB801" s="95"/>
      <c r="AC801" s="126"/>
      <c r="AD801" s="340"/>
      <c r="AE801" s="132"/>
      <c r="AF801" s="132"/>
      <c r="AG801" s="132"/>
      <c r="AH801" s="132"/>
      <c r="AI801" s="132"/>
      <c r="AJ801" s="95"/>
      <c r="AK801" s="95"/>
      <c r="AL801" s="95"/>
      <c r="AM801" s="95"/>
      <c r="AN801" s="132"/>
      <c r="AO801" s="132"/>
      <c r="AP801" s="95"/>
      <c r="AQ801" s="132"/>
      <c r="AR801" s="132"/>
    </row>
    <row r="802" spans="25:44" s="82" customFormat="1" x14ac:dyDescent="0.2">
      <c r="Y802" s="132"/>
      <c r="Z802" s="132"/>
      <c r="AA802" s="132"/>
      <c r="AB802" s="95"/>
      <c r="AC802" s="126"/>
      <c r="AD802" s="340"/>
      <c r="AE802" s="132"/>
      <c r="AF802" s="132"/>
      <c r="AG802" s="132"/>
      <c r="AH802" s="132"/>
      <c r="AI802" s="132"/>
      <c r="AJ802" s="95"/>
      <c r="AK802" s="95"/>
      <c r="AL802" s="95"/>
      <c r="AM802" s="95"/>
      <c r="AN802" s="132"/>
      <c r="AO802" s="132"/>
      <c r="AP802" s="95"/>
      <c r="AQ802" s="132"/>
      <c r="AR802" s="132"/>
    </row>
    <row r="803" spans="25:44" s="82" customFormat="1" x14ac:dyDescent="0.2">
      <c r="Y803" s="132"/>
      <c r="Z803" s="132"/>
      <c r="AA803" s="132"/>
      <c r="AB803" s="95"/>
      <c r="AC803" s="126"/>
      <c r="AD803" s="340"/>
      <c r="AE803" s="132"/>
      <c r="AF803" s="132"/>
      <c r="AG803" s="132"/>
      <c r="AH803" s="132"/>
      <c r="AI803" s="132"/>
      <c r="AJ803" s="95"/>
      <c r="AK803" s="95"/>
      <c r="AL803" s="95"/>
      <c r="AM803" s="95"/>
      <c r="AN803" s="132"/>
      <c r="AO803" s="132"/>
      <c r="AP803" s="95"/>
      <c r="AQ803" s="132"/>
      <c r="AR803" s="132"/>
    </row>
    <row r="804" spans="25:44" s="82" customFormat="1" x14ac:dyDescent="0.2">
      <c r="Y804" s="132"/>
      <c r="Z804" s="132"/>
      <c r="AA804" s="132"/>
      <c r="AB804" s="95"/>
      <c r="AC804" s="126"/>
      <c r="AD804" s="340"/>
      <c r="AE804" s="132"/>
      <c r="AF804" s="132"/>
      <c r="AG804" s="132"/>
      <c r="AH804" s="132"/>
      <c r="AI804" s="132"/>
      <c r="AJ804" s="95"/>
      <c r="AK804" s="95"/>
      <c r="AL804" s="95"/>
      <c r="AM804" s="95"/>
      <c r="AN804" s="132"/>
      <c r="AO804" s="132"/>
      <c r="AP804" s="95"/>
      <c r="AQ804" s="132"/>
      <c r="AR804" s="132"/>
    </row>
    <row r="805" spans="25:44" s="82" customFormat="1" x14ac:dyDescent="0.2">
      <c r="Y805" s="132"/>
      <c r="Z805" s="132"/>
      <c r="AA805" s="132"/>
      <c r="AB805" s="95"/>
      <c r="AC805" s="126"/>
      <c r="AD805" s="340"/>
      <c r="AE805" s="132"/>
      <c r="AF805" s="132"/>
      <c r="AG805" s="132"/>
      <c r="AH805" s="132"/>
      <c r="AI805" s="132"/>
      <c r="AJ805" s="95"/>
      <c r="AK805" s="95"/>
      <c r="AL805" s="95"/>
      <c r="AM805" s="95"/>
      <c r="AN805" s="132"/>
      <c r="AO805" s="132"/>
      <c r="AP805" s="95"/>
      <c r="AQ805" s="132"/>
      <c r="AR805" s="132"/>
    </row>
    <row r="806" spans="25:44" s="82" customFormat="1" x14ac:dyDescent="0.2">
      <c r="Y806" s="132"/>
      <c r="Z806" s="132"/>
      <c r="AA806" s="132"/>
      <c r="AB806" s="95"/>
      <c r="AC806" s="126"/>
      <c r="AD806" s="340"/>
      <c r="AE806" s="132"/>
      <c r="AF806" s="132"/>
      <c r="AG806" s="132"/>
      <c r="AH806" s="132"/>
      <c r="AI806" s="132"/>
      <c r="AJ806" s="95"/>
      <c r="AK806" s="95"/>
      <c r="AL806" s="95"/>
      <c r="AM806" s="95"/>
      <c r="AN806" s="132"/>
      <c r="AO806" s="132"/>
      <c r="AP806" s="95"/>
      <c r="AQ806" s="132"/>
      <c r="AR806" s="132"/>
    </row>
    <row r="807" spans="25:44" s="82" customFormat="1" x14ac:dyDescent="0.2">
      <c r="Y807" s="132"/>
      <c r="Z807" s="132"/>
      <c r="AA807" s="132"/>
      <c r="AB807" s="95"/>
      <c r="AC807" s="126"/>
      <c r="AD807" s="340"/>
      <c r="AE807" s="132"/>
      <c r="AF807" s="132"/>
      <c r="AG807" s="132"/>
      <c r="AH807" s="132"/>
      <c r="AI807" s="132"/>
      <c r="AJ807" s="95"/>
      <c r="AK807" s="95"/>
      <c r="AL807" s="95"/>
      <c r="AM807" s="95"/>
      <c r="AN807" s="132"/>
      <c r="AO807" s="132"/>
      <c r="AP807" s="95"/>
      <c r="AQ807" s="132"/>
      <c r="AR807" s="132"/>
    </row>
    <row r="808" spans="25:44" s="82" customFormat="1" x14ac:dyDescent="0.2">
      <c r="Y808" s="132"/>
      <c r="Z808" s="132"/>
      <c r="AA808" s="132"/>
      <c r="AB808" s="95"/>
      <c r="AC808" s="126"/>
      <c r="AD808" s="340"/>
      <c r="AE808" s="132"/>
      <c r="AF808" s="132"/>
      <c r="AG808" s="132"/>
      <c r="AH808" s="132"/>
      <c r="AI808" s="132"/>
      <c r="AJ808" s="95"/>
      <c r="AK808" s="95"/>
      <c r="AL808" s="95"/>
      <c r="AM808" s="95"/>
      <c r="AN808" s="132"/>
      <c r="AO808" s="132"/>
      <c r="AP808" s="95"/>
      <c r="AQ808" s="132"/>
      <c r="AR808" s="132"/>
    </row>
    <row r="809" spans="25:44" s="82" customFormat="1" x14ac:dyDescent="0.2">
      <c r="Y809" s="132"/>
      <c r="Z809" s="132"/>
      <c r="AA809" s="132"/>
      <c r="AB809" s="95"/>
      <c r="AC809" s="126"/>
      <c r="AD809" s="340"/>
      <c r="AE809" s="132"/>
      <c r="AF809" s="132"/>
      <c r="AG809" s="132"/>
      <c r="AH809" s="132"/>
      <c r="AI809" s="132"/>
      <c r="AJ809" s="95"/>
      <c r="AK809" s="95"/>
      <c r="AL809" s="95"/>
      <c r="AM809" s="95"/>
      <c r="AN809" s="132"/>
      <c r="AO809" s="132"/>
      <c r="AP809" s="95"/>
      <c r="AQ809" s="132"/>
      <c r="AR809" s="132"/>
    </row>
    <row r="810" spans="25:44" s="82" customFormat="1" x14ac:dyDescent="0.2">
      <c r="Y810" s="132"/>
      <c r="Z810" s="132"/>
      <c r="AA810" s="132"/>
      <c r="AB810" s="95"/>
      <c r="AC810" s="126"/>
      <c r="AD810" s="340"/>
      <c r="AE810" s="132"/>
      <c r="AF810" s="132"/>
      <c r="AG810" s="132"/>
      <c r="AH810" s="132"/>
      <c r="AI810" s="132"/>
      <c r="AJ810" s="95"/>
      <c r="AK810" s="95"/>
      <c r="AL810" s="95"/>
      <c r="AM810" s="95"/>
      <c r="AN810" s="132"/>
      <c r="AO810" s="132"/>
      <c r="AP810" s="95"/>
      <c r="AQ810" s="132"/>
      <c r="AR810" s="132"/>
    </row>
    <row r="811" spans="25:44" s="82" customFormat="1" x14ac:dyDescent="0.2">
      <c r="Y811" s="132"/>
      <c r="Z811" s="132"/>
      <c r="AA811" s="132"/>
      <c r="AB811" s="95"/>
      <c r="AC811" s="126"/>
      <c r="AD811" s="340"/>
      <c r="AE811" s="132"/>
      <c r="AF811" s="132"/>
      <c r="AG811" s="132"/>
      <c r="AH811" s="132"/>
      <c r="AI811" s="132"/>
      <c r="AJ811" s="95"/>
      <c r="AK811" s="95"/>
      <c r="AL811" s="95"/>
      <c r="AM811" s="95"/>
      <c r="AN811" s="132"/>
      <c r="AO811" s="132"/>
      <c r="AP811" s="95"/>
      <c r="AQ811" s="132"/>
      <c r="AR811" s="132"/>
    </row>
    <row r="812" spans="25:44" s="82" customFormat="1" x14ac:dyDescent="0.2">
      <c r="Y812" s="132"/>
      <c r="Z812" s="132"/>
      <c r="AA812" s="132"/>
      <c r="AB812" s="95"/>
      <c r="AC812" s="126"/>
      <c r="AD812" s="340"/>
      <c r="AE812" s="132"/>
      <c r="AF812" s="132"/>
      <c r="AG812" s="132"/>
      <c r="AH812" s="132"/>
      <c r="AI812" s="132"/>
      <c r="AJ812" s="95"/>
      <c r="AK812" s="95"/>
      <c r="AL812" s="95"/>
      <c r="AM812" s="95"/>
      <c r="AN812" s="132"/>
      <c r="AO812" s="132"/>
      <c r="AP812" s="95"/>
      <c r="AQ812" s="132"/>
      <c r="AR812" s="132"/>
    </row>
    <row r="813" spans="25:44" s="82" customFormat="1" x14ac:dyDescent="0.2">
      <c r="Y813" s="132"/>
      <c r="Z813" s="132"/>
      <c r="AA813" s="132"/>
      <c r="AB813" s="95"/>
      <c r="AC813" s="126"/>
      <c r="AD813" s="340"/>
      <c r="AE813" s="132"/>
      <c r="AF813" s="132"/>
      <c r="AG813" s="132"/>
      <c r="AH813" s="132"/>
      <c r="AI813" s="132"/>
      <c r="AJ813" s="95"/>
      <c r="AK813" s="95"/>
      <c r="AL813" s="95"/>
      <c r="AM813" s="95"/>
      <c r="AN813" s="132"/>
      <c r="AO813" s="132"/>
      <c r="AP813" s="95"/>
      <c r="AQ813" s="132"/>
      <c r="AR813" s="132"/>
    </row>
    <row r="814" spans="25:44" s="82" customFormat="1" x14ac:dyDescent="0.2">
      <c r="Y814" s="132"/>
      <c r="Z814" s="132"/>
      <c r="AA814" s="132"/>
      <c r="AB814" s="95"/>
      <c r="AC814" s="126"/>
      <c r="AD814" s="340"/>
      <c r="AE814" s="132"/>
      <c r="AF814" s="132"/>
      <c r="AG814" s="132"/>
      <c r="AH814" s="132"/>
      <c r="AI814" s="132"/>
      <c r="AJ814" s="95"/>
      <c r="AK814" s="95"/>
      <c r="AL814" s="95"/>
      <c r="AM814" s="95"/>
      <c r="AN814" s="132"/>
      <c r="AO814" s="132"/>
      <c r="AP814" s="95"/>
      <c r="AQ814" s="132"/>
      <c r="AR814" s="132"/>
    </row>
    <row r="815" spans="25:44" s="82" customFormat="1" x14ac:dyDescent="0.2">
      <c r="Y815" s="132"/>
      <c r="Z815" s="132"/>
      <c r="AA815" s="132"/>
      <c r="AB815" s="95"/>
      <c r="AC815" s="126"/>
      <c r="AD815" s="340"/>
      <c r="AE815" s="132"/>
      <c r="AF815" s="132"/>
      <c r="AG815" s="132"/>
      <c r="AH815" s="132"/>
      <c r="AI815" s="132"/>
      <c r="AJ815" s="95"/>
      <c r="AK815" s="95"/>
      <c r="AL815" s="95"/>
      <c r="AM815" s="95"/>
      <c r="AN815" s="132"/>
      <c r="AO815" s="132"/>
      <c r="AP815" s="95"/>
      <c r="AQ815" s="132"/>
      <c r="AR815" s="132"/>
    </row>
    <row r="816" spans="25:44" s="82" customFormat="1" x14ac:dyDescent="0.2">
      <c r="Y816" s="132"/>
      <c r="Z816" s="132"/>
      <c r="AA816" s="132"/>
      <c r="AB816" s="95"/>
      <c r="AC816" s="126"/>
      <c r="AD816" s="340"/>
      <c r="AE816" s="132"/>
      <c r="AF816" s="132"/>
      <c r="AG816" s="132"/>
      <c r="AH816" s="132"/>
      <c r="AI816" s="132"/>
      <c r="AJ816" s="95"/>
      <c r="AK816" s="95"/>
      <c r="AL816" s="95"/>
      <c r="AM816" s="95"/>
      <c r="AN816" s="132"/>
      <c r="AO816" s="132"/>
      <c r="AP816" s="95"/>
      <c r="AQ816" s="132"/>
      <c r="AR816" s="132"/>
    </row>
    <row r="817" spans="25:44" s="82" customFormat="1" x14ac:dyDescent="0.2">
      <c r="Y817" s="132"/>
      <c r="Z817" s="132"/>
      <c r="AA817" s="132"/>
      <c r="AB817" s="95"/>
      <c r="AC817" s="126"/>
      <c r="AD817" s="340"/>
      <c r="AE817" s="132"/>
      <c r="AF817" s="132"/>
      <c r="AG817" s="132"/>
      <c r="AH817" s="132"/>
      <c r="AI817" s="132"/>
      <c r="AJ817" s="95"/>
      <c r="AK817" s="95"/>
      <c r="AL817" s="95"/>
      <c r="AM817" s="95"/>
      <c r="AN817" s="132"/>
      <c r="AO817" s="132"/>
      <c r="AP817" s="95"/>
      <c r="AQ817" s="132"/>
      <c r="AR817" s="132"/>
    </row>
    <row r="818" spans="25:44" s="82" customFormat="1" x14ac:dyDescent="0.2">
      <c r="Y818" s="132"/>
      <c r="Z818" s="132"/>
      <c r="AA818" s="132"/>
      <c r="AB818" s="95"/>
      <c r="AC818" s="126"/>
      <c r="AD818" s="340"/>
      <c r="AE818" s="132"/>
      <c r="AF818" s="132"/>
      <c r="AG818" s="132"/>
      <c r="AH818" s="132"/>
      <c r="AI818" s="132"/>
      <c r="AJ818" s="95"/>
      <c r="AK818" s="95"/>
      <c r="AL818" s="95"/>
      <c r="AM818" s="95"/>
      <c r="AN818" s="132"/>
      <c r="AO818" s="132"/>
      <c r="AP818" s="95"/>
      <c r="AQ818" s="132"/>
      <c r="AR818" s="132"/>
    </row>
    <row r="819" spans="25:44" s="82" customFormat="1" x14ac:dyDescent="0.2">
      <c r="Y819" s="132"/>
      <c r="Z819" s="132"/>
      <c r="AA819" s="132"/>
      <c r="AB819" s="95"/>
      <c r="AC819" s="126"/>
      <c r="AD819" s="340"/>
      <c r="AE819" s="132"/>
      <c r="AF819" s="132"/>
      <c r="AG819" s="132"/>
      <c r="AH819" s="132"/>
      <c r="AI819" s="132"/>
      <c r="AJ819" s="95"/>
      <c r="AK819" s="95"/>
      <c r="AL819" s="95"/>
      <c r="AM819" s="95"/>
      <c r="AN819" s="132"/>
      <c r="AO819" s="132"/>
      <c r="AP819" s="95"/>
      <c r="AQ819" s="132"/>
      <c r="AR819" s="132"/>
    </row>
    <row r="820" spans="25:44" s="82" customFormat="1" x14ac:dyDescent="0.2">
      <c r="Y820" s="132"/>
      <c r="Z820" s="132"/>
      <c r="AA820" s="132"/>
      <c r="AB820" s="95"/>
      <c r="AC820" s="126"/>
      <c r="AD820" s="340"/>
      <c r="AE820" s="132"/>
      <c r="AF820" s="132"/>
      <c r="AG820" s="132"/>
      <c r="AH820" s="132"/>
      <c r="AI820" s="132"/>
      <c r="AJ820" s="95"/>
      <c r="AK820" s="95"/>
      <c r="AL820" s="95"/>
      <c r="AM820" s="95"/>
      <c r="AN820" s="132"/>
      <c r="AO820" s="132"/>
      <c r="AP820" s="95"/>
      <c r="AQ820" s="132"/>
      <c r="AR820" s="132"/>
    </row>
    <row r="821" spans="25:44" s="82" customFormat="1" x14ac:dyDescent="0.2">
      <c r="Y821" s="132"/>
      <c r="Z821" s="132"/>
      <c r="AA821" s="132"/>
      <c r="AB821" s="95"/>
      <c r="AC821" s="126"/>
      <c r="AD821" s="340"/>
      <c r="AE821" s="132"/>
      <c r="AF821" s="132"/>
      <c r="AG821" s="132"/>
      <c r="AH821" s="132"/>
      <c r="AI821" s="132"/>
      <c r="AJ821" s="95"/>
      <c r="AK821" s="95"/>
      <c r="AL821" s="95"/>
      <c r="AM821" s="95"/>
      <c r="AN821" s="132"/>
      <c r="AO821" s="132"/>
      <c r="AP821" s="95"/>
      <c r="AQ821" s="132"/>
      <c r="AR821" s="132"/>
    </row>
    <row r="822" spans="25:44" s="82" customFormat="1" x14ac:dyDescent="0.2">
      <c r="Y822" s="132"/>
      <c r="Z822" s="132"/>
      <c r="AA822" s="132"/>
      <c r="AB822" s="95"/>
      <c r="AC822" s="126"/>
      <c r="AD822" s="340"/>
      <c r="AE822" s="132"/>
      <c r="AF822" s="132"/>
      <c r="AG822" s="132"/>
      <c r="AH822" s="132"/>
      <c r="AI822" s="132"/>
      <c r="AJ822" s="95"/>
      <c r="AK822" s="95"/>
      <c r="AL822" s="95"/>
      <c r="AM822" s="95"/>
      <c r="AN822" s="132"/>
      <c r="AO822" s="132"/>
      <c r="AP822" s="95"/>
      <c r="AQ822" s="132"/>
      <c r="AR822" s="132"/>
    </row>
    <row r="823" spans="25:44" s="82" customFormat="1" x14ac:dyDescent="0.2">
      <c r="Y823" s="132"/>
      <c r="Z823" s="132"/>
      <c r="AA823" s="132"/>
      <c r="AB823" s="95"/>
      <c r="AC823" s="126"/>
      <c r="AD823" s="340"/>
      <c r="AE823" s="132"/>
      <c r="AF823" s="132"/>
      <c r="AG823" s="132"/>
      <c r="AH823" s="132"/>
      <c r="AI823" s="132"/>
      <c r="AJ823" s="95"/>
      <c r="AK823" s="95"/>
      <c r="AL823" s="95"/>
      <c r="AM823" s="95"/>
      <c r="AN823" s="132"/>
      <c r="AO823" s="132"/>
      <c r="AP823" s="95"/>
      <c r="AQ823" s="132"/>
      <c r="AR823" s="132"/>
    </row>
    <row r="824" spans="25:44" s="82" customFormat="1" x14ac:dyDescent="0.2">
      <c r="Y824" s="132"/>
      <c r="Z824" s="132"/>
      <c r="AA824" s="132"/>
      <c r="AB824" s="95"/>
      <c r="AC824" s="126"/>
      <c r="AD824" s="340"/>
      <c r="AE824" s="132"/>
      <c r="AF824" s="132"/>
      <c r="AG824" s="132"/>
      <c r="AH824" s="132"/>
      <c r="AI824" s="132"/>
      <c r="AJ824" s="95"/>
      <c r="AK824" s="95"/>
      <c r="AL824" s="95"/>
      <c r="AM824" s="95"/>
      <c r="AN824" s="132"/>
      <c r="AO824" s="132"/>
      <c r="AP824" s="95"/>
      <c r="AQ824" s="132"/>
      <c r="AR824" s="132"/>
    </row>
    <row r="825" spans="25:44" s="82" customFormat="1" x14ac:dyDescent="0.2">
      <c r="Y825" s="132"/>
      <c r="Z825" s="132"/>
      <c r="AA825" s="132"/>
      <c r="AB825" s="95"/>
      <c r="AC825" s="126"/>
      <c r="AD825" s="340"/>
      <c r="AE825" s="132"/>
      <c r="AF825" s="132"/>
      <c r="AG825" s="132"/>
      <c r="AH825" s="132"/>
      <c r="AI825" s="132"/>
      <c r="AJ825" s="95"/>
      <c r="AK825" s="95"/>
      <c r="AL825" s="95"/>
      <c r="AM825" s="95"/>
      <c r="AN825" s="132"/>
      <c r="AO825" s="132"/>
      <c r="AP825" s="95"/>
      <c r="AQ825" s="132"/>
      <c r="AR825" s="132"/>
    </row>
    <row r="826" spans="25:44" s="82" customFormat="1" x14ac:dyDescent="0.2">
      <c r="Y826" s="132"/>
      <c r="Z826" s="132"/>
      <c r="AA826" s="132"/>
      <c r="AB826" s="95"/>
      <c r="AC826" s="126"/>
      <c r="AD826" s="340"/>
      <c r="AE826" s="132"/>
      <c r="AF826" s="132"/>
      <c r="AG826" s="132"/>
      <c r="AH826" s="132"/>
      <c r="AI826" s="132"/>
      <c r="AJ826" s="95"/>
      <c r="AK826" s="95"/>
      <c r="AL826" s="95"/>
      <c r="AM826" s="95"/>
      <c r="AN826" s="132"/>
      <c r="AO826" s="132"/>
      <c r="AP826" s="95"/>
      <c r="AQ826" s="132"/>
      <c r="AR826" s="132"/>
    </row>
    <row r="827" spans="25:44" s="82" customFormat="1" x14ac:dyDescent="0.2">
      <c r="Y827" s="132"/>
      <c r="Z827" s="132"/>
      <c r="AA827" s="132"/>
      <c r="AB827" s="95"/>
      <c r="AC827" s="126"/>
      <c r="AD827" s="340"/>
      <c r="AE827" s="132"/>
      <c r="AF827" s="132"/>
      <c r="AG827" s="132"/>
      <c r="AH827" s="132"/>
      <c r="AI827" s="132"/>
      <c r="AJ827" s="95"/>
      <c r="AK827" s="95"/>
      <c r="AL827" s="95"/>
      <c r="AM827" s="95"/>
      <c r="AN827" s="132"/>
      <c r="AO827" s="132"/>
      <c r="AP827" s="95"/>
      <c r="AQ827" s="132"/>
      <c r="AR827" s="132"/>
    </row>
    <row r="828" spans="25:44" s="82" customFormat="1" x14ac:dyDescent="0.2">
      <c r="Y828" s="132"/>
      <c r="Z828" s="132"/>
      <c r="AA828" s="132"/>
      <c r="AB828" s="95"/>
      <c r="AC828" s="126"/>
      <c r="AD828" s="340"/>
      <c r="AE828" s="132"/>
      <c r="AF828" s="132"/>
      <c r="AG828" s="132"/>
      <c r="AH828" s="132"/>
      <c r="AI828" s="132"/>
      <c r="AJ828" s="95"/>
      <c r="AK828" s="95"/>
      <c r="AL828" s="95"/>
      <c r="AM828" s="95"/>
      <c r="AN828" s="132"/>
      <c r="AO828" s="132"/>
      <c r="AP828" s="95"/>
      <c r="AQ828" s="132"/>
      <c r="AR828" s="132"/>
    </row>
    <row r="829" spans="25:44" s="82" customFormat="1" x14ac:dyDescent="0.2">
      <c r="Y829" s="132"/>
      <c r="Z829" s="132"/>
      <c r="AA829" s="132"/>
      <c r="AB829" s="95"/>
      <c r="AC829" s="126"/>
      <c r="AD829" s="340"/>
      <c r="AE829" s="132"/>
      <c r="AF829" s="132"/>
      <c r="AG829" s="132"/>
      <c r="AH829" s="132"/>
      <c r="AI829" s="132"/>
      <c r="AJ829" s="95"/>
      <c r="AK829" s="95"/>
      <c r="AL829" s="95"/>
      <c r="AM829" s="95"/>
      <c r="AN829" s="132"/>
      <c r="AO829" s="132"/>
      <c r="AP829" s="95"/>
      <c r="AQ829" s="132"/>
      <c r="AR829" s="132"/>
    </row>
    <row r="830" spans="25:44" s="82" customFormat="1" x14ac:dyDescent="0.2">
      <c r="Y830" s="132"/>
      <c r="Z830" s="132"/>
      <c r="AA830" s="132"/>
      <c r="AB830" s="95"/>
      <c r="AC830" s="126"/>
      <c r="AD830" s="340"/>
      <c r="AE830" s="132"/>
      <c r="AF830" s="132"/>
      <c r="AG830" s="132"/>
      <c r="AH830" s="132"/>
      <c r="AI830" s="132"/>
      <c r="AJ830" s="95"/>
      <c r="AK830" s="95"/>
      <c r="AL830" s="95"/>
      <c r="AM830" s="95"/>
      <c r="AN830" s="132"/>
      <c r="AO830" s="132"/>
      <c r="AP830" s="95"/>
      <c r="AQ830" s="132"/>
      <c r="AR830" s="132"/>
    </row>
    <row r="831" spans="25:44" s="82" customFormat="1" x14ac:dyDescent="0.2">
      <c r="Y831" s="132"/>
      <c r="Z831" s="132"/>
      <c r="AA831" s="132"/>
      <c r="AB831" s="95"/>
      <c r="AC831" s="126"/>
      <c r="AD831" s="340"/>
      <c r="AE831" s="132"/>
      <c r="AF831" s="132"/>
      <c r="AG831" s="132"/>
      <c r="AH831" s="132"/>
      <c r="AI831" s="132"/>
      <c r="AJ831" s="95"/>
      <c r="AK831" s="95"/>
      <c r="AL831" s="95"/>
      <c r="AM831" s="95"/>
      <c r="AN831" s="132"/>
      <c r="AO831" s="132"/>
      <c r="AP831" s="95"/>
      <c r="AQ831" s="132"/>
      <c r="AR831" s="132"/>
    </row>
    <row r="832" spans="25:44" s="82" customFormat="1" x14ac:dyDescent="0.2">
      <c r="Y832" s="132"/>
      <c r="Z832" s="132"/>
      <c r="AA832" s="132"/>
      <c r="AB832" s="95"/>
      <c r="AC832" s="126"/>
      <c r="AD832" s="340"/>
      <c r="AE832" s="132"/>
      <c r="AF832" s="132"/>
      <c r="AG832" s="132"/>
      <c r="AH832" s="132"/>
      <c r="AI832" s="132"/>
      <c r="AJ832" s="95"/>
      <c r="AK832" s="95"/>
      <c r="AL832" s="95"/>
      <c r="AM832" s="95"/>
      <c r="AN832" s="132"/>
      <c r="AO832" s="132"/>
      <c r="AP832" s="95"/>
      <c r="AQ832" s="132"/>
      <c r="AR832" s="132"/>
    </row>
    <row r="833" spans="25:44" s="82" customFormat="1" x14ac:dyDescent="0.2">
      <c r="Y833" s="132"/>
      <c r="Z833" s="132"/>
      <c r="AA833" s="132"/>
      <c r="AB833" s="95"/>
      <c r="AC833" s="126"/>
      <c r="AD833" s="340"/>
      <c r="AE833" s="132"/>
      <c r="AF833" s="132"/>
      <c r="AG833" s="132"/>
      <c r="AH833" s="132"/>
      <c r="AI833" s="132"/>
      <c r="AJ833" s="95"/>
      <c r="AK833" s="95"/>
      <c r="AL833" s="95"/>
      <c r="AM833" s="95"/>
      <c r="AN833" s="132"/>
      <c r="AO833" s="132"/>
      <c r="AP833" s="95"/>
      <c r="AQ833" s="132"/>
      <c r="AR833" s="132"/>
    </row>
    <row r="834" spans="25:44" s="82" customFormat="1" x14ac:dyDescent="0.2">
      <c r="Y834" s="132"/>
      <c r="Z834" s="132"/>
      <c r="AA834" s="132"/>
      <c r="AB834" s="95"/>
      <c r="AC834" s="126"/>
      <c r="AD834" s="340"/>
      <c r="AE834" s="132"/>
      <c r="AF834" s="132"/>
      <c r="AG834" s="132"/>
      <c r="AH834" s="132"/>
      <c r="AI834" s="132"/>
      <c r="AJ834" s="95"/>
      <c r="AK834" s="95"/>
      <c r="AL834" s="95"/>
      <c r="AM834" s="95"/>
      <c r="AN834" s="132"/>
      <c r="AO834" s="132"/>
      <c r="AP834" s="95"/>
      <c r="AQ834" s="132"/>
      <c r="AR834" s="132"/>
    </row>
    <row r="835" spans="25:44" s="82" customFormat="1" x14ac:dyDescent="0.2">
      <c r="Y835" s="132"/>
      <c r="Z835" s="132"/>
      <c r="AA835" s="132"/>
      <c r="AB835" s="95"/>
      <c r="AC835" s="126"/>
      <c r="AD835" s="340"/>
      <c r="AE835" s="132"/>
      <c r="AF835" s="132"/>
      <c r="AG835" s="132"/>
      <c r="AH835" s="132"/>
      <c r="AI835" s="132"/>
      <c r="AJ835" s="95"/>
      <c r="AK835" s="95"/>
      <c r="AL835" s="95"/>
      <c r="AM835" s="95"/>
      <c r="AN835" s="132"/>
      <c r="AO835" s="132"/>
      <c r="AP835" s="95"/>
      <c r="AQ835" s="132"/>
      <c r="AR835" s="132"/>
    </row>
    <row r="836" spans="25:44" s="82" customFormat="1" x14ac:dyDescent="0.2">
      <c r="Y836" s="132"/>
      <c r="Z836" s="132"/>
      <c r="AA836" s="132"/>
      <c r="AB836" s="95"/>
      <c r="AC836" s="126"/>
      <c r="AD836" s="340"/>
      <c r="AE836" s="132"/>
      <c r="AF836" s="132"/>
      <c r="AG836" s="132"/>
      <c r="AH836" s="132"/>
      <c r="AI836" s="132"/>
      <c r="AJ836" s="95"/>
      <c r="AK836" s="95"/>
      <c r="AL836" s="95"/>
      <c r="AM836" s="95"/>
      <c r="AN836" s="132"/>
      <c r="AO836" s="132"/>
      <c r="AP836" s="95"/>
      <c r="AQ836" s="132"/>
      <c r="AR836" s="132"/>
    </row>
    <row r="837" spans="25:44" s="82" customFormat="1" x14ac:dyDescent="0.2">
      <c r="Y837" s="132"/>
      <c r="Z837" s="132"/>
      <c r="AA837" s="132"/>
      <c r="AB837" s="95"/>
      <c r="AC837" s="126"/>
      <c r="AD837" s="340"/>
      <c r="AE837" s="132"/>
      <c r="AF837" s="132"/>
      <c r="AG837" s="132"/>
      <c r="AH837" s="132"/>
      <c r="AI837" s="132"/>
      <c r="AJ837" s="95"/>
      <c r="AK837" s="95"/>
      <c r="AL837" s="95"/>
      <c r="AM837" s="95"/>
      <c r="AN837" s="132"/>
      <c r="AO837" s="132"/>
      <c r="AP837" s="95"/>
      <c r="AQ837" s="132"/>
      <c r="AR837" s="132"/>
    </row>
    <row r="838" spans="25:44" s="82" customFormat="1" x14ac:dyDescent="0.2">
      <c r="Y838" s="132"/>
      <c r="Z838" s="132"/>
      <c r="AA838" s="132"/>
      <c r="AB838" s="95"/>
      <c r="AC838" s="126"/>
      <c r="AD838" s="340"/>
      <c r="AE838" s="132"/>
      <c r="AF838" s="132"/>
      <c r="AG838" s="132"/>
      <c r="AH838" s="132"/>
      <c r="AI838" s="132"/>
      <c r="AJ838" s="95"/>
      <c r="AK838" s="95"/>
      <c r="AL838" s="95"/>
      <c r="AM838" s="95"/>
      <c r="AN838" s="132"/>
      <c r="AO838" s="132"/>
      <c r="AP838" s="95"/>
      <c r="AQ838" s="132"/>
      <c r="AR838" s="132"/>
    </row>
    <row r="839" spans="25:44" s="82" customFormat="1" x14ac:dyDescent="0.2">
      <c r="Y839" s="132"/>
      <c r="Z839" s="132"/>
      <c r="AA839" s="132"/>
      <c r="AB839" s="95"/>
      <c r="AC839" s="126"/>
      <c r="AD839" s="340"/>
      <c r="AE839" s="132"/>
      <c r="AF839" s="132"/>
      <c r="AG839" s="132"/>
      <c r="AH839" s="132"/>
      <c r="AI839" s="132"/>
      <c r="AJ839" s="95"/>
      <c r="AK839" s="95"/>
      <c r="AL839" s="95"/>
      <c r="AM839" s="95"/>
      <c r="AN839" s="132"/>
      <c r="AO839" s="132"/>
      <c r="AP839" s="95"/>
      <c r="AQ839" s="132"/>
      <c r="AR839" s="132"/>
    </row>
    <row r="840" spans="25:44" s="82" customFormat="1" x14ac:dyDescent="0.2">
      <c r="Y840" s="132"/>
      <c r="Z840" s="132"/>
      <c r="AA840" s="132"/>
      <c r="AB840" s="95"/>
      <c r="AC840" s="126"/>
      <c r="AD840" s="340"/>
      <c r="AE840" s="132"/>
      <c r="AF840" s="132"/>
      <c r="AG840" s="132"/>
      <c r="AH840" s="132"/>
      <c r="AI840" s="132"/>
      <c r="AJ840" s="95"/>
      <c r="AK840" s="95"/>
      <c r="AL840" s="95"/>
      <c r="AM840" s="95"/>
      <c r="AN840" s="132"/>
      <c r="AO840" s="132"/>
      <c r="AP840" s="95"/>
      <c r="AQ840" s="132"/>
      <c r="AR840" s="132"/>
    </row>
    <row r="841" spans="25:44" s="82" customFormat="1" x14ac:dyDescent="0.2">
      <c r="Y841" s="132"/>
      <c r="Z841" s="132"/>
      <c r="AA841" s="132"/>
      <c r="AB841" s="95"/>
      <c r="AC841" s="126"/>
      <c r="AD841" s="340"/>
      <c r="AE841" s="132"/>
      <c r="AF841" s="132"/>
      <c r="AG841" s="132"/>
      <c r="AH841" s="132"/>
      <c r="AI841" s="132"/>
      <c r="AJ841" s="95"/>
      <c r="AK841" s="95"/>
      <c r="AL841" s="95"/>
      <c r="AM841" s="95"/>
      <c r="AN841" s="132"/>
      <c r="AO841" s="132"/>
      <c r="AP841" s="95"/>
      <c r="AQ841" s="132"/>
      <c r="AR841" s="132"/>
    </row>
    <row r="842" spans="25:44" s="82" customFormat="1" x14ac:dyDescent="0.2">
      <c r="Y842" s="132"/>
      <c r="Z842" s="132"/>
      <c r="AA842" s="132"/>
      <c r="AB842" s="95"/>
      <c r="AC842" s="126"/>
      <c r="AD842" s="340"/>
      <c r="AE842" s="132"/>
      <c r="AF842" s="132"/>
      <c r="AG842" s="132"/>
      <c r="AH842" s="132"/>
      <c r="AI842" s="132"/>
      <c r="AJ842" s="95"/>
      <c r="AK842" s="95"/>
      <c r="AL842" s="95"/>
      <c r="AM842" s="95"/>
      <c r="AN842" s="132"/>
      <c r="AO842" s="132"/>
      <c r="AP842" s="95"/>
      <c r="AQ842" s="132"/>
      <c r="AR842" s="132"/>
    </row>
    <row r="843" spans="25:44" s="82" customFormat="1" x14ac:dyDescent="0.2">
      <c r="Y843" s="132"/>
      <c r="Z843" s="132"/>
      <c r="AA843" s="132"/>
      <c r="AB843" s="95"/>
      <c r="AC843" s="126"/>
      <c r="AD843" s="340"/>
      <c r="AE843" s="132"/>
      <c r="AF843" s="132"/>
      <c r="AG843" s="132"/>
      <c r="AH843" s="132"/>
      <c r="AI843" s="132"/>
      <c r="AJ843" s="95"/>
      <c r="AK843" s="95"/>
      <c r="AL843" s="95"/>
      <c r="AM843" s="95"/>
      <c r="AN843" s="132"/>
      <c r="AO843" s="132"/>
      <c r="AP843" s="95"/>
      <c r="AQ843" s="132"/>
      <c r="AR843" s="132"/>
    </row>
    <row r="844" spans="25:44" s="82" customFormat="1" x14ac:dyDescent="0.2">
      <c r="Y844" s="132"/>
      <c r="Z844" s="132"/>
      <c r="AA844" s="132"/>
      <c r="AB844" s="95"/>
      <c r="AC844" s="126"/>
      <c r="AD844" s="340"/>
      <c r="AE844" s="132"/>
      <c r="AF844" s="132"/>
      <c r="AG844" s="132"/>
      <c r="AH844" s="132"/>
      <c r="AI844" s="132"/>
      <c r="AJ844" s="95"/>
      <c r="AK844" s="95"/>
      <c r="AL844" s="95"/>
      <c r="AM844" s="95"/>
      <c r="AN844" s="132"/>
      <c r="AO844" s="132"/>
      <c r="AP844" s="95"/>
      <c r="AQ844" s="132"/>
      <c r="AR844" s="132"/>
    </row>
    <row r="845" spans="25:44" s="82" customFormat="1" x14ac:dyDescent="0.2">
      <c r="Y845" s="132"/>
      <c r="Z845" s="132"/>
      <c r="AA845" s="132"/>
      <c r="AB845" s="95"/>
      <c r="AC845" s="126"/>
      <c r="AD845" s="340"/>
      <c r="AE845" s="132"/>
      <c r="AF845" s="132"/>
      <c r="AG845" s="132"/>
      <c r="AH845" s="132"/>
      <c r="AI845" s="132"/>
      <c r="AJ845" s="95"/>
      <c r="AK845" s="95"/>
      <c r="AL845" s="95"/>
      <c r="AM845" s="95"/>
      <c r="AN845" s="132"/>
      <c r="AO845" s="132"/>
      <c r="AP845" s="95"/>
      <c r="AQ845" s="132"/>
      <c r="AR845" s="132"/>
    </row>
    <row r="846" spans="25:44" s="82" customFormat="1" x14ac:dyDescent="0.2">
      <c r="Y846" s="132"/>
      <c r="Z846" s="132"/>
      <c r="AA846" s="132"/>
      <c r="AB846" s="95"/>
      <c r="AC846" s="126"/>
      <c r="AD846" s="340"/>
      <c r="AE846" s="132"/>
      <c r="AF846" s="132"/>
      <c r="AG846" s="132"/>
      <c r="AH846" s="132"/>
      <c r="AI846" s="132"/>
      <c r="AJ846" s="95"/>
      <c r="AK846" s="95"/>
      <c r="AL846" s="95"/>
      <c r="AM846" s="95"/>
      <c r="AN846" s="132"/>
      <c r="AO846" s="132"/>
      <c r="AP846" s="95"/>
      <c r="AQ846" s="132"/>
      <c r="AR846" s="132"/>
    </row>
    <row r="847" spans="25:44" s="82" customFormat="1" x14ac:dyDescent="0.2">
      <c r="Y847" s="132"/>
      <c r="Z847" s="132"/>
      <c r="AA847" s="132"/>
      <c r="AB847" s="95"/>
      <c r="AC847" s="126"/>
      <c r="AD847" s="340"/>
      <c r="AE847" s="132"/>
      <c r="AF847" s="132"/>
      <c r="AG847" s="132"/>
      <c r="AH847" s="132"/>
      <c r="AI847" s="132"/>
      <c r="AJ847" s="95"/>
      <c r="AK847" s="95"/>
      <c r="AL847" s="95"/>
      <c r="AM847" s="95"/>
      <c r="AN847" s="132"/>
      <c r="AO847" s="132"/>
      <c r="AP847" s="95"/>
      <c r="AQ847" s="132"/>
      <c r="AR847" s="132"/>
    </row>
    <row r="848" spans="25:44" s="82" customFormat="1" x14ac:dyDescent="0.2">
      <c r="Y848" s="132"/>
      <c r="Z848" s="132"/>
      <c r="AA848" s="132"/>
      <c r="AB848" s="95"/>
      <c r="AC848" s="126"/>
      <c r="AD848" s="340"/>
      <c r="AE848" s="132"/>
      <c r="AF848" s="132"/>
      <c r="AG848" s="132"/>
      <c r="AH848" s="132"/>
      <c r="AI848" s="132"/>
      <c r="AJ848" s="95"/>
      <c r="AK848" s="95"/>
      <c r="AL848" s="95"/>
      <c r="AM848" s="95"/>
      <c r="AN848" s="132"/>
      <c r="AO848" s="132"/>
      <c r="AP848" s="95"/>
      <c r="AQ848" s="132"/>
      <c r="AR848" s="132"/>
    </row>
    <row r="849" spans="25:44" s="82" customFormat="1" x14ac:dyDescent="0.2">
      <c r="Y849" s="132"/>
      <c r="Z849" s="132"/>
      <c r="AA849" s="132"/>
      <c r="AB849" s="95"/>
      <c r="AC849" s="126"/>
      <c r="AD849" s="340"/>
      <c r="AE849" s="132"/>
      <c r="AF849" s="132"/>
      <c r="AG849" s="132"/>
      <c r="AH849" s="132"/>
      <c r="AI849" s="132"/>
      <c r="AJ849" s="95"/>
      <c r="AK849" s="95"/>
      <c r="AL849" s="95"/>
      <c r="AM849" s="95"/>
      <c r="AN849" s="132"/>
      <c r="AO849" s="132"/>
      <c r="AP849" s="95"/>
      <c r="AQ849" s="132"/>
      <c r="AR849" s="132"/>
    </row>
    <row r="850" spans="25:44" s="82" customFormat="1" x14ac:dyDescent="0.2">
      <c r="Y850" s="132"/>
      <c r="Z850" s="132"/>
      <c r="AA850" s="132"/>
      <c r="AB850" s="95"/>
      <c r="AC850" s="126"/>
      <c r="AD850" s="340"/>
      <c r="AE850" s="132"/>
      <c r="AF850" s="132"/>
      <c r="AG850" s="132"/>
      <c r="AH850" s="132"/>
      <c r="AI850" s="132"/>
      <c r="AJ850" s="95"/>
      <c r="AK850" s="95"/>
      <c r="AL850" s="95"/>
      <c r="AM850" s="95"/>
      <c r="AN850" s="132"/>
      <c r="AO850" s="132"/>
      <c r="AP850" s="95"/>
      <c r="AQ850" s="132"/>
      <c r="AR850" s="132"/>
    </row>
    <row r="851" spans="25:44" s="82" customFormat="1" x14ac:dyDescent="0.2">
      <c r="Y851" s="132"/>
      <c r="Z851" s="132"/>
      <c r="AA851" s="132"/>
      <c r="AB851" s="95"/>
      <c r="AC851" s="126"/>
      <c r="AD851" s="340"/>
      <c r="AE851" s="132"/>
      <c r="AF851" s="132"/>
      <c r="AG851" s="132"/>
      <c r="AH851" s="132"/>
      <c r="AI851" s="132"/>
      <c r="AJ851" s="95"/>
      <c r="AK851" s="95"/>
      <c r="AL851" s="95"/>
      <c r="AM851" s="95"/>
      <c r="AN851" s="132"/>
      <c r="AO851" s="132"/>
      <c r="AP851" s="95"/>
      <c r="AQ851" s="132"/>
      <c r="AR851" s="132"/>
    </row>
    <row r="852" spans="25:44" s="82" customFormat="1" x14ac:dyDescent="0.2">
      <c r="Y852" s="132"/>
      <c r="Z852" s="132"/>
      <c r="AA852" s="132"/>
      <c r="AB852" s="95"/>
      <c r="AC852" s="126"/>
      <c r="AD852" s="340"/>
      <c r="AE852" s="132"/>
      <c r="AF852" s="132"/>
      <c r="AG852" s="132"/>
      <c r="AH852" s="132"/>
      <c r="AI852" s="132"/>
      <c r="AJ852" s="95"/>
      <c r="AK852" s="95"/>
      <c r="AL852" s="95"/>
      <c r="AM852" s="95"/>
      <c r="AN852" s="132"/>
      <c r="AO852" s="132"/>
      <c r="AP852" s="95"/>
      <c r="AQ852" s="132"/>
      <c r="AR852" s="132"/>
    </row>
    <row r="853" spans="25:44" s="82" customFormat="1" x14ac:dyDescent="0.2">
      <c r="Y853" s="132"/>
      <c r="Z853" s="132"/>
      <c r="AA853" s="132"/>
      <c r="AB853" s="95"/>
      <c r="AC853" s="126"/>
      <c r="AD853" s="340"/>
      <c r="AE853" s="132"/>
      <c r="AF853" s="132"/>
      <c r="AG853" s="132"/>
      <c r="AH853" s="132"/>
      <c r="AI853" s="132"/>
      <c r="AJ853" s="95"/>
      <c r="AK853" s="95"/>
      <c r="AL853" s="95"/>
      <c r="AM853" s="95"/>
      <c r="AN853" s="132"/>
      <c r="AO853" s="132"/>
      <c r="AP853" s="95"/>
      <c r="AQ853" s="132"/>
      <c r="AR853" s="132"/>
    </row>
    <row r="854" spans="25:44" s="82" customFormat="1" x14ac:dyDescent="0.2">
      <c r="Y854" s="132"/>
      <c r="Z854" s="132"/>
      <c r="AA854" s="132"/>
      <c r="AB854" s="95"/>
      <c r="AC854" s="126"/>
      <c r="AD854" s="340"/>
      <c r="AE854" s="132"/>
      <c r="AF854" s="132"/>
      <c r="AG854" s="132"/>
      <c r="AH854" s="132"/>
      <c r="AI854" s="132"/>
      <c r="AJ854" s="95"/>
      <c r="AK854" s="95"/>
      <c r="AL854" s="95"/>
      <c r="AM854" s="95"/>
      <c r="AN854" s="132"/>
      <c r="AO854" s="132"/>
      <c r="AP854" s="95"/>
      <c r="AQ854" s="132"/>
      <c r="AR854" s="132"/>
    </row>
    <row r="855" spans="25:44" s="82" customFormat="1" x14ac:dyDescent="0.2">
      <c r="Y855" s="132"/>
      <c r="Z855" s="132"/>
      <c r="AA855" s="132"/>
      <c r="AB855" s="95"/>
      <c r="AC855" s="126"/>
      <c r="AD855" s="340"/>
      <c r="AE855" s="132"/>
      <c r="AF855" s="132"/>
      <c r="AG855" s="132"/>
      <c r="AH855" s="132"/>
      <c r="AI855" s="132"/>
      <c r="AJ855" s="95"/>
      <c r="AK855" s="95"/>
      <c r="AL855" s="95"/>
      <c r="AM855" s="95"/>
      <c r="AN855" s="132"/>
      <c r="AO855" s="132"/>
      <c r="AP855" s="95"/>
      <c r="AQ855" s="132"/>
      <c r="AR855" s="132"/>
    </row>
    <row r="856" spans="25:44" s="82" customFormat="1" x14ac:dyDescent="0.2">
      <c r="Y856" s="132"/>
      <c r="Z856" s="132"/>
      <c r="AA856" s="132"/>
      <c r="AB856" s="95"/>
      <c r="AC856" s="126"/>
      <c r="AD856" s="340"/>
      <c r="AE856" s="132"/>
      <c r="AF856" s="132"/>
      <c r="AG856" s="132"/>
      <c r="AH856" s="132"/>
      <c r="AI856" s="132"/>
      <c r="AJ856" s="95"/>
      <c r="AK856" s="95"/>
      <c r="AL856" s="95"/>
      <c r="AM856" s="95"/>
      <c r="AN856" s="132"/>
      <c r="AO856" s="132"/>
      <c r="AP856" s="95"/>
      <c r="AQ856" s="132"/>
      <c r="AR856" s="132"/>
    </row>
    <row r="857" spans="25:44" s="82" customFormat="1" x14ac:dyDescent="0.2">
      <c r="Y857" s="132"/>
      <c r="Z857" s="132"/>
      <c r="AA857" s="132"/>
      <c r="AB857" s="95"/>
      <c r="AC857" s="126"/>
      <c r="AD857" s="340"/>
      <c r="AE857" s="132"/>
      <c r="AF857" s="132"/>
      <c r="AG857" s="132"/>
      <c r="AH857" s="132"/>
      <c r="AI857" s="132"/>
      <c r="AJ857" s="95"/>
      <c r="AK857" s="95"/>
      <c r="AL857" s="95"/>
      <c r="AM857" s="95"/>
      <c r="AN857" s="132"/>
      <c r="AO857" s="132"/>
      <c r="AP857" s="95"/>
      <c r="AQ857" s="132"/>
      <c r="AR857" s="132"/>
    </row>
    <row r="858" spans="25:44" s="82" customFormat="1" x14ac:dyDescent="0.2">
      <c r="Y858" s="132"/>
      <c r="Z858" s="132"/>
      <c r="AA858" s="132"/>
      <c r="AB858" s="95"/>
      <c r="AC858" s="126"/>
      <c r="AD858" s="340"/>
      <c r="AE858" s="132"/>
      <c r="AF858" s="132"/>
      <c r="AG858" s="132"/>
      <c r="AH858" s="132"/>
      <c r="AI858" s="132"/>
      <c r="AJ858" s="95"/>
      <c r="AK858" s="95"/>
      <c r="AL858" s="95"/>
      <c r="AM858" s="95"/>
      <c r="AN858" s="132"/>
      <c r="AO858" s="132"/>
      <c r="AP858" s="95"/>
      <c r="AQ858" s="132"/>
      <c r="AR858" s="132"/>
    </row>
    <row r="859" spans="25:44" s="82" customFormat="1" x14ac:dyDescent="0.2">
      <c r="Y859" s="132"/>
      <c r="Z859" s="132"/>
      <c r="AA859" s="132"/>
      <c r="AB859" s="95"/>
      <c r="AC859" s="126"/>
      <c r="AD859" s="340"/>
      <c r="AE859" s="132"/>
      <c r="AF859" s="132"/>
      <c r="AG859" s="132"/>
      <c r="AH859" s="132"/>
      <c r="AI859" s="132"/>
      <c r="AJ859" s="95"/>
      <c r="AK859" s="95"/>
      <c r="AL859" s="95"/>
      <c r="AM859" s="95"/>
      <c r="AN859" s="132"/>
      <c r="AO859" s="132"/>
      <c r="AP859" s="95"/>
      <c r="AQ859" s="132"/>
      <c r="AR859" s="132"/>
    </row>
    <row r="860" spans="25:44" s="82" customFormat="1" x14ac:dyDescent="0.2">
      <c r="Y860" s="132"/>
      <c r="Z860" s="132"/>
      <c r="AA860" s="132"/>
      <c r="AB860" s="95"/>
      <c r="AC860" s="126"/>
      <c r="AD860" s="340"/>
      <c r="AE860" s="132"/>
      <c r="AF860" s="132"/>
      <c r="AG860" s="132"/>
      <c r="AH860" s="132"/>
      <c r="AI860" s="132"/>
      <c r="AJ860" s="95"/>
      <c r="AK860" s="95"/>
      <c r="AL860" s="95"/>
      <c r="AM860" s="95"/>
      <c r="AN860" s="132"/>
      <c r="AO860" s="132"/>
      <c r="AP860" s="95"/>
      <c r="AQ860" s="132"/>
      <c r="AR860" s="132"/>
    </row>
    <row r="861" spans="25:44" s="82" customFormat="1" x14ac:dyDescent="0.2">
      <c r="Y861" s="132"/>
      <c r="Z861" s="132"/>
      <c r="AA861" s="132"/>
      <c r="AB861" s="95"/>
      <c r="AC861" s="126"/>
      <c r="AD861" s="340"/>
      <c r="AE861" s="132"/>
      <c r="AF861" s="132"/>
      <c r="AG861" s="132"/>
      <c r="AH861" s="132"/>
      <c r="AI861" s="132"/>
      <c r="AJ861" s="95"/>
      <c r="AK861" s="95"/>
      <c r="AL861" s="95"/>
      <c r="AM861" s="95"/>
      <c r="AN861" s="132"/>
      <c r="AO861" s="132"/>
      <c r="AP861" s="95"/>
      <c r="AQ861" s="132"/>
      <c r="AR861" s="132"/>
    </row>
    <row r="862" spans="25:44" s="82" customFormat="1" x14ac:dyDescent="0.2">
      <c r="Y862" s="132"/>
      <c r="Z862" s="132"/>
      <c r="AA862" s="132"/>
      <c r="AB862" s="95"/>
      <c r="AC862" s="126"/>
      <c r="AD862" s="340"/>
      <c r="AE862" s="132"/>
      <c r="AF862" s="132"/>
      <c r="AG862" s="132"/>
      <c r="AH862" s="132"/>
      <c r="AI862" s="132"/>
      <c r="AJ862" s="95"/>
      <c r="AK862" s="95"/>
      <c r="AL862" s="95"/>
      <c r="AM862" s="95"/>
      <c r="AN862" s="132"/>
      <c r="AO862" s="132"/>
      <c r="AP862" s="95"/>
      <c r="AQ862" s="132"/>
      <c r="AR862" s="132"/>
    </row>
    <row r="863" spans="25:44" s="82" customFormat="1" x14ac:dyDescent="0.2">
      <c r="Y863" s="132"/>
      <c r="Z863" s="132"/>
      <c r="AA863" s="132"/>
      <c r="AB863" s="95"/>
      <c r="AC863" s="126"/>
      <c r="AD863" s="340"/>
      <c r="AE863" s="132"/>
      <c r="AF863" s="132"/>
      <c r="AG863" s="132"/>
      <c r="AH863" s="132"/>
      <c r="AI863" s="132"/>
      <c r="AJ863" s="95"/>
      <c r="AK863" s="95"/>
      <c r="AL863" s="95"/>
      <c r="AM863" s="95"/>
      <c r="AN863" s="132"/>
      <c r="AO863" s="132"/>
      <c r="AP863" s="95"/>
      <c r="AQ863" s="132"/>
      <c r="AR863" s="132"/>
    </row>
    <row r="864" spans="25:44" s="82" customFormat="1" x14ac:dyDescent="0.2">
      <c r="Y864" s="132"/>
      <c r="Z864" s="132"/>
      <c r="AA864" s="132"/>
      <c r="AB864" s="95"/>
      <c r="AC864" s="126"/>
      <c r="AD864" s="340"/>
      <c r="AE864" s="132"/>
      <c r="AF864" s="132"/>
      <c r="AG864" s="132"/>
      <c r="AH864" s="132"/>
      <c r="AI864" s="132"/>
      <c r="AJ864" s="95"/>
      <c r="AK864" s="95"/>
      <c r="AL864" s="95"/>
      <c r="AM864" s="95"/>
      <c r="AN864" s="132"/>
      <c r="AO864" s="132"/>
      <c r="AP864" s="95"/>
      <c r="AQ864" s="132"/>
      <c r="AR864" s="132"/>
    </row>
    <row r="865" spans="25:44" s="82" customFormat="1" x14ac:dyDescent="0.2">
      <c r="Y865" s="132"/>
      <c r="Z865" s="132"/>
      <c r="AA865" s="132"/>
      <c r="AB865" s="95"/>
      <c r="AC865" s="126"/>
      <c r="AD865" s="340"/>
      <c r="AE865" s="132"/>
      <c r="AF865" s="132"/>
      <c r="AG865" s="132"/>
      <c r="AH865" s="132"/>
      <c r="AI865" s="132"/>
      <c r="AJ865" s="95"/>
      <c r="AK865" s="95"/>
      <c r="AL865" s="95"/>
      <c r="AM865" s="95"/>
      <c r="AN865" s="132"/>
      <c r="AO865" s="132"/>
      <c r="AP865" s="95"/>
      <c r="AQ865" s="132"/>
      <c r="AR865" s="132"/>
    </row>
    <row r="866" spans="25:44" s="82" customFormat="1" x14ac:dyDescent="0.2">
      <c r="Y866" s="132"/>
      <c r="Z866" s="132"/>
      <c r="AA866" s="132"/>
      <c r="AB866" s="95"/>
      <c r="AC866" s="126"/>
      <c r="AD866" s="340"/>
      <c r="AE866" s="132"/>
      <c r="AF866" s="132"/>
      <c r="AG866" s="132"/>
      <c r="AH866" s="132"/>
      <c r="AI866" s="132"/>
      <c r="AJ866" s="95"/>
      <c r="AK866" s="95"/>
      <c r="AL866" s="95"/>
      <c r="AM866" s="95"/>
      <c r="AN866" s="132"/>
      <c r="AO866" s="132"/>
      <c r="AP866" s="95"/>
      <c r="AQ866" s="132"/>
      <c r="AR866" s="132"/>
    </row>
    <row r="867" spans="25:44" s="82" customFormat="1" x14ac:dyDescent="0.2">
      <c r="Y867" s="132"/>
      <c r="Z867" s="132"/>
      <c r="AA867" s="132"/>
      <c r="AB867" s="95"/>
      <c r="AC867" s="126"/>
      <c r="AD867" s="340"/>
      <c r="AE867" s="132"/>
      <c r="AF867" s="132"/>
      <c r="AG867" s="132"/>
      <c r="AH867" s="132"/>
      <c r="AI867" s="132"/>
      <c r="AJ867" s="95"/>
      <c r="AK867" s="95"/>
      <c r="AL867" s="95"/>
      <c r="AM867" s="95"/>
      <c r="AN867" s="132"/>
      <c r="AO867" s="132"/>
      <c r="AP867" s="95"/>
      <c r="AQ867" s="132"/>
      <c r="AR867" s="132"/>
    </row>
    <row r="868" spans="25:44" s="82" customFormat="1" x14ac:dyDescent="0.2">
      <c r="Y868" s="132"/>
      <c r="Z868" s="132"/>
      <c r="AA868" s="132"/>
      <c r="AB868" s="95"/>
      <c r="AC868" s="126"/>
      <c r="AD868" s="340"/>
      <c r="AE868" s="132"/>
      <c r="AF868" s="132"/>
      <c r="AG868" s="132"/>
      <c r="AH868" s="132"/>
      <c r="AI868" s="132"/>
      <c r="AJ868" s="95"/>
      <c r="AK868" s="95"/>
      <c r="AL868" s="95"/>
      <c r="AM868" s="95"/>
      <c r="AN868" s="132"/>
      <c r="AO868" s="132"/>
      <c r="AP868" s="95"/>
      <c r="AQ868" s="132"/>
      <c r="AR868" s="132"/>
    </row>
    <row r="869" spans="25:44" s="82" customFormat="1" x14ac:dyDescent="0.2">
      <c r="Y869" s="132"/>
      <c r="Z869" s="132"/>
      <c r="AA869" s="132"/>
      <c r="AB869" s="95"/>
      <c r="AC869" s="126"/>
      <c r="AD869" s="340"/>
      <c r="AE869" s="132"/>
      <c r="AF869" s="132"/>
      <c r="AG869" s="132"/>
      <c r="AH869" s="132"/>
      <c r="AI869" s="132"/>
      <c r="AJ869" s="95"/>
      <c r="AK869" s="95"/>
      <c r="AL869" s="95"/>
      <c r="AM869" s="95"/>
      <c r="AN869" s="132"/>
      <c r="AO869" s="132"/>
      <c r="AP869" s="95"/>
      <c r="AQ869" s="132"/>
      <c r="AR869" s="132"/>
    </row>
    <row r="870" spans="25:44" s="82" customFormat="1" x14ac:dyDescent="0.2">
      <c r="Y870" s="132"/>
      <c r="Z870" s="132"/>
      <c r="AA870" s="132"/>
      <c r="AB870" s="95"/>
      <c r="AC870" s="126"/>
      <c r="AD870" s="340"/>
      <c r="AE870" s="132"/>
      <c r="AF870" s="132"/>
      <c r="AG870" s="132"/>
      <c r="AH870" s="132"/>
      <c r="AI870" s="132"/>
      <c r="AJ870" s="95"/>
      <c r="AK870" s="95"/>
      <c r="AL870" s="95"/>
      <c r="AM870" s="95"/>
      <c r="AN870" s="132"/>
      <c r="AO870" s="132"/>
      <c r="AP870" s="95"/>
      <c r="AQ870" s="132"/>
      <c r="AR870" s="132"/>
    </row>
    <row r="871" spans="25:44" s="82" customFormat="1" x14ac:dyDescent="0.2">
      <c r="Y871" s="132"/>
      <c r="Z871" s="132"/>
      <c r="AA871" s="132"/>
      <c r="AB871" s="95"/>
      <c r="AC871" s="126"/>
      <c r="AD871" s="340"/>
      <c r="AE871" s="132"/>
      <c r="AF871" s="132"/>
      <c r="AG871" s="132"/>
      <c r="AH871" s="132"/>
      <c r="AI871" s="132"/>
      <c r="AJ871" s="95"/>
      <c r="AK871" s="95"/>
      <c r="AL871" s="95"/>
      <c r="AM871" s="95"/>
      <c r="AN871" s="132"/>
      <c r="AO871" s="132"/>
      <c r="AP871" s="95"/>
      <c r="AQ871" s="132"/>
      <c r="AR871" s="132"/>
    </row>
    <row r="872" spans="25:44" s="82" customFormat="1" x14ac:dyDescent="0.2">
      <c r="Y872" s="132"/>
      <c r="Z872" s="132"/>
      <c r="AA872" s="132"/>
      <c r="AB872" s="95"/>
      <c r="AC872" s="126"/>
      <c r="AD872" s="340"/>
      <c r="AE872" s="132"/>
      <c r="AF872" s="132"/>
      <c r="AG872" s="132"/>
      <c r="AH872" s="132"/>
      <c r="AI872" s="132"/>
      <c r="AJ872" s="95"/>
      <c r="AK872" s="95"/>
      <c r="AL872" s="95"/>
      <c r="AM872" s="95"/>
      <c r="AN872" s="132"/>
      <c r="AO872" s="132"/>
      <c r="AP872" s="95"/>
      <c r="AQ872" s="132"/>
      <c r="AR872" s="132"/>
    </row>
    <row r="873" spans="25:44" s="82" customFormat="1" x14ac:dyDescent="0.2">
      <c r="Y873" s="132"/>
      <c r="Z873" s="132"/>
      <c r="AA873" s="132"/>
      <c r="AB873" s="95"/>
      <c r="AC873" s="126"/>
      <c r="AD873" s="340"/>
      <c r="AE873" s="132"/>
      <c r="AF873" s="132"/>
      <c r="AG873" s="132"/>
      <c r="AH873" s="132"/>
      <c r="AI873" s="132"/>
      <c r="AJ873" s="95"/>
      <c r="AK873" s="95"/>
      <c r="AL873" s="95"/>
      <c r="AM873" s="95"/>
      <c r="AN873" s="132"/>
      <c r="AO873" s="132"/>
      <c r="AP873" s="95"/>
      <c r="AQ873" s="132"/>
      <c r="AR873" s="132"/>
    </row>
    <row r="874" spans="25:44" s="82" customFormat="1" x14ac:dyDescent="0.2">
      <c r="Y874" s="132"/>
      <c r="Z874" s="132"/>
      <c r="AA874" s="132"/>
      <c r="AB874" s="95"/>
      <c r="AC874" s="126"/>
      <c r="AD874" s="340"/>
      <c r="AE874" s="132"/>
      <c r="AF874" s="132"/>
      <c r="AG874" s="132"/>
      <c r="AH874" s="132"/>
      <c r="AI874" s="132"/>
      <c r="AJ874" s="95"/>
      <c r="AK874" s="95"/>
      <c r="AL874" s="95"/>
      <c r="AM874" s="95"/>
      <c r="AN874" s="132"/>
      <c r="AO874" s="132"/>
      <c r="AP874" s="95"/>
      <c r="AQ874" s="132"/>
      <c r="AR874" s="132"/>
    </row>
    <row r="875" spans="25:44" s="82" customFormat="1" x14ac:dyDescent="0.2">
      <c r="Y875" s="132"/>
      <c r="Z875" s="132"/>
      <c r="AA875" s="132"/>
      <c r="AB875" s="95"/>
      <c r="AC875" s="126"/>
      <c r="AD875" s="340"/>
      <c r="AE875" s="132"/>
      <c r="AF875" s="132"/>
      <c r="AG875" s="132"/>
      <c r="AH875" s="132"/>
      <c r="AI875" s="132"/>
      <c r="AJ875" s="95"/>
      <c r="AK875" s="95"/>
      <c r="AL875" s="95"/>
      <c r="AM875" s="95"/>
      <c r="AN875" s="132"/>
      <c r="AO875" s="132"/>
      <c r="AP875" s="95"/>
      <c r="AQ875" s="132"/>
      <c r="AR875" s="132"/>
    </row>
    <row r="876" spans="25:44" s="82" customFormat="1" x14ac:dyDescent="0.2">
      <c r="Y876" s="132"/>
      <c r="Z876" s="132"/>
      <c r="AA876" s="132"/>
      <c r="AB876" s="95"/>
      <c r="AC876" s="126"/>
      <c r="AD876" s="340"/>
      <c r="AE876" s="132"/>
      <c r="AF876" s="132"/>
      <c r="AG876" s="132"/>
      <c r="AH876" s="132"/>
      <c r="AI876" s="132"/>
      <c r="AJ876" s="95"/>
      <c r="AK876" s="95"/>
      <c r="AL876" s="95"/>
      <c r="AM876" s="95"/>
      <c r="AN876" s="132"/>
      <c r="AO876" s="132"/>
      <c r="AP876" s="95"/>
      <c r="AQ876" s="132"/>
      <c r="AR876" s="132"/>
    </row>
    <row r="877" spans="25:44" s="82" customFormat="1" x14ac:dyDescent="0.2">
      <c r="Y877" s="132"/>
      <c r="Z877" s="132"/>
      <c r="AA877" s="132"/>
      <c r="AB877" s="95"/>
      <c r="AC877" s="126"/>
      <c r="AD877" s="340"/>
      <c r="AE877" s="132"/>
      <c r="AF877" s="132"/>
      <c r="AG877" s="132"/>
      <c r="AH877" s="132"/>
      <c r="AI877" s="132"/>
      <c r="AJ877" s="95"/>
      <c r="AK877" s="95"/>
      <c r="AL877" s="95"/>
      <c r="AM877" s="95"/>
      <c r="AN877" s="132"/>
      <c r="AO877" s="132"/>
      <c r="AP877" s="95"/>
      <c r="AQ877" s="132"/>
      <c r="AR877" s="132"/>
    </row>
    <row r="878" spans="25:44" s="82" customFormat="1" x14ac:dyDescent="0.2">
      <c r="Y878" s="132"/>
      <c r="Z878" s="132"/>
      <c r="AA878" s="132"/>
      <c r="AB878" s="95"/>
      <c r="AC878" s="126"/>
      <c r="AD878" s="340"/>
      <c r="AE878" s="132"/>
      <c r="AF878" s="132"/>
      <c r="AG878" s="132"/>
      <c r="AH878" s="132"/>
      <c r="AI878" s="132"/>
      <c r="AJ878" s="95"/>
      <c r="AK878" s="95"/>
      <c r="AL878" s="95"/>
      <c r="AM878" s="95"/>
      <c r="AN878" s="132"/>
      <c r="AO878" s="132"/>
      <c r="AP878" s="95"/>
      <c r="AQ878" s="132"/>
      <c r="AR878" s="132"/>
    </row>
    <row r="879" spans="25:44" s="82" customFormat="1" x14ac:dyDescent="0.2">
      <c r="Y879" s="132"/>
      <c r="Z879" s="132"/>
      <c r="AA879" s="132"/>
      <c r="AB879" s="95"/>
      <c r="AC879" s="126"/>
      <c r="AD879" s="340"/>
      <c r="AE879" s="132"/>
      <c r="AF879" s="132"/>
      <c r="AG879" s="132"/>
      <c r="AH879" s="132"/>
      <c r="AI879" s="132"/>
      <c r="AJ879" s="95"/>
      <c r="AK879" s="95"/>
      <c r="AL879" s="95"/>
      <c r="AM879" s="95"/>
      <c r="AN879" s="132"/>
      <c r="AO879" s="132"/>
      <c r="AP879" s="95"/>
      <c r="AQ879" s="132"/>
      <c r="AR879" s="132"/>
    </row>
    <row r="880" spans="25:44" s="82" customFormat="1" x14ac:dyDescent="0.2">
      <c r="Y880" s="132"/>
      <c r="Z880" s="132"/>
      <c r="AA880" s="132"/>
      <c r="AB880" s="95"/>
      <c r="AC880" s="126"/>
      <c r="AD880" s="340"/>
      <c r="AE880" s="132"/>
      <c r="AF880" s="132"/>
      <c r="AG880" s="132"/>
      <c r="AH880" s="132"/>
      <c r="AI880" s="132"/>
      <c r="AJ880" s="95"/>
      <c r="AK880" s="95"/>
      <c r="AL880" s="95"/>
      <c r="AM880" s="95"/>
      <c r="AN880" s="132"/>
      <c r="AO880" s="132"/>
      <c r="AP880" s="95"/>
      <c r="AQ880" s="132"/>
      <c r="AR880" s="132"/>
    </row>
    <row r="881" spans="25:44" s="82" customFormat="1" x14ac:dyDescent="0.2">
      <c r="Y881" s="132"/>
      <c r="Z881" s="132"/>
      <c r="AA881" s="132"/>
      <c r="AB881" s="95"/>
      <c r="AC881" s="126"/>
      <c r="AD881" s="340"/>
      <c r="AE881" s="132"/>
      <c r="AF881" s="132"/>
      <c r="AG881" s="132"/>
      <c r="AH881" s="132"/>
      <c r="AI881" s="132"/>
      <c r="AJ881" s="95"/>
      <c r="AK881" s="95"/>
      <c r="AL881" s="95"/>
      <c r="AM881" s="95"/>
      <c r="AN881" s="132"/>
      <c r="AO881" s="132"/>
      <c r="AP881" s="95"/>
      <c r="AQ881" s="132"/>
      <c r="AR881" s="132"/>
    </row>
    <row r="882" spans="25:44" s="82" customFormat="1" x14ac:dyDescent="0.2">
      <c r="Y882" s="132"/>
      <c r="Z882" s="132"/>
      <c r="AA882" s="132"/>
      <c r="AB882" s="95"/>
      <c r="AC882" s="126"/>
      <c r="AD882" s="340"/>
      <c r="AE882" s="132"/>
      <c r="AF882" s="132"/>
      <c r="AG882" s="132"/>
      <c r="AH882" s="132"/>
      <c r="AI882" s="132"/>
      <c r="AJ882" s="95"/>
      <c r="AK882" s="95"/>
      <c r="AL882" s="95"/>
      <c r="AM882" s="95"/>
      <c r="AN882" s="132"/>
      <c r="AO882" s="132"/>
      <c r="AP882" s="95"/>
      <c r="AQ882" s="132"/>
      <c r="AR882" s="132"/>
    </row>
    <row r="883" spans="25:44" s="82" customFormat="1" x14ac:dyDescent="0.2">
      <c r="Y883" s="132"/>
      <c r="Z883" s="132"/>
      <c r="AA883" s="132"/>
      <c r="AB883" s="95"/>
      <c r="AC883" s="126"/>
      <c r="AD883" s="340"/>
      <c r="AE883" s="132"/>
      <c r="AF883" s="132"/>
      <c r="AG883" s="132"/>
      <c r="AH883" s="132"/>
      <c r="AI883" s="132"/>
      <c r="AJ883" s="95"/>
      <c r="AK883" s="95"/>
      <c r="AL883" s="95"/>
      <c r="AM883" s="95"/>
      <c r="AN883" s="132"/>
      <c r="AO883" s="132"/>
      <c r="AP883" s="95"/>
      <c r="AQ883" s="132"/>
      <c r="AR883" s="132"/>
    </row>
    <row r="884" spans="25:44" s="82" customFormat="1" x14ac:dyDescent="0.2">
      <c r="Y884" s="132"/>
      <c r="Z884" s="132"/>
      <c r="AA884" s="132"/>
      <c r="AB884" s="95"/>
      <c r="AC884" s="126"/>
      <c r="AD884" s="340"/>
      <c r="AE884" s="132"/>
      <c r="AF884" s="132"/>
      <c r="AG884" s="132"/>
      <c r="AH884" s="132"/>
      <c r="AI884" s="132"/>
      <c r="AJ884" s="95"/>
      <c r="AK884" s="95"/>
      <c r="AL884" s="95"/>
      <c r="AM884" s="95"/>
      <c r="AN884" s="132"/>
      <c r="AO884" s="132"/>
      <c r="AP884" s="95"/>
      <c r="AQ884" s="132"/>
      <c r="AR884" s="132"/>
    </row>
    <row r="885" spans="25:44" s="82" customFormat="1" x14ac:dyDescent="0.2">
      <c r="Y885" s="132"/>
      <c r="Z885" s="132"/>
      <c r="AA885" s="132"/>
      <c r="AB885" s="95"/>
      <c r="AC885" s="126"/>
      <c r="AD885" s="340"/>
      <c r="AE885" s="132"/>
      <c r="AF885" s="132"/>
      <c r="AG885" s="132"/>
      <c r="AH885" s="132"/>
      <c r="AI885" s="132"/>
      <c r="AJ885" s="95"/>
      <c r="AK885" s="95"/>
      <c r="AL885" s="95"/>
      <c r="AM885" s="95"/>
      <c r="AN885" s="132"/>
      <c r="AO885" s="132"/>
      <c r="AP885" s="95"/>
      <c r="AQ885" s="132"/>
      <c r="AR885" s="132"/>
    </row>
    <row r="886" spans="25:44" s="82" customFormat="1" x14ac:dyDescent="0.2">
      <c r="Y886" s="132"/>
      <c r="Z886" s="132"/>
      <c r="AA886" s="132"/>
      <c r="AB886" s="95"/>
      <c r="AC886" s="126"/>
      <c r="AD886" s="340"/>
      <c r="AE886" s="132"/>
      <c r="AF886" s="132"/>
      <c r="AG886" s="132"/>
      <c r="AH886" s="132"/>
      <c r="AI886" s="132"/>
      <c r="AJ886" s="95"/>
      <c r="AK886" s="95"/>
      <c r="AL886" s="95"/>
      <c r="AM886" s="95"/>
      <c r="AN886" s="132"/>
      <c r="AO886" s="132"/>
      <c r="AP886" s="95"/>
      <c r="AQ886" s="132"/>
      <c r="AR886" s="132"/>
    </row>
    <row r="887" spans="25:44" s="82" customFormat="1" x14ac:dyDescent="0.2">
      <c r="Y887" s="132"/>
      <c r="Z887" s="132"/>
      <c r="AA887" s="132"/>
      <c r="AB887" s="95"/>
      <c r="AC887" s="126"/>
      <c r="AD887" s="340"/>
      <c r="AE887" s="132"/>
      <c r="AF887" s="132"/>
      <c r="AG887" s="132"/>
      <c r="AH887" s="132"/>
      <c r="AI887" s="132"/>
      <c r="AJ887" s="95"/>
      <c r="AK887" s="95"/>
      <c r="AL887" s="95"/>
      <c r="AM887" s="95"/>
      <c r="AN887" s="132"/>
      <c r="AO887" s="132"/>
      <c r="AP887" s="95"/>
      <c r="AQ887" s="132"/>
      <c r="AR887" s="132"/>
    </row>
    <row r="888" spans="25:44" s="82" customFormat="1" x14ac:dyDescent="0.2">
      <c r="Y888" s="132"/>
      <c r="Z888" s="132"/>
      <c r="AA888" s="132"/>
      <c r="AB888" s="95"/>
      <c r="AC888" s="126"/>
      <c r="AD888" s="340"/>
      <c r="AE888" s="132"/>
      <c r="AF888" s="132"/>
      <c r="AG888" s="132"/>
      <c r="AH888" s="132"/>
      <c r="AI888" s="132"/>
      <c r="AJ888" s="95"/>
      <c r="AK888" s="95"/>
      <c r="AL888" s="95"/>
      <c r="AM888" s="95"/>
      <c r="AN888" s="132"/>
      <c r="AO888" s="132"/>
      <c r="AP888" s="95"/>
      <c r="AQ888" s="132"/>
      <c r="AR888" s="132"/>
    </row>
    <row r="889" spans="25:44" s="82" customFormat="1" x14ac:dyDescent="0.2">
      <c r="Y889" s="132"/>
      <c r="Z889" s="132"/>
      <c r="AA889" s="132"/>
      <c r="AB889" s="95"/>
      <c r="AC889" s="126"/>
      <c r="AD889" s="340"/>
      <c r="AE889" s="132"/>
      <c r="AF889" s="132"/>
      <c r="AG889" s="132"/>
      <c r="AH889" s="132"/>
      <c r="AI889" s="132"/>
      <c r="AJ889" s="95"/>
      <c r="AK889" s="95"/>
      <c r="AL889" s="95"/>
      <c r="AM889" s="95"/>
      <c r="AN889" s="132"/>
      <c r="AO889" s="132"/>
      <c r="AP889" s="95"/>
      <c r="AQ889" s="132"/>
      <c r="AR889" s="132"/>
    </row>
    <row r="890" spans="25:44" s="82" customFormat="1" x14ac:dyDescent="0.2">
      <c r="Y890" s="132"/>
      <c r="Z890" s="132"/>
      <c r="AA890" s="132"/>
      <c r="AB890" s="95"/>
      <c r="AC890" s="126"/>
      <c r="AD890" s="340"/>
      <c r="AE890" s="132"/>
      <c r="AF890" s="132"/>
      <c r="AG890" s="132"/>
      <c r="AH890" s="132"/>
      <c r="AI890" s="132"/>
      <c r="AJ890" s="95"/>
      <c r="AK890" s="95"/>
      <c r="AL890" s="95"/>
      <c r="AM890" s="95"/>
      <c r="AN890" s="132"/>
      <c r="AO890" s="132"/>
      <c r="AP890" s="95"/>
      <c r="AQ890" s="132"/>
      <c r="AR890" s="132"/>
    </row>
    <row r="891" spans="25:44" s="82" customFormat="1" x14ac:dyDescent="0.2">
      <c r="Y891" s="132"/>
      <c r="Z891" s="132"/>
      <c r="AA891" s="132"/>
      <c r="AB891" s="95"/>
      <c r="AC891" s="126"/>
      <c r="AD891" s="340"/>
      <c r="AE891" s="132"/>
      <c r="AF891" s="132"/>
      <c r="AG891" s="132"/>
      <c r="AH891" s="132"/>
      <c r="AI891" s="132"/>
      <c r="AJ891" s="95"/>
      <c r="AK891" s="95"/>
      <c r="AL891" s="95"/>
      <c r="AM891" s="95"/>
      <c r="AN891" s="132"/>
      <c r="AO891" s="132"/>
      <c r="AP891" s="95"/>
      <c r="AQ891" s="132"/>
      <c r="AR891" s="132"/>
    </row>
    <row r="892" spans="25:44" s="82" customFormat="1" x14ac:dyDescent="0.2">
      <c r="Y892" s="132"/>
      <c r="Z892" s="132"/>
      <c r="AA892" s="132"/>
      <c r="AB892" s="95"/>
      <c r="AC892" s="126"/>
      <c r="AD892" s="340"/>
      <c r="AE892" s="132"/>
      <c r="AF892" s="132"/>
      <c r="AG892" s="132"/>
      <c r="AH892" s="132"/>
      <c r="AI892" s="132"/>
      <c r="AJ892" s="95"/>
      <c r="AK892" s="95"/>
      <c r="AL892" s="95"/>
      <c r="AM892" s="95"/>
      <c r="AN892" s="132"/>
      <c r="AO892" s="132"/>
      <c r="AP892" s="95"/>
      <c r="AQ892" s="132"/>
      <c r="AR892" s="132"/>
    </row>
    <row r="893" spans="25:44" s="82" customFormat="1" x14ac:dyDescent="0.2">
      <c r="Y893" s="132"/>
      <c r="Z893" s="132"/>
      <c r="AA893" s="132"/>
      <c r="AB893" s="95"/>
      <c r="AC893" s="126"/>
      <c r="AD893" s="340"/>
      <c r="AE893" s="132"/>
      <c r="AF893" s="132"/>
      <c r="AG893" s="132"/>
      <c r="AH893" s="132"/>
      <c r="AI893" s="132"/>
      <c r="AJ893" s="95"/>
      <c r="AK893" s="95"/>
      <c r="AL893" s="95"/>
      <c r="AM893" s="95"/>
      <c r="AN893" s="132"/>
      <c r="AO893" s="132"/>
      <c r="AP893" s="95"/>
      <c r="AQ893" s="132"/>
      <c r="AR893" s="132"/>
    </row>
    <row r="894" spans="25:44" s="82" customFormat="1" x14ac:dyDescent="0.2">
      <c r="Y894" s="132"/>
      <c r="Z894" s="132"/>
      <c r="AA894" s="132"/>
      <c r="AB894" s="95"/>
      <c r="AC894" s="126"/>
      <c r="AD894" s="340"/>
      <c r="AE894" s="132"/>
      <c r="AF894" s="132"/>
      <c r="AG894" s="132"/>
      <c r="AH894" s="132"/>
      <c r="AI894" s="132"/>
      <c r="AJ894" s="95"/>
      <c r="AK894" s="95"/>
      <c r="AL894" s="95"/>
      <c r="AM894" s="95"/>
      <c r="AN894" s="132"/>
      <c r="AO894" s="132"/>
      <c r="AP894" s="95"/>
      <c r="AQ894" s="132"/>
      <c r="AR894" s="132"/>
    </row>
    <row r="895" spans="25:44" s="82" customFormat="1" x14ac:dyDescent="0.2">
      <c r="Y895" s="132"/>
      <c r="Z895" s="132"/>
      <c r="AA895" s="132"/>
      <c r="AB895" s="95"/>
      <c r="AC895" s="126"/>
      <c r="AD895" s="340"/>
      <c r="AE895" s="132"/>
      <c r="AF895" s="132"/>
      <c r="AG895" s="132"/>
      <c r="AH895" s="132"/>
      <c r="AI895" s="132"/>
      <c r="AJ895" s="95"/>
      <c r="AK895" s="95"/>
      <c r="AL895" s="95"/>
      <c r="AM895" s="95"/>
      <c r="AN895" s="132"/>
      <c r="AO895" s="132"/>
      <c r="AP895" s="95"/>
      <c r="AQ895" s="132"/>
      <c r="AR895" s="132"/>
    </row>
    <row r="896" spans="25:44" s="82" customFormat="1" x14ac:dyDescent="0.2">
      <c r="Y896" s="132"/>
      <c r="Z896" s="132"/>
      <c r="AA896" s="132"/>
      <c r="AB896" s="95"/>
      <c r="AC896" s="126"/>
      <c r="AD896" s="340"/>
      <c r="AE896" s="132"/>
      <c r="AF896" s="132"/>
      <c r="AG896" s="132"/>
      <c r="AH896" s="132"/>
      <c r="AI896" s="132"/>
      <c r="AJ896" s="95"/>
      <c r="AK896" s="95"/>
      <c r="AL896" s="95"/>
      <c r="AM896" s="95"/>
      <c r="AN896" s="132"/>
      <c r="AO896" s="132"/>
      <c r="AP896" s="95"/>
      <c r="AQ896" s="132"/>
      <c r="AR896" s="132"/>
    </row>
    <row r="897" spans="25:44" s="82" customFormat="1" x14ac:dyDescent="0.2">
      <c r="Y897" s="132"/>
      <c r="Z897" s="132"/>
      <c r="AA897" s="132"/>
      <c r="AB897" s="95"/>
      <c r="AC897" s="126"/>
      <c r="AD897" s="340"/>
      <c r="AE897" s="132"/>
      <c r="AF897" s="132"/>
      <c r="AG897" s="132"/>
      <c r="AH897" s="132"/>
      <c r="AI897" s="132"/>
      <c r="AJ897" s="95"/>
      <c r="AK897" s="95"/>
      <c r="AL897" s="95"/>
      <c r="AM897" s="95"/>
      <c r="AN897" s="132"/>
      <c r="AO897" s="132"/>
      <c r="AP897" s="95"/>
      <c r="AQ897" s="132"/>
      <c r="AR897" s="132"/>
    </row>
    <row r="898" spans="25:44" s="82" customFormat="1" x14ac:dyDescent="0.2">
      <c r="Y898" s="132"/>
      <c r="Z898" s="132"/>
      <c r="AA898" s="132"/>
      <c r="AB898" s="95"/>
      <c r="AC898" s="126"/>
      <c r="AD898" s="340"/>
      <c r="AE898" s="132"/>
      <c r="AF898" s="132"/>
      <c r="AG898" s="132"/>
      <c r="AH898" s="132"/>
      <c r="AI898" s="132"/>
      <c r="AJ898" s="95"/>
      <c r="AK898" s="95"/>
      <c r="AL898" s="95"/>
      <c r="AM898" s="95"/>
      <c r="AN898" s="132"/>
      <c r="AO898" s="132"/>
      <c r="AP898" s="95"/>
      <c r="AQ898" s="132"/>
      <c r="AR898" s="132"/>
    </row>
    <row r="899" spans="25:44" s="82" customFormat="1" x14ac:dyDescent="0.2">
      <c r="Y899" s="132"/>
      <c r="Z899" s="132"/>
      <c r="AA899" s="132"/>
      <c r="AB899" s="95"/>
      <c r="AC899" s="126"/>
      <c r="AD899" s="340"/>
      <c r="AE899" s="132"/>
      <c r="AF899" s="132"/>
      <c r="AG899" s="132"/>
      <c r="AH899" s="132"/>
      <c r="AI899" s="132"/>
      <c r="AJ899" s="95"/>
      <c r="AK899" s="95"/>
      <c r="AL899" s="95"/>
      <c r="AM899" s="95"/>
      <c r="AN899" s="132"/>
      <c r="AO899" s="132"/>
      <c r="AP899" s="95"/>
      <c r="AQ899" s="132"/>
      <c r="AR899" s="132"/>
    </row>
    <row r="900" spans="25:44" s="82" customFormat="1" x14ac:dyDescent="0.2">
      <c r="Y900" s="132"/>
      <c r="Z900" s="132"/>
      <c r="AA900" s="132"/>
      <c r="AB900" s="95"/>
      <c r="AC900" s="126"/>
      <c r="AD900" s="340"/>
      <c r="AE900" s="132"/>
      <c r="AF900" s="132"/>
      <c r="AG900" s="132"/>
      <c r="AH900" s="132"/>
      <c r="AI900" s="132"/>
      <c r="AJ900" s="95"/>
      <c r="AK900" s="95"/>
      <c r="AL900" s="95"/>
      <c r="AM900" s="95"/>
      <c r="AN900" s="132"/>
      <c r="AO900" s="132"/>
      <c r="AP900" s="95"/>
      <c r="AQ900" s="132"/>
      <c r="AR900" s="132"/>
    </row>
    <row r="901" spans="25:44" s="82" customFormat="1" x14ac:dyDescent="0.2">
      <c r="Y901" s="132"/>
      <c r="Z901" s="132"/>
      <c r="AA901" s="132"/>
      <c r="AB901" s="95"/>
      <c r="AC901" s="126"/>
      <c r="AD901" s="340"/>
      <c r="AE901" s="132"/>
      <c r="AF901" s="132"/>
      <c r="AG901" s="132"/>
      <c r="AH901" s="132"/>
      <c r="AI901" s="132"/>
      <c r="AJ901" s="95"/>
      <c r="AK901" s="95"/>
      <c r="AL901" s="95"/>
      <c r="AM901" s="95"/>
      <c r="AN901" s="132"/>
      <c r="AO901" s="132"/>
      <c r="AP901" s="95"/>
      <c r="AQ901" s="132"/>
      <c r="AR901" s="132"/>
    </row>
    <row r="902" spans="25:44" s="82" customFormat="1" x14ac:dyDescent="0.2">
      <c r="Y902" s="132"/>
      <c r="Z902" s="132"/>
      <c r="AA902" s="132"/>
      <c r="AB902" s="95"/>
      <c r="AC902" s="126"/>
      <c r="AD902" s="340"/>
      <c r="AE902" s="132"/>
      <c r="AF902" s="132"/>
      <c r="AG902" s="132"/>
      <c r="AH902" s="132"/>
      <c r="AI902" s="132"/>
      <c r="AJ902" s="95"/>
      <c r="AK902" s="95"/>
      <c r="AL902" s="95"/>
      <c r="AM902" s="95"/>
      <c r="AN902" s="132"/>
      <c r="AO902" s="132"/>
      <c r="AP902" s="95"/>
      <c r="AQ902" s="132"/>
      <c r="AR902" s="132"/>
    </row>
    <row r="903" spans="25:44" s="82" customFormat="1" x14ac:dyDescent="0.2">
      <c r="Y903" s="132"/>
      <c r="Z903" s="132"/>
      <c r="AA903" s="132"/>
      <c r="AB903" s="95"/>
      <c r="AC903" s="126"/>
      <c r="AD903" s="340"/>
      <c r="AE903" s="132"/>
      <c r="AF903" s="132"/>
      <c r="AG903" s="132"/>
      <c r="AH903" s="132"/>
      <c r="AI903" s="132"/>
      <c r="AJ903" s="95"/>
      <c r="AK903" s="95"/>
      <c r="AL903" s="95"/>
      <c r="AM903" s="95"/>
      <c r="AN903" s="132"/>
      <c r="AO903" s="132"/>
      <c r="AP903" s="95"/>
      <c r="AQ903" s="132"/>
      <c r="AR903" s="132"/>
    </row>
    <row r="904" spans="25:44" s="82" customFormat="1" x14ac:dyDescent="0.2">
      <c r="Y904" s="132"/>
      <c r="Z904" s="132"/>
      <c r="AA904" s="132"/>
      <c r="AB904" s="95"/>
      <c r="AC904" s="126"/>
      <c r="AD904" s="340"/>
      <c r="AE904" s="132"/>
      <c r="AF904" s="132"/>
      <c r="AG904" s="132"/>
      <c r="AH904" s="132"/>
      <c r="AI904" s="132"/>
      <c r="AJ904" s="95"/>
      <c r="AK904" s="95"/>
      <c r="AL904" s="95"/>
      <c r="AM904" s="95"/>
      <c r="AN904" s="132"/>
      <c r="AO904" s="132"/>
      <c r="AP904" s="95"/>
      <c r="AQ904" s="132"/>
      <c r="AR904" s="132"/>
    </row>
    <row r="905" spans="25:44" s="82" customFormat="1" x14ac:dyDescent="0.2">
      <c r="Y905" s="132"/>
      <c r="Z905" s="132"/>
      <c r="AA905" s="132"/>
      <c r="AB905" s="95"/>
      <c r="AC905" s="126"/>
      <c r="AD905" s="340"/>
      <c r="AE905" s="132"/>
      <c r="AF905" s="132"/>
      <c r="AG905" s="132"/>
      <c r="AH905" s="132"/>
      <c r="AI905" s="132"/>
      <c r="AJ905" s="95"/>
      <c r="AK905" s="95"/>
      <c r="AL905" s="95"/>
      <c r="AM905" s="95"/>
      <c r="AN905" s="132"/>
      <c r="AO905" s="132"/>
      <c r="AP905" s="95"/>
      <c r="AQ905" s="132"/>
      <c r="AR905" s="132"/>
    </row>
    <row r="906" spans="25:44" s="82" customFormat="1" x14ac:dyDescent="0.2">
      <c r="Y906" s="132"/>
      <c r="Z906" s="132"/>
      <c r="AA906" s="132"/>
      <c r="AB906" s="95"/>
      <c r="AC906" s="126"/>
      <c r="AD906" s="340"/>
      <c r="AE906" s="132"/>
      <c r="AF906" s="132"/>
      <c r="AG906" s="132"/>
      <c r="AH906" s="132"/>
      <c r="AI906" s="132"/>
      <c r="AJ906" s="95"/>
      <c r="AK906" s="95"/>
      <c r="AL906" s="95"/>
      <c r="AM906" s="95"/>
      <c r="AN906" s="132"/>
      <c r="AO906" s="132"/>
      <c r="AP906" s="95"/>
      <c r="AQ906" s="132"/>
      <c r="AR906" s="132"/>
    </row>
    <row r="907" spans="25:44" s="82" customFormat="1" x14ac:dyDescent="0.2">
      <c r="Y907" s="132"/>
      <c r="Z907" s="132"/>
      <c r="AA907" s="132"/>
      <c r="AB907" s="95"/>
      <c r="AC907" s="126"/>
      <c r="AD907" s="340"/>
      <c r="AE907" s="132"/>
      <c r="AF907" s="132"/>
      <c r="AG907" s="132"/>
      <c r="AH907" s="132"/>
      <c r="AI907" s="132"/>
      <c r="AJ907" s="95"/>
      <c r="AK907" s="95"/>
      <c r="AL907" s="95"/>
      <c r="AM907" s="95"/>
      <c r="AN907" s="132"/>
      <c r="AO907" s="132"/>
      <c r="AP907" s="95"/>
      <c r="AQ907" s="132"/>
      <c r="AR907" s="132"/>
    </row>
    <row r="908" spans="25:44" s="82" customFormat="1" x14ac:dyDescent="0.2">
      <c r="Y908" s="132"/>
      <c r="Z908" s="132"/>
      <c r="AA908" s="132"/>
      <c r="AB908" s="95"/>
      <c r="AC908" s="126"/>
      <c r="AD908" s="340"/>
      <c r="AE908" s="132"/>
      <c r="AF908" s="132"/>
      <c r="AG908" s="132"/>
      <c r="AH908" s="132"/>
      <c r="AI908" s="132"/>
      <c r="AJ908" s="95"/>
      <c r="AK908" s="95"/>
      <c r="AL908" s="95"/>
      <c r="AM908" s="95"/>
      <c r="AN908" s="132"/>
      <c r="AO908" s="132"/>
      <c r="AP908" s="95"/>
      <c r="AQ908" s="132"/>
      <c r="AR908" s="132"/>
    </row>
    <row r="909" spans="25:44" s="82" customFormat="1" x14ac:dyDescent="0.2">
      <c r="Y909" s="132"/>
      <c r="Z909" s="132"/>
      <c r="AA909" s="132"/>
      <c r="AB909" s="95"/>
      <c r="AC909" s="126"/>
      <c r="AD909" s="340"/>
      <c r="AE909" s="132"/>
      <c r="AF909" s="132"/>
      <c r="AG909" s="132"/>
      <c r="AH909" s="132"/>
      <c r="AI909" s="132"/>
      <c r="AJ909" s="95"/>
      <c r="AK909" s="95"/>
      <c r="AL909" s="95"/>
      <c r="AM909" s="95"/>
      <c r="AN909" s="132"/>
      <c r="AO909" s="132"/>
      <c r="AP909" s="95"/>
      <c r="AQ909" s="132"/>
      <c r="AR909" s="132"/>
    </row>
    <row r="910" spans="25:44" s="82" customFormat="1" x14ac:dyDescent="0.2">
      <c r="Y910" s="132"/>
      <c r="Z910" s="132"/>
      <c r="AA910" s="132"/>
      <c r="AB910" s="95"/>
      <c r="AC910" s="126"/>
      <c r="AD910" s="340"/>
      <c r="AE910" s="132"/>
      <c r="AF910" s="132"/>
      <c r="AG910" s="132"/>
      <c r="AH910" s="132"/>
      <c r="AI910" s="132"/>
      <c r="AJ910" s="95"/>
      <c r="AK910" s="95"/>
      <c r="AL910" s="95"/>
      <c r="AM910" s="95"/>
      <c r="AN910" s="132"/>
      <c r="AO910" s="132"/>
      <c r="AP910" s="95"/>
      <c r="AQ910" s="132"/>
      <c r="AR910" s="132"/>
    </row>
    <row r="911" spans="25:44" s="82" customFormat="1" x14ac:dyDescent="0.2">
      <c r="Y911" s="132"/>
      <c r="Z911" s="132"/>
      <c r="AA911" s="132"/>
      <c r="AB911" s="95"/>
      <c r="AC911" s="126"/>
      <c r="AD911" s="340"/>
      <c r="AE911" s="132"/>
      <c r="AF911" s="132"/>
      <c r="AG911" s="132"/>
      <c r="AH911" s="132"/>
      <c r="AI911" s="132"/>
      <c r="AJ911" s="95"/>
      <c r="AK911" s="95"/>
      <c r="AL911" s="95"/>
      <c r="AM911" s="95"/>
      <c r="AN911" s="132"/>
      <c r="AO911" s="132"/>
      <c r="AP911" s="95"/>
      <c r="AQ911" s="132"/>
      <c r="AR911" s="132"/>
    </row>
    <row r="912" spans="25:44" s="82" customFormat="1" x14ac:dyDescent="0.2">
      <c r="Y912" s="132"/>
      <c r="Z912" s="132"/>
      <c r="AA912" s="132"/>
      <c r="AB912" s="95"/>
      <c r="AC912" s="126"/>
      <c r="AD912" s="340"/>
      <c r="AE912" s="132"/>
      <c r="AF912" s="132"/>
      <c r="AG912" s="132"/>
      <c r="AH912" s="132"/>
      <c r="AI912" s="132"/>
      <c r="AJ912" s="95"/>
      <c r="AK912" s="95"/>
      <c r="AL912" s="95"/>
      <c r="AM912" s="95"/>
      <c r="AN912" s="132"/>
      <c r="AO912" s="132"/>
      <c r="AP912" s="95"/>
      <c r="AQ912" s="132"/>
      <c r="AR912" s="132"/>
    </row>
    <row r="913" spans="25:44" s="82" customFormat="1" x14ac:dyDescent="0.2">
      <c r="Y913" s="132"/>
      <c r="Z913" s="132"/>
      <c r="AA913" s="132"/>
      <c r="AB913" s="95"/>
      <c r="AC913" s="126"/>
      <c r="AD913" s="340"/>
      <c r="AE913" s="132"/>
      <c r="AF913" s="132"/>
      <c r="AG913" s="132"/>
      <c r="AH913" s="132"/>
      <c r="AI913" s="132"/>
      <c r="AJ913" s="95"/>
      <c r="AK913" s="95"/>
      <c r="AL913" s="95"/>
      <c r="AM913" s="95"/>
      <c r="AN913" s="132"/>
      <c r="AO913" s="132"/>
      <c r="AP913" s="95"/>
      <c r="AQ913" s="132"/>
      <c r="AR913" s="132"/>
    </row>
    <row r="914" spans="25:44" s="82" customFormat="1" x14ac:dyDescent="0.2">
      <c r="Y914" s="132"/>
      <c r="Z914" s="132"/>
      <c r="AA914" s="132"/>
      <c r="AB914" s="95"/>
      <c r="AC914" s="126"/>
      <c r="AD914" s="340"/>
      <c r="AE914" s="132"/>
      <c r="AF914" s="132"/>
      <c r="AG914" s="132"/>
      <c r="AH914" s="132"/>
      <c r="AI914" s="132"/>
      <c r="AJ914" s="95"/>
      <c r="AK914" s="95"/>
      <c r="AL914" s="95"/>
      <c r="AM914" s="95"/>
      <c r="AN914" s="132"/>
      <c r="AO914" s="132"/>
      <c r="AP914" s="95"/>
      <c r="AQ914" s="132"/>
      <c r="AR914" s="132"/>
    </row>
    <row r="915" spans="25:44" s="82" customFormat="1" x14ac:dyDescent="0.2">
      <c r="Y915" s="132"/>
      <c r="Z915" s="132"/>
      <c r="AA915" s="132"/>
      <c r="AB915" s="95"/>
      <c r="AC915" s="126"/>
      <c r="AD915" s="340"/>
      <c r="AE915" s="132"/>
      <c r="AF915" s="132"/>
      <c r="AG915" s="132"/>
      <c r="AH915" s="132"/>
      <c r="AI915" s="132"/>
      <c r="AJ915" s="95"/>
      <c r="AK915" s="95"/>
      <c r="AL915" s="95"/>
      <c r="AM915" s="95"/>
      <c r="AN915" s="132"/>
      <c r="AO915" s="132"/>
      <c r="AP915" s="95"/>
      <c r="AQ915" s="132"/>
      <c r="AR915" s="132"/>
    </row>
    <row r="916" spans="25:44" s="82" customFormat="1" x14ac:dyDescent="0.2">
      <c r="Y916" s="132"/>
      <c r="Z916" s="132"/>
      <c r="AA916" s="132"/>
      <c r="AB916" s="95"/>
      <c r="AC916" s="126"/>
      <c r="AD916" s="340"/>
      <c r="AE916" s="132"/>
      <c r="AF916" s="132"/>
      <c r="AG916" s="132"/>
      <c r="AH916" s="132"/>
      <c r="AI916" s="132"/>
      <c r="AJ916" s="95"/>
      <c r="AK916" s="95"/>
      <c r="AL916" s="95"/>
      <c r="AM916" s="95"/>
      <c r="AN916" s="132"/>
      <c r="AO916" s="132"/>
      <c r="AP916" s="95"/>
      <c r="AQ916" s="132"/>
      <c r="AR916" s="132"/>
    </row>
    <row r="917" spans="25:44" s="82" customFormat="1" x14ac:dyDescent="0.2">
      <c r="Y917" s="132"/>
      <c r="Z917" s="132"/>
      <c r="AA917" s="132"/>
      <c r="AB917" s="95"/>
      <c r="AC917" s="126"/>
      <c r="AD917" s="340"/>
      <c r="AE917" s="132"/>
      <c r="AF917" s="132"/>
      <c r="AG917" s="132"/>
      <c r="AH917" s="132"/>
      <c r="AI917" s="132"/>
      <c r="AJ917" s="95"/>
      <c r="AK917" s="95"/>
      <c r="AL917" s="95"/>
      <c r="AM917" s="95"/>
      <c r="AN917" s="132"/>
      <c r="AO917" s="132"/>
      <c r="AP917" s="95"/>
      <c r="AQ917" s="132"/>
      <c r="AR917" s="132"/>
    </row>
    <row r="918" spans="25:44" s="82" customFormat="1" x14ac:dyDescent="0.2">
      <c r="Y918" s="132"/>
      <c r="Z918" s="132"/>
      <c r="AA918" s="132"/>
      <c r="AB918" s="95"/>
      <c r="AC918" s="126"/>
      <c r="AD918" s="340"/>
      <c r="AE918" s="132"/>
      <c r="AF918" s="132"/>
      <c r="AG918" s="132"/>
      <c r="AH918" s="132"/>
      <c r="AI918" s="132"/>
      <c r="AJ918" s="95"/>
      <c r="AK918" s="95"/>
      <c r="AL918" s="95"/>
      <c r="AM918" s="95"/>
      <c r="AN918" s="132"/>
      <c r="AO918" s="132"/>
      <c r="AP918" s="95"/>
      <c r="AQ918" s="132"/>
      <c r="AR918" s="132"/>
    </row>
    <row r="919" spans="25:44" s="82" customFormat="1" x14ac:dyDescent="0.2">
      <c r="Y919" s="132"/>
      <c r="Z919" s="132"/>
      <c r="AA919" s="132"/>
      <c r="AB919" s="95"/>
      <c r="AC919" s="126"/>
      <c r="AD919" s="340"/>
      <c r="AE919" s="132"/>
      <c r="AF919" s="132"/>
      <c r="AG919" s="132"/>
      <c r="AH919" s="132"/>
      <c r="AI919" s="132"/>
      <c r="AJ919" s="95"/>
      <c r="AK919" s="95"/>
      <c r="AL919" s="95"/>
      <c r="AM919" s="95"/>
      <c r="AN919" s="132"/>
      <c r="AO919" s="132"/>
      <c r="AP919" s="95"/>
      <c r="AQ919" s="132"/>
      <c r="AR919" s="132"/>
    </row>
    <row r="920" spans="25:44" s="82" customFormat="1" x14ac:dyDescent="0.2">
      <c r="Y920" s="132"/>
      <c r="Z920" s="132"/>
      <c r="AA920" s="132"/>
      <c r="AB920" s="95"/>
      <c r="AC920" s="126"/>
      <c r="AD920" s="340"/>
      <c r="AE920" s="132"/>
      <c r="AF920" s="132"/>
      <c r="AG920" s="132"/>
      <c r="AH920" s="132"/>
      <c r="AI920" s="132"/>
      <c r="AJ920" s="95"/>
      <c r="AK920" s="95"/>
      <c r="AL920" s="95"/>
      <c r="AM920" s="95"/>
      <c r="AN920" s="132"/>
      <c r="AO920" s="132"/>
      <c r="AP920" s="95"/>
      <c r="AQ920" s="132"/>
      <c r="AR920" s="132"/>
    </row>
    <row r="921" spans="25:44" s="82" customFormat="1" x14ac:dyDescent="0.2">
      <c r="Y921" s="132"/>
      <c r="Z921" s="132"/>
      <c r="AA921" s="132"/>
      <c r="AB921" s="95"/>
      <c r="AC921" s="126"/>
      <c r="AD921" s="340"/>
      <c r="AE921" s="132"/>
      <c r="AF921" s="132"/>
      <c r="AG921" s="132"/>
      <c r="AH921" s="132"/>
      <c r="AI921" s="132"/>
      <c r="AJ921" s="95"/>
      <c r="AK921" s="95"/>
      <c r="AL921" s="95"/>
      <c r="AM921" s="95"/>
      <c r="AN921" s="132"/>
      <c r="AO921" s="132"/>
      <c r="AP921" s="95"/>
      <c r="AQ921" s="132"/>
      <c r="AR921" s="132"/>
    </row>
    <row r="922" spans="25:44" s="82" customFormat="1" x14ac:dyDescent="0.2">
      <c r="Y922" s="132"/>
      <c r="Z922" s="132"/>
      <c r="AA922" s="132"/>
      <c r="AB922" s="95"/>
      <c r="AC922" s="126"/>
      <c r="AD922" s="340"/>
      <c r="AE922" s="132"/>
      <c r="AF922" s="132"/>
      <c r="AG922" s="132"/>
      <c r="AH922" s="132"/>
      <c r="AI922" s="132"/>
      <c r="AJ922" s="95"/>
      <c r="AK922" s="95"/>
      <c r="AL922" s="95"/>
      <c r="AM922" s="95"/>
      <c r="AN922" s="132"/>
      <c r="AO922" s="132"/>
      <c r="AP922" s="95"/>
      <c r="AQ922" s="132"/>
      <c r="AR922" s="132"/>
    </row>
    <row r="923" spans="25:44" s="82" customFormat="1" x14ac:dyDescent="0.2">
      <c r="Y923" s="132"/>
      <c r="Z923" s="132"/>
      <c r="AA923" s="132"/>
      <c r="AB923" s="95"/>
      <c r="AC923" s="126"/>
      <c r="AD923" s="340"/>
      <c r="AE923" s="132"/>
      <c r="AF923" s="132"/>
      <c r="AG923" s="132"/>
      <c r="AH923" s="132"/>
      <c r="AI923" s="132"/>
      <c r="AJ923" s="95"/>
      <c r="AK923" s="95"/>
      <c r="AL923" s="95"/>
      <c r="AM923" s="95"/>
      <c r="AN923" s="132"/>
      <c r="AO923" s="132"/>
      <c r="AP923" s="95"/>
      <c r="AQ923" s="132"/>
      <c r="AR923" s="132"/>
    </row>
    <row r="924" spans="25:44" s="82" customFormat="1" x14ac:dyDescent="0.2">
      <c r="Y924" s="132"/>
      <c r="Z924" s="132"/>
      <c r="AA924" s="132"/>
      <c r="AB924" s="95"/>
      <c r="AC924" s="126"/>
      <c r="AD924" s="340"/>
      <c r="AE924" s="132"/>
      <c r="AF924" s="132"/>
      <c r="AG924" s="132"/>
      <c r="AH924" s="132"/>
      <c r="AI924" s="132"/>
      <c r="AJ924" s="95"/>
      <c r="AK924" s="95"/>
      <c r="AL924" s="95"/>
      <c r="AM924" s="95"/>
      <c r="AN924" s="132"/>
      <c r="AO924" s="132"/>
      <c r="AP924" s="95"/>
      <c r="AQ924" s="132"/>
      <c r="AR924" s="132"/>
    </row>
    <row r="925" spans="25:44" s="82" customFormat="1" x14ac:dyDescent="0.2">
      <c r="Y925" s="132"/>
      <c r="Z925" s="132"/>
      <c r="AA925" s="132"/>
      <c r="AB925" s="95"/>
      <c r="AC925" s="126"/>
      <c r="AD925" s="340"/>
      <c r="AE925" s="132"/>
      <c r="AF925" s="132"/>
      <c r="AG925" s="132"/>
      <c r="AH925" s="132"/>
      <c r="AI925" s="132"/>
      <c r="AJ925" s="95"/>
      <c r="AK925" s="95"/>
      <c r="AL925" s="95"/>
      <c r="AM925" s="95"/>
      <c r="AN925" s="132"/>
      <c r="AO925" s="132"/>
      <c r="AP925" s="95"/>
      <c r="AQ925" s="132"/>
      <c r="AR925" s="132"/>
    </row>
    <row r="926" spans="25:44" s="82" customFormat="1" x14ac:dyDescent="0.2">
      <c r="Y926" s="132"/>
      <c r="Z926" s="132"/>
      <c r="AA926" s="132"/>
      <c r="AB926" s="95"/>
      <c r="AC926" s="126"/>
      <c r="AD926" s="340"/>
      <c r="AE926" s="132"/>
      <c r="AF926" s="132"/>
      <c r="AG926" s="132"/>
      <c r="AH926" s="132"/>
      <c r="AI926" s="132"/>
      <c r="AJ926" s="95"/>
      <c r="AK926" s="95"/>
      <c r="AL926" s="95"/>
      <c r="AM926" s="95"/>
      <c r="AN926" s="132"/>
      <c r="AO926" s="132"/>
      <c r="AP926" s="95"/>
      <c r="AQ926" s="132"/>
      <c r="AR926" s="132"/>
    </row>
    <row r="927" spans="25:44" s="82" customFormat="1" x14ac:dyDescent="0.2">
      <c r="Y927" s="132"/>
      <c r="Z927" s="132"/>
      <c r="AA927" s="132"/>
      <c r="AB927" s="95"/>
      <c r="AC927" s="126"/>
      <c r="AD927" s="340"/>
      <c r="AE927" s="132"/>
      <c r="AF927" s="132"/>
      <c r="AG927" s="132"/>
      <c r="AH927" s="132"/>
      <c r="AI927" s="132"/>
      <c r="AJ927" s="95"/>
      <c r="AK927" s="95"/>
      <c r="AL927" s="95"/>
      <c r="AM927" s="95"/>
      <c r="AN927" s="132"/>
      <c r="AO927" s="132"/>
      <c r="AP927" s="95"/>
      <c r="AQ927" s="132"/>
      <c r="AR927" s="132"/>
    </row>
    <row r="928" spans="25:44" s="82" customFormat="1" x14ac:dyDescent="0.2">
      <c r="Y928" s="132"/>
      <c r="Z928" s="132"/>
      <c r="AA928" s="132"/>
      <c r="AB928" s="95"/>
      <c r="AC928" s="126"/>
      <c r="AD928" s="340"/>
      <c r="AE928" s="132"/>
      <c r="AF928" s="132"/>
      <c r="AG928" s="132"/>
      <c r="AH928" s="132"/>
      <c r="AI928" s="132"/>
      <c r="AJ928" s="95"/>
      <c r="AK928" s="95"/>
      <c r="AL928" s="95"/>
      <c r="AM928" s="95"/>
      <c r="AN928" s="132"/>
      <c r="AO928" s="132"/>
      <c r="AP928" s="95"/>
      <c r="AQ928" s="132"/>
      <c r="AR928" s="132"/>
    </row>
    <row r="929" spans="25:44" s="82" customFormat="1" x14ac:dyDescent="0.2">
      <c r="Y929" s="132"/>
      <c r="Z929" s="132"/>
      <c r="AA929" s="132"/>
      <c r="AB929" s="95"/>
      <c r="AC929" s="126"/>
      <c r="AD929" s="340"/>
      <c r="AE929" s="132"/>
      <c r="AF929" s="132"/>
      <c r="AG929" s="132"/>
      <c r="AH929" s="132"/>
      <c r="AI929" s="132"/>
      <c r="AJ929" s="95"/>
      <c r="AK929" s="95"/>
      <c r="AL929" s="95"/>
      <c r="AM929" s="95"/>
      <c r="AN929" s="132"/>
      <c r="AO929" s="132"/>
      <c r="AP929" s="95"/>
      <c r="AQ929" s="132"/>
      <c r="AR929" s="132"/>
    </row>
    <row r="930" spans="25:44" s="82" customFormat="1" x14ac:dyDescent="0.2">
      <c r="Y930" s="132"/>
      <c r="Z930" s="132"/>
      <c r="AA930" s="132"/>
      <c r="AB930" s="95"/>
      <c r="AC930" s="126"/>
      <c r="AD930" s="340"/>
      <c r="AE930" s="132"/>
      <c r="AF930" s="132"/>
      <c r="AG930" s="132"/>
      <c r="AH930" s="132"/>
      <c r="AI930" s="132"/>
      <c r="AJ930" s="95"/>
      <c r="AK930" s="95"/>
      <c r="AL930" s="95"/>
      <c r="AM930" s="95"/>
      <c r="AN930" s="132"/>
      <c r="AO930" s="132"/>
      <c r="AP930" s="95"/>
      <c r="AQ930" s="132"/>
      <c r="AR930" s="132"/>
    </row>
    <row r="931" spans="25:44" s="82" customFormat="1" x14ac:dyDescent="0.2">
      <c r="Y931" s="132"/>
      <c r="Z931" s="132"/>
      <c r="AA931" s="132"/>
      <c r="AB931" s="95"/>
      <c r="AC931" s="126"/>
      <c r="AD931" s="340"/>
      <c r="AE931" s="132"/>
      <c r="AF931" s="132"/>
      <c r="AG931" s="132"/>
      <c r="AH931" s="132"/>
      <c r="AI931" s="132"/>
      <c r="AJ931" s="95"/>
      <c r="AK931" s="95"/>
      <c r="AL931" s="95"/>
      <c r="AM931" s="95"/>
      <c r="AN931" s="132"/>
      <c r="AO931" s="132"/>
      <c r="AP931" s="95"/>
      <c r="AQ931" s="132"/>
      <c r="AR931" s="132"/>
    </row>
    <row r="932" spans="25:44" s="82" customFormat="1" x14ac:dyDescent="0.2">
      <c r="Y932" s="132"/>
      <c r="Z932" s="132"/>
      <c r="AA932" s="132"/>
      <c r="AB932" s="95"/>
      <c r="AC932" s="126"/>
      <c r="AD932" s="340"/>
      <c r="AE932" s="132"/>
      <c r="AF932" s="132"/>
      <c r="AG932" s="132"/>
      <c r="AH932" s="132"/>
      <c r="AI932" s="132"/>
      <c r="AJ932" s="95"/>
      <c r="AK932" s="95"/>
      <c r="AL932" s="95"/>
      <c r="AM932" s="95"/>
      <c r="AN932" s="132"/>
      <c r="AO932" s="132"/>
      <c r="AP932" s="95"/>
      <c r="AQ932" s="132"/>
      <c r="AR932" s="132"/>
    </row>
    <row r="933" spans="25:44" s="82" customFormat="1" x14ac:dyDescent="0.2">
      <c r="Y933" s="132"/>
      <c r="Z933" s="132"/>
      <c r="AA933" s="132"/>
      <c r="AB933" s="95"/>
      <c r="AC933" s="126"/>
      <c r="AD933" s="340"/>
      <c r="AE933" s="132"/>
      <c r="AF933" s="132"/>
      <c r="AG933" s="132"/>
      <c r="AH933" s="132"/>
      <c r="AI933" s="132"/>
      <c r="AJ933" s="95"/>
      <c r="AK933" s="95"/>
      <c r="AL933" s="95"/>
      <c r="AM933" s="95"/>
      <c r="AN933" s="132"/>
      <c r="AO933" s="132"/>
      <c r="AP933" s="95"/>
      <c r="AQ933" s="132"/>
      <c r="AR933" s="132"/>
    </row>
    <row r="934" spans="25:44" s="82" customFormat="1" x14ac:dyDescent="0.2">
      <c r="Y934" s="132"/>
      <c r="Z934" s="132"/>
      <c r="AA934" s="132"/>
      <c r="AB934" s="95"/>
      <c r="AC934" s="126"/>
      <c r="AD934" s="340"/>
      <c r="AE934" s="132"/>
      <c r="AF934" s="132"/>
      <c r="AG934" s="132"/>
      <c r="AH934" s="132"/>
      <c r="AI934" s="132"/>
      <c r="AJ934" s="95"/>
      <c r="AK934" s="95"/>
      <c r="AL934" s="95"/>
      <c r="AM934" s="95"/>
      <c r="AN934" s="132"/>
      <c r="AO934" s="132"/>
      <c r="AP934" s="95"/>
      <c r="AQ934" s="132"/>
      <c r="AR934" s="132"/>
    </row>
    <row r="935" spans="25:44" s="82" customFormat="1" x14ac:dyDescent="0.2">
      <c r="Y935" s="132"/>
      <c r="Z935" s="132"/>
      <c r="AA935" s="132"/>
      <c r="AB935" s="95"/>
      <c r="AC935" s="126"/>
      <c r="AD935" s="340"/>
      <c r="AE935" s="132"/>
      <c r="AF935" s="132"/>
      <c r="AG935" s="132"/>
      <c r="AH935" s="132"/>
      <c r="AI935" s="132"/>
      <c r="AJ935" s="95"/>
      <c r="AK935" s="95"/>
      <c r="AL935" s="95"/>
      <c r="AM935" s="95"/>
      <c r="AN935" s="132"/>
      <c r="AO935" s="132"/>
      <c r="AP935" s="95"/>
      <c r="AQ935" s="132"/>
      <c r="AR935" s="132"/>
    </row>
    <row r="936" spans="25:44" s="82" customFormat="1" x14ac:dyDescent="0.2">
      <c r="Y936" s="132"/>
      <c r="Z936" s="132"/>
      <c r="AA936" s="132"/>
      <c r="AB936" s="95"/>
      <c r="AC936" s="126"/>
      <c r="AD936" s="340"/>
      <c r="AE936" s="132"/>
      <c r="AF936" s="132"/>
      <c r="AG936" s="132"/>
      <c r="AH936" s="132"/>
      <c r="AI936" s="132"/>
      <c r="AJ936" s="95"/>
      <c r="AK936" s="95"/>
      <c r="AL936" s="95"/>
      <c r="AM936" s="95"/>
      <c r="AN936" s="132"/>
      <c r="AO936" s="132"/>
      <c r="AP936" s="95"/>
      <c r="AQ936" s="132"/>
      <c r="AR936" s="132"/>
    </row>
    <row r="937" spans="25:44" s="82" customFormat="1" x14ac:dyDescent="0.2">
      <c r="Y937" s="132"/>
      <c r="Z937" s="132"/>
      <c r="AA937" s="132"/>
      <c r="AB937" s="95"/>
      <c r="AC937" s="126"/>
      <c r="AD937" s="340"/>
      <c r="AE937" s="132"/>
      <c r="AF937" s="132"/>
      <c r="AG937" s="132"/>
      <c r="AH937" s="132"/>
      <c r="AI937" s="132"/>
      <c r="AJ937" s="95"/>
      <c r="AK937" s="95"/>
      <c r="AL937" s="95"/>
      <c r="AM937" s="95"/>
      <c r="AN937" s="132"/>
      <c r="AO937" s="132"/>
      <c r="AP937" s="95"/>
      <c r="AQ937" s="132"/>
      <c r="AR937" s="132"/>
    </row>
    <row r="938" spans="25:44" s="82" customFormat="1" x14ac:dyDescent="0.2">
      <c r="Y938" s="132"/>
      <c r="Z938" s="132"/>
      <c r="AA938" s="132"/>
      <c r="AB938" s="95"/>
      <c r="AC938" s="126"/>
      <c r="AD938" s="340"/>
      <c r="AE938" s="132"/>
      <c r="AF938" s="132"/>
      <c r="AG938" s="132"/>
      <c r="AH938" s="132"/>
      <c r="AI938" s="132"/>
      <c r="AJ938" s="95"/>
      <c r="AK938" s="95"/>
      <c r="AL938" s="95"/>
      <c r="AM938" s="95"/>
      <c r="AN938" s="132"/>
      <c r="AO938" s="132"/>
      <c r="AP938" s="95"/>
      <c r="AQ938" s="132"/>
      <c r="AR938" s="132"/>
    </row>
    <row r="939" spans="25:44" s="82" customFormat="1" x14ac:dyDescent="0.2">
      <c r="Y939" s="132"/>
      <c r="Z939" s="132"/>
      <c r="AA939" s="132"/>
      <c r="AB939" s="95"/>
      <c r="AC939" s="126"/>
      <c r="AD939" s="340"/>
      <c r="AE939" s="132"/>
      <c r="AF939" s="132"/>
      <c r="AG939" s="132"/>
      <c r="AH939" s="132"/>
      <c r="AI939" s="132"/>
      <c r="AJ939" s="95"/>
      <c r="AK939" s="95"/>
      <c r="AL939" s="95"/>
      <c r="AM939" s="95"/>
      <c r="AN939" s="132"/>
      <c r="AO939" s="132"/>
      <c r="AP939" s="95"/>
      <c r="AQ939" s="132"/>
      <c r="AR939" s="132"/>
    </row>
    <row r="940" spans="25:44" s="82" customFormat="1" x14ac:dyDescent="0.2">
      <c r="Y940" s="132"/>
      <c r="Z940" s="132"/>
      <c r="AA940" s="132"/>
      <c r="AB940" s="95"/>
      <c r="AC940" s="126"/>
      <c r="AD940" s="340"/>
      <c r="AE940" s="132"/>
      <c r="AF940" s="132"/>
      <c r="AG940" s="132"/>
      <c r="AH940" s="132"/>
      <c r="AI940" s="132"/>
      <c r="AJ940" s="95"/>
      <c r="AK940" s="95"/>
      <c r="AL940" s="95"/>
      <c r="AM940" s="95"/>
      <c r="AN940" s="132"/>
      <c r="AO940" s="132"/>
      <c r="AP940" s="95"/>
      <c r="AQ940" s="132"/>
      <c r="AR940" s="132"/>
    </row>
    <row r="941" spans="25:44" s="82" customFormat="1" x14ac:dyDescent="0.2">
      <c r="Y941" s="132"/>
      <c r="Z941" s="132"/>
      <c r="AA941" s="132"/>
      <c r="AB941" s="95"/>
      <c r="AC941" s="126"/>
      <c r="AD941" s="340"/>
      <c r="AE941" s="132"/>
      <c r="AF941" s="132"/>
      <c r="AG941" s="132"/>
      <c r="AH941" s="132"/>
      <c r="AI941" s="132"/>
      <c r="AJ941" s="95"/>
      <c r="AK941" s="95"/>
      <c r="AL941" s="95"/>
      <c r="AM941" s="95"/>
      <c r="AN941" s="132"/>
      <c r="AO941" s="132"/>
      <c r="AP941" s="95"/>
      <c r="AQ941" s="132"/>
      <c r="AR941" s="132"/>
    </row>
    <row r="942" spans="25:44" s="82" customFormat="1" x14ac:dyDescent="0.2">
      <c r="Y942" s="132"/>
      <c r="Z942" s="132"/>
      <c r="AA942" s="132"/>
      <c r="AB942" s="95"/>
      <c r="AC942" s="126"/>
      <c r="AD942" s="340"/>
      <c r="AE942" s="132"/>
      <c r="AF942" s="132"/>
      <c r="AG942" s="132"/>
      <c r="AH942" s="132"/>
      <c r="AI942" s="132"/>
      <c r="AJ942" s="95"/>
      <c r="AK942" s="95"/>
      <c r="AL942" s="95"/>
      <c r="AM942" s="95"/>
      <c r="AN942" s="132"/>
      <c r="AO942" s="132"/>
      <c r="AP942" s="95"/>
      <c r="AQ942" s="132"/>
      <c r="AR942" s="132"/>
    </row>
    <row r="943" spans="25:44" s="82" customFormat="1" x14ac:dyDescent="0.2">
      <c r="Y943" s="132"/>
      <c r="Z943" s="132"/>
      <c r="AA943" s="132"/>
      <c r="AB943" s="95"/>
      <c r="AC943" s="126"/>
      <c r="AD943" s="340"/>
      <c r="AE943" s="132"/>
      <c r="AF943" s="132"/>
      <c r="AG943" s="132"/>
      <c r="AH943" s="132"/>
      <c r="AI943" s="132"/>
      <c r="AJ943" s="95"/>
      <c r="AK943" s="95"/>
      <c r="AL943" s="95"/>
      <c r="AM943" s="95"/>
      <c r="AN943" s="132"/>
      <c r="AO943" s="132"/>
      <c r="AP943" s="95"/>
      <c r="AQ943" s="132"/>
      <c r="AR943" s="132"/>
    </row>
    <row r="944" spans="25:44" s="82" customFormat="1" x14ac:dyDescent="0.2">
      <c r="Y944" s="132"/>
      <c r="Z944" s="132"/>
      <c r="AA944" s="132"/>
      <c r="AB944" s="95"/>
      <c r="AC944" s="126"/>
      <c r="AD944" s="340"/>
      <c r="AE944" s="132"/>
      <c r="AF944" s="132"/>
      <c r="AG944" s="132"/>
      <c r="AH944" s="132"/>
      <c r="AI944" s="132"/>
      <c r="AJ944" s="95"/>
      <c r="AK944" s="95"/>
      <c r="AL944" s="95"/>
      <c r="AM944" s="95"/>
      <c r="AN944" s="132"/>
      <c r="AO944" s="132"/>
      <c r="AP944" s="95"/>
      <c r="AQ944" s="132"/>
      <c r="AR944" s="132"/>
    </row>
    <row r="945" spans="25:44" s="82" customFormat="1" x14ac:dyDescent="0.2">
      <c r="Y945" s="132"/>
      <c r="Z945" s="132"/>
      <c r="AA945" s="132"/>
      <c r="AB945" s="95"/>
      <c r="AC945" s="126"/>
      <c r="AD945" s="340"/>
      <c r="AE945" s="132"/>
      <c r="AF945" s="132"/>
      <c r="AG945" s="132"/>
      <c r="AH945" s="132"/>
      <c r="AI945" s="132"/>
      <c r="AJ945" s="95"/>
      <c r="AK945" s="95"/>
      <c r="AL945" s="95"/>
      <c r="AM945" s="95"/>
      <c r="AN945" s="132"/>
      <c r="AO945" s="132"/>
      <c r="AP945" s="95"/>
      <c r="AQ945" s="132"/>
      <c r="AR945" s="132"/>
    </row>
    <row r="946" spans="25:44" s="82" customFormat="1" x14ac:dyDescent="0.2">
      <c r="Y946" s="132"/>
      <c r="Z946" s="132"/>
      <c r="AA946" s="132"/>
      <c r="AB946" s="95"/>
      <c r="AC946" s="126"/>
      <c r="AD946" s="340"/>
      <c r="AE946" s="132"/>
      <c r="AF946" s="132"/>
      <c r="AG946" s="132"/>
      <c r="AH946" s="132"/>
      <c r="AI946" s="132"/>
      <c r="AJ946" s="95"/>
      <c r="AK946" s="95"/>
      <c r="AL946" s="95"/>
      <c r="AM946" s="95"/>
      <c r="AN946" s="132"/>
      <c r="AO946" s="132"/>
      <c r="AP946" s="95"/>
      <c r="AQ946" s="132"/>
      <c r="AR946" s="132"/>
    </row>
    <row r="947" spans="25:44" s="82" customFormat="1" x14ac:dyDescent="0.2">
      <c r="Y947" s="132"/>
      <c r="Z947" s="132"/>
      <c r="AA947" s="132"/>
      <c r="AB947" s="95"/>
      <c r="AC947" s="126"/>
      <c r="AD947" s="340"/>
      <c r="AE947" s="132"/>
      <c r="AF947" s="132"/>
      <c r="AG947" s="132"/>
      <c r="AH947" s="132"/>
      <c r="AI947" s="132"/>
      <c r="AJ947" s="95"/>
      <c r="AK947" s="95"/>
      <c r="AL947" s="95"/>
      <c r="AM947" s="95"/>
      <c r="AN947" s="132"/>
      <c r="AO947" s="132"/>
      <c r="AP947" s="95"/>
      <c r="AQ947" s="132"/>
      <c r="AR947" s="132"/>
    </row>
    <row r="948" spans="25:44" s="82" customFormat="1" x14ac:dyDescent="0.2">
      <c r="Y948" s="132"/>
      <c r="Z948" s="132"/>
      <c r="AA948" s="132"/>
      <c r="AB948" s="95"/>
      <c r="AC948" s="126"/>
      <c r="AD948" s="340"/>
      <c r="AE948" s="132"/>
      <c r="AF948" s="132"/>
      <c r="AG948" s="132"/>
      <c r="AH948" s="132"/>
      <c r="AI948" s="132"/>
      <c r="AJ948" s="95"/>
      <c r="AK948" s="95"/>
      <c r="AL948" s="95"/>
      <c r="AM948" s="95"/>
      <c r="AN948" s="132"/>
      <c r="AO948" s="132"/>
      <c r="AP948" s="95"/>
      <c r="AQ948" s="132"/>
      <c r="AR948" s="132"/>
    </row>
    <row r="949" spans="25:44" s="82" customFormat="1" x14ac:dyDescent="0.2">
      <c r="Y949" s="132"/>
      <c r="Z949" s="132"/>
      <c r="AA949" s="132"/>
      <c r="AB949" s="95"/>
      <c r="AC949" s="126"/>
      <c r="AD949" s="340"/>
      <c r="AE949" s="132"/>
      <c r="AF949" s="132"/>
      <c r="AG949" s="132"/>
      <c r="AH949" s="132"/>
      <c r="AI949" s="132"/>
      <c r="AJ949" s="95"/>
      <c r="AK949" s="95"/>
      <c r="AL949" s="95"/>
      <c r="AM949" s="95"/>
      <c r="AN949" s="132"/>
      <c r="AO949" s="132"/>
      <c r="AP949" s="95"/>
      <c r="AQ949" s="132"/>
      <c r="AR949" s="132"/>
    </row>
    <row r="950" spans="25:44" s="82" customFormat="1" x14ac:dyDescent="0.2">
      <c r="Y950" s="132"/>
      <c r="Z950" s="132"/>
      <c r="AA950" s="132"/>
      <c r="AB950" s="95"/>
      <c r="AC950" s="126"/>
      <c r="AD950" s="340"/>
      <c r="AE950" s="132"/>
      <c r="AF950" s="132"/>
      <c r="AG950" s="132"/>
      <c r="AH950" s="132"/>
      <c r="AI950" s="132"/>
      <c r="AJ950" s="95"/>
      <c r="AK950" s="95"/>
      <c r="AL950" s="95"/>
      <c r="AM950" s="95"/>
      <c r="AN950" s="132"/>
      <c r="AO950" s="132"/>
      <c r="AP950" s="95"/>
      <c r="AQ950" s="132"/>
      <c r="AR950" s="132"/>
    </row>
    <row r="951" spans="25:44" s="82" customFormat="1" x14ac:dyDescent="0.2">
      <c r="Y951" s="132"/>
      <c r="Z951" s="132"/>
      <c r="AA951" s="132"/>
      <c r="AB951" s="95"/>
      <c r="AC951" s="126"/>
      <c r="AD951" s="340"/>
      <c r="AE951" s="132"/>
      <c r="AF951" s="132"/>
      <c r="AG951" s="132"/>
      <c r="AH951" s="132"/>
      <c r="AI951" s="132"/>
      <c r="AJ951" s="95"/>
      <c r="AK951" s="95"/>
      <c r="AL951" s="95"/>
      <c r="AM951" s="95"/>
      <c r="AN951" s="132"/>
      <c r="AO951" s="132"/>
      <c r="AP951" s="95"/>
      <c r="AQ951" s="132"/>
      <c r="AR951" s="132"/>
    </row>
    <row r="952" spans="25:44" s="82" customFormat="1" x14ac:dyDescent="0.2">
      <c r="Y952" s="132"/>
      <c r="Z952" s="132"/>
      <c r="AA952" s="132"/>
      <c r="AB952" s="95"/>
      <c r="AC952" s="126"/>
      <c r="AD952" s="340"/>
      <c r="AE952" s="132"/>
      <c r="AF952" s="132"/>
      <c r="AG952" s="132"/>
      <c r="AH952" s="132"/>
      <c r="AI952" s="132"/>
      <c r="AJ952" s="95"/>
      <c r="AK952" s="95"/>
      <c r="AL952" s="95"/>
      <c r="AM952" s="95"/>
      <c r="AN952" s="132"/>
      <c r="AO952" s="132"/>
      <c r="AP952" s="95"/>
      <c r="AQ952" s="132"/>
      <c r="AR952" s="132"/>
    </row>
    <row r="953" spans="25:44" s="82" customFormat="1" x14ac:dyDescent="0.2">
      <c r="Y953" s="132"/>
      <c r="Z953" s="132"/>
      <c r="AA953" s="132"/>
      <c r="AB953" s="95"/>
      <c r="AC953" s="126"/>
      <c r="AD953" s="340"/>
      <c r="AE953" s="132"/>
      <c r="AF953" s="132"/>
      <c r="AG953" s="132"/>
      <c r="AH953" s="132"/>
      <c r="AI953" s="132"/>
      <c r="AJ953" s="95"/>
      <c r="AK953" s="95"/>
      <c r="AL953" s="95"/>
      <c r="AM953" s="95"/>
      <c r="AN953" s="132"/>
      <c r="AO953" s="132"/>
      <c r="AP953" s="95"/>
      <c r="AQ953" s="132"/>
      <c r="AR953" s="132"/>
    </row>
    <row r="954" spans="25:44" s="82" customFormat="1" x14ac:dyDescent="0.2">
      <c r="Y954" s="132"/>
      <c r="Z954" s="132"/>
      <c r="AA954" s="132"/>
      <c r="AB954" s="95"/>
      <c r="AC954" s="126"/>
      <c r="AD954" s="340"/>
      <c r="AE954" s="132"/>
      <c r="AF954" s="132"/>
      <c r="AG954" s="132"/>
      <c r="AH954" s="132"/>
      <c r="AI954" s="132"/>
      <c r="AJ954" s="95"/>
      <c r="AK954" s="95"/>
      <c r="AL954" s="95"/>
      <c r="AM954" s="95"/>
      <c r="AN954" s="132"/>
      <c r="AO954" s="132"/>
      <c r="AP954" s="95"/>
      <c r="AQ954" s="132"/>
      <c r="AR954" s="132"/>
    </row>
    <row r="955" spans="25:44" s="82" customFormat="1" x14ac:dyDescent="0.2">
      <c r="Y955" s="132"/>
      <c r="Z955" s="132"/>
      <c r="AA955" s="132"/>
      <c r="AB955" s="95"/>
      <c r="AC955" s="126"/>
      <c r="AD955" s="340"/>
      <c r="AE955" s="132"/>
      <c r="AF955" s="132"/>
      <c r="AG955" s="132"/>
      <c r="AH955" s="132"/>
      <c r="AI955" s="132"/>
      <c r="AJ955" s="95"/>
      <c r="AK955" s="95"/>
      <c r="AL955" s="95"/>
      <c r="AM955" s="95"/>
      <c r="AN955" s="132"/>
      <c r="AO955" s="132"/>
      <c r="AP955" s="95"/>
      <c r="AQ955" s="132"/>
      <c r="AR955" s="132"/>
    </row>
    <row r="956" spans="25:44" s="82" customFormat="1" x14ac:dyDescent="0.2">
      <c r="Y956" s="132"/>
      <c r="Z956" s="132"/>
      <c r="AA956" s="132"/>
      <c r="AB956" s="95"/>
      <c r="AC956" s="126"/>
      <c r="AD956" s="340"/>
      <c r="AE956" s="132"/>
      <c r="AF956" s="132"/>
      <c r="AG956" s="132"/>
      <c r="AH956" s="132"/>
      <c r="AI956" s="132"/>
      <c r="AJ956" s="95"/>
      <c r="AK956" s="95"/>
      <c r="AL956" s="95"/>
      <c r="AM956" s="95"/>
      <c r="AN956" s="132"/>
      <c r="AO956" s="132"/>
      <c r="AP956" s="95"/>
      <c r="AQ956" s="132"/>
      <c r="AR956" s="132"/>
    </row>
    <row r="957" spans="25:44" s="82" customFormat="1" x14ac:dyDescent="0.2">
      <c r="Y957" s="132"/>
      <c r="Z957" s="132"/>
      <c r="AA957" s="132"/>
      <c r="AB957" s="95"/>
      <c r="AC957" s="126"/>
      <c r="AD957" s="340"/>
      <c r="AE957" s="132"/>
      <c r="AF957" s="132"/>
      <c r="AG957" s="132"/>
      <c r="AH957" s="132"/>
      <c r="AI957" s="132"/>
      <c r="AJ957" s="95"/>
      <c r="AK957" s="95"/>
      <c r="AL957" s="95"/>
      <c r="AM957" s="95"/>
      <c r="AN957" s="132"/>
      <c r="AO957" s="132"/>
      <c r="AP957" s="95"/>
      <c r="AQ957" s="132"/>
      <c r="AR957" s="132"/>
    </row>
    <row r="958" spans="25:44" s="82" customFormat="1" x14ac:dyDescent="0.2">
      <c r="Y958" s="132"/>
      <c r="Z958" s="132"/>
      <c r="AA958" s="132"/>
      <c r="AB958" s="95"/>
      <c r="AC958" s="126"/>
      <c r="AD958" s="340"/>
      <c r="AE958" s="132"/>
      <c r="AF958" s="132"/>
      <c r="AG958" s="132"/>
      <c r="AH958" s="132"/>
      <c r="AI958" s="132"/>
      <c r="AJ958" s="95"/>
      <c r="AK958" s="95"/>
      <c r="AL958" s="95"/>
      <c r="AM958" s="95"/>
      <c r="AN958" s="132"/>
      <c r="AO958" s="132"/>
      <c r="AP958" s="95"/>
      <c r="AQ958" s="132"/>
      <c r="AR958" s="132"/>
    </row>
    <row r="959" spans="25:44" s="82" customFormat="1" x14ac:dyDescent="0.2">
      <c r="Y959" s="132"/>
      <c r="Z959" s="132"/>
      <c r="AA959" s="132"/>
      <c r="AB959" s="95"/>
      <c r="AC959" s="126"/>
      <c r="AD959" s="340"/>
      <c r="AE959" s="132"/>
      <c r="AF959" s="132"/>
      <c r="AG959" s="132"/>
      <c r="AH959" s="132"/>
      <c r="AI959" s="132"/>
      <c r="AJ959" s="95"/>
      <c r="AK959" s="95"/>
      <c r="AL959" s="95"/>
      <c r="AM959" s="95"/>
      <c r="AN959" s="132"/>
      <c r="AO959" s="132"/>
      <c r="AP959" s="95"/>
      <c r="AQ959" s="132"/>
      <c r="AR959" s="132"/>
    </row>
    <row r="960" spans="25:44" s="82" customFormat="1" x14ac:dyDescent="0.2">
      <c r="Y960" s="132"/>
      <c r="Z960" s="132"/>
      <c r="AA960" s="132"/>
      <c r="AB960" s="95"/>
      <c r="AC960" s="126"/>
      <c r="AD960" s="340"/>
      <c r="AE960" s="132"/>
      <c r="AF960" s="132"/>
      <c r="AG960" s="132"/>
      <c r="AH960" s="132"/>
      <c r="AI960" s="132"/>
      <c r="AJ960" s="95"/>
      <c r="AK960" s="95"/>
      <c r="AL960" s="95"/>
      <c r="AM960" s="95"/>
      <c r="AN960" s="132"/>
      <c r="AO960" s="132"/>
      <c r="AP960" s="95"/>
      <c r="AQ960" s="132"/>
      <c r="AR960" s="132"/>
    </row>
    <row r="961" spans="25:44" s="82" customFormat="1" x14ac:dyDescent="0.2">
      <c r="Y961" s="132"/>
      <c r="Z961" s="132"/>
      <c r="AA961" s="132"/>
      <c r="AB961" s="95"/>
      <c r="AC961" s="126"/>
      <c r="AD961" s="340"/>
      <c r="AE961" s="132"/>
      <c r="AF961" s="132"/>
      <c r="AG961" s="132"/>
      <c r="AH961" s="132"/>
      <c r="AI961" s="132"/>
      <c r="AJ961" s="95"/>
      <c r="AK961" s="95"/>
      <c r="AL961" s="95"/>
      <c r="AM961" s="95"/>
      <c r="AN961" s="132"/>
      <c r="AO961" s="132"/>
      <c r="AP961" s="95"/>
      <c r="AQ961" s="132"/>
      <c r="AR961" s="132"/>
    </row>
    <row r="962" spans="25:44" s="82" customFormat="1" x14ac:dyDescent="0.2">
      <c r="Y962" s="132"/>
      <c r="Z962" s="132"/>
      <c r="AA962" s="132"/>
      <c r="AB962" s="95"/>
      <c r="AC962" s="126"/>
      <c r="AD962" s="340"/>
      <c r="AE962" s="132"/>
      <c r="AF962" s="132"/>
      <c r="AG962" s="132"/>
      <c r="AH962" s="132"/>
      <c r="AI962" s="132"/>
      <c r="AJ962" s="95"/>
      <c r="AK962" s="95"/>
      <c r="AL962" s="95"/>
      <c r="AM962" s="95"/>
      <c r="AN962" s="132"/>
      <c r="AO962" s="132"/>
      <c r="AP962" s="95"/>
      <c r="AQ962" s="132"/>
      <c r="AR962" s="132"/>
    </row>
    <row r="963" spans="25:44" s="82" customFormat="1" x14ac:dyDescent="0.2">
      <c r="Y963" s="132"/>
      <c r="Z963" s="132"/>
      <c r="AA963" s="132"/>
      <c r="AB963" s="95"/>
      <c r="AC963" s="126"/>
      <c r="AD963" s="340"/>
      <c r="AE963" s="132"/>
      <c r="AF963" s="132"/>
      <c r="AG963" s="132"/>
      <c r="AH963" s="132"/>
      <c r="AI963" s="132"/>
      <c r="AJ963" s="95"/>
      <c r="AK963" s="95"/>
      <c r="AL963" s="95"/>
      <c r="AM963" s="95"/>
      <c r="AN963" s="132"/>
      <c r="AO963" s="132"/>
      <c r="AP963" s="95"/>
      <c r="AQ963" s="132"/>
      <c r="AR963" s="132"/>
    </row>
    <row r="964" spans="25:44" s="82" customFormat="1" x14ac:dyDescent="0.2">
      <c r="Y964" s="132"/>
      <c r="Z964" s="132"/>
      <c r="AA964" s="132"/>
      <c r="AB964" s="95"/>
      <c r="AC964" s="126"/>
      <c r="AD964" s="340"/>
      <c r="AE964" s="132"/>
      <c r="AF964" s="132"/>
      <c r="AG964" s="132"/>
      <c r="AH964" s="132"/>
      <c r="AI964" s="132"/>
      <c r="AJ964" s="95"/>
      <c r="AK964" s="95"/>
      <c r="AL964" s="95"/>
      <c r="AM964" s="95"/>
      <c r="AN964" s="132"/>
      <c r="AO964" s="132"/>
      <c r="AP964" s="95"/>
      <c r="AQ964" s="132"/>
      <c r="AR964" s="132"/>
    </row>
    <row r="965" spans="25:44" s="82" customFormat="1" x14ac:dyDescent="0.2">
      <c r="Y965" s="132"/>
      <c r="Z965" s="132"/>
      <c r="AA965" s="132"/>
      <c r="AB965" s="95"/>
      <c r="AC965" s="126"/>
      <c r="AD965" s="340"/>
      <c r="AE965" s="132"/>
      <c r="AF965" s="132"/>
      <c r="AG965" s="132"/>
      <c r="AH965" s="132"/>
      <c r="AI965" s="132"/>
      <c r="AJ965" s="95"/>
      <c r="AK965" s="95"/>
      <c r="AL965" s="95"/>
      <c r="AM965" s="95"/>
      <c r="AN965" s="132"/>
      <c r="AO965" s="132"/>
      <c r="AP965" s="95"/>
      <c r="AQ965" s="132"/>
      <c r="AR965" s="132"/>
    </row>
    <row r="966" spans="25:44" s="82" customFormat="1" x14ac:dyDescent="0.2">
      <c r="Y966" s="132"/>
      <c r="Z966" s="132"/>
      <c r="AA966" s="132"/>
      <c r="AB966" s="95"/>
      <c r="AC966" s="126"/>
      <c r="AD966" s="340"/>
      <c r="AE966" s="132"/>
      <c r="AF966" s="132"/>
      <c r="AG966" s="132"/>
      <c r="AH966" s="132"/>
      <c r="AI966" s="132"/>
      <c r="AJ966" s="95"/>
      <c r="AK966" s="95"/>
      <c r="AL966" s="95"/>
      <c r="AM966" s="95"/>
      <c r="AN966" s="132"/>
      <c r="AO966" s="132"/>
      <c r="AP966" s="95"/>
      <c r="AQ966" s="132"/>
      <c r="AR966" s="132"/>
    </row>
    <row r="967" spans="25:44" s="82" customFormat="1" x14ac:dyDescent="0.2">
      <c r="Y967" s="132"/>
      <c r="Z967" s="132"/>
      <c r="AA967" s="132"/>
      <c r="AB967" s="95"/>
      <c r="AC967" s="126"/>
      <c r="AD967" s="340"/>
      <c r="AE967" s="132"/>
      <c r="AF967" s="132"/>
      <c r="AG967" s="132"/>
      <c r="AH967" s="132"/>
      <c r="AI967" s="132"/>
      <c r="AJ967" s="95"/>
      <c r="AK967" s="95"/>
      <c r="AL967" s="95"/>
      <c r="AM967" s="95"/>
      <c r="AN967" s="132"/>
      <c r="AO967" s="132"/>
      <c r="AP967" s="95"/>
      <c r="AQ967" s="132"/>
      <c r="AR967" s="132"/>
    </row>
    <row r="968" spans="25:44" s="82" customFormat="1" x14ac:dyDescent="0.2">
      <c r="Y968" s="132"/>
      <c r="Z968" s="132"/>
      <c r="AA968" s="132"/>
      <c r="AB968" s="95"/>
      <c r="AC968" s="126"/>
      <c r="AD968" s="340"/>
      <c r="AE968" s="132"/>
      <c r="AF968" s="132"/>
      <c r="AG968" s="132"/>
      <c r="AH968" s="132"/>
      <c r="AI968" s="132"/>
      <c r="AJ968" s="95"/>
      <c r="AK968" s="95"/>
      <c r="AL968" s="95"/>
      <c r="AM968" s="95"/>
      <c r="AN968" s="132"/>
      <c r="AO968" s="132"/>
      <c r="AP968" s="95"/>
      <c r="AQ968" s="132"/>
      <c r="AR968" s="132"/>
    </row>
    <row r="969" spans="25:44" s="82" customFormat="1" x14ac:dyDescent="0.2">
      <c r="Y969" s="132"/>
      <c r="Z969" s="132"/>
      <c r="AA969" s="132"/>
      <c r="AB969" s="95"/>
      <c r="AC969" s="126"/>
      <c r="AD969" s="340"/>
      <c r="AE969" s="132"/>
      <c r="AF969" s="132"/>
      <c r="AG969" s="132"/>
      <c r="AH969" s="132"/>
      <c r="AI969" s="132"/>
      <c r="AJ969" s="95"/>
      <c r="AK969" s="95"/>
      <c r="AL969" s="95"/>
      <c r="AM969" s="95"/>
      <c r="AN969" s="132"/>
      <c r="AO969" s="132"/>
      <c r="AP969" s="95"/>
      <c r="AQ969" s="132"/>
      <c r="AR969" s="132"/>
    </row>
    <row r="970" spans="25:44" s="82" customFormat="1" x14ac:dyDescent="0.2">
      <c r="Y970" s="132"/>
      <c r="Z970" s="132"/>
      <c r="AA970" s="132"/>
      <c r="AB970" s="95"/>
      <c r="AC970" s="126"/>
      <c r="AD970" s="340"/>
      <c r="AE970" s="132"/>
      <c r="AF970" s="132"/>
      <c r="AG970" s="132"/>
      <c r="AH970" s="132"/>
      <c r="AI970" s="132"/>
      <c r="AJ970" s="95"/>
      <c r="AK970" s="95"/>
      <c r="AL970" s="95"/>
      <c r="AM970" s="95"/>
      <c r="AN970" s="132"/>
      <c r="AO970" s="132"/>
      <c r="AP970" s="95"/>
      <c r="AQ970" s="132"/>
      <c r="AR970" s="132"/>
    </row>
    <row r="971" spans="25:44" s="82" customFormat="1" x14ac:dyDescent="0.2">
      <c r="Y971" s="132"/>
      <c r="Z971" s="132"/>
      <c r="AA971" s="132"/>
      <c r="AB971" s="95"/>
      <c r="AC971" s="126"/>
      <c r="AD971" s="340"/>
      <c r="AE971" s="132"/>
      <c r="AF971" s="132"/>
      <c r="AG971" s="132"/>
      <c r="AH971" s="132"/>
      <c r="AI971" s="132"/>
      <c r="AJ971" s="95"/>
      <c r="AK971" s="95"/>
      <c r="AL971" s="95"/>
      <c r="AM971" s="95"/>
      <c r="AN971" s="132"/>
      <c r="AO971" s="132"/>
      <c r="AP971" s="95"/>
      <c r="AQ971" s="132"/>
      <c r="AR971" s="132"/>
    </row>
    <row r="972" spans="25:44" s="82" customFormat="1" x14ac:dyDescent="0.2">
      <c r="Y972" s="132"/>
      <c r="Z972" s="132"/>
      <c r="AA972" s="132"/>
      <c r="AB972" s="95"/>
      <c r="AC972" s="126"/>
      <c r="AD972" s="340"/>
      <c r="AE972" s="132"/>
      <c r="AF972" s="132"/>
      <c r="AG972" s="132"/>
      <c r="AH972" s="132"/>
      <c r="AI972" s="132"/>
      <c r="AJ972" s="95"/>
      <c r="AK972" s="95"/>
      <c r="AL972" s="95"/>
      <c r="AM972" s="95"/>
      <c r="AN972" s="132"/>
      <c r="AO972" s="132"/>
      <c r="AP972" s="95"/>
      <c r="AQ972" s="132"/>
      <c r="AR972" s="132"/>
    </row>
    <row r="973" spans="25:44" s="82" customFormat="1" x14ac:dyDescent="0.2">
      <c r="Y973" s="132"/>
      <c r="Z973" s="132"/>
      <c r="AA973" s="132"/>
      <c r="AB973" s="95"/>
      <c r="AC973" s="126"/>
      <c r="AD973" s="340"/>
      <c r="AE973" s="132"/>
      <c r="AF973" s="132"/>
      <c r="AG973" s="132"/>
      <c r="AH973" s="132"/>
      <c r="AI973" s="132"/>
      <c r="AJ973" s="95"/>
      <c r="AK973" s="95"/>
      <c r="AL973" s="95"/>
      <c r="AM973" s="95"/>
      <c r="AN973" s="132"/>
      <c r="AO973" s="132"/>
      <c r="AP973" s="95"/>
      <c r="AQ973" s="132"/>
      <c r="AR973" s="132"/>
    </row>
    <row r="974" spans="25:44" s="82" customFormat="1" x14ac:dyDescent="0.2">
      <c r="Y974" s="132"/>
      <c r="Z974" s="132"/>
      <c r="AA974" s="132"/>
      <c r="AB974" s="95"/>
      <c r="AC974" s="126"/>
      <c r="AD974" s="340"/>
      <c r="AE974" s="132"/>
      <c r="AF974" s="132"/>
      <c r="AG974" s="132"/>
      <c r="AH974" s="132"/>
      <c r="AI974" s="132"/>
      <c r="AJ974" s="95"/>
      <c r="AK974" s="95"/>
      <c r="AL974" s="95"/>
      <c r="AM974" s="95"/>
      <c r="AN974" s="132"/>
      <c r="AO974" s="132"/>
      <c r="AP974" s="95"/>
      <c r="AQ974" s="132"/>
      <c r="AR974" s="132"/>
    </row>
    <row r="975" spans="25:44" s="82" customFormat="1" x14ac:dyDescent="0.2">
      <c r="Y975" s="132"/>
      <c r="Z975" s="132"/>
      <c r="AA975" s="132"/>
      <c r="AB975" s="95"/>
      <c r="AC975" s="126"/>
      <c r="AD975" s="340"/>
      <c r="AE975" s="132"/>
      <c r="AF975" s="132"/>
      <c r="AG975" s="132"/>
      <c r="AH975" s="132"/>
      <c r="AI975" s="132"/>
      <c r="AJ975" s="95"/>
      <c r="AK975" s="95"/>
      <c r="AL975" s="95"/>
      <c r="AM975" s="95"/>
      <c r="AN975" s="132"/>
      <c r="AO975" s="132"/>
      <c r="AP975" s="95"/>
      <c r="AQ975" s="132"/>
      <c r="AR975" s="132"/>
    </row>
    <row r="976" spans="25:44" s="82" customFormat="1" x14ac:dyDescent="0.2">
      <c r="Y976" s="132"/>
      <c r="Z976" s="132"/>
      <c r="AA976" s="132"/>
      <c r="AB976" s="95"/>
      <c r="AC976" s="126"/>
      <c r="AD976" s="340"/>
      <c r="AE976" s="132"/>
      <c r="AF976" s="132"/>
      <c r="AG976" s="132"/>
      <c r="AH976" s="132"/>
      <c r="AI976" s="132"/>
      <c r="AJ976" s="95"/>
      <c r="AK976" s="95"/>
      <c r="AL976" s="95"/>
      <c r="AM976" s="95"/>
      <c r="AN976" s="132"/>
      <c r="AO976" s="132"/>
      <c r="AP976" s="95"/>
      <c r="AQ976" s="132"/>
      <c r="AR976" s="132"/>
    </row>
    <row r="977" spans="25:44" s="82" customFormat="1" x14ac:dyDescent="0.2">
      <c r="Y977" s="132"/>
      <c r="Z977" s="132"/>
      <c r="AA977" s="132"/>
      <c r="AB977" s="95"/>
      <c r="AC977" s="126"/>
      <c r="AD977" s="340"/>
      <c r="AE977" s="132"/>
      <c r="AF977" s="132"/>
      <c r="AG977" s="132"/>
      <c r="AH977" s="132"/>
      <c r="AI977" s="132"/>
      <c r="AJ977" s="95"/>
      <c r="AK977" s="95"/>
      <c r="AL977" s="95"/>
      <c r="AM977" s="95"/>
      <c r="AN977" s="132"/>
      <c r="AO977" s="132"/>
      <c r="AP977" s="95"/>
      <c r="AQ977" s="132"/>
      <c r="AR977" s="132"/>
    </row>
    <row r="978" spans="25:44" s="82" customFormat="1" x14ac:dyDescent="0.2">
      <c r="Y978" s="132"/>
      <c r="Z978" s="132"/>
      <c r="AA978" s="132"/>
      <c r="AB978" s="95"/>
      <c r="AC978" s="126"/>
      <c r="AD978" s="340"/>
      <c r="AE978" s="132"/>
      <c r="AF978" s="132"/>
      <c r="AG978" s="132"/>
      <c r="AH978" s="132"/>
      <c r="AI978" s="132"/>
      <c r="AJ978" s="95"/>
      <c r="AK978" s="95"/>
      <c r="AL978" s="95"/>
      <c r="AM978" s="95"/>
      <c r="AN978" s="132"/>
      <c r="AO978" s="132"/>
      <c r="AP978" s="95"/>
      <c r="AQ978" s="132"/>
      <c r="AR978" s="132"/>
    </row>
    <row r="979" spans="25:44" s="82" customFormat="1" x14ac:dyDescent="0.2">
      <c r="Y979" s="132"/>
      <c r="Z979" s="132"/>
      <c r="AA979" s="132"/>
      <c r="AB979" s="95"/>
      <c r="AC979" s="126"/>
      <c r="AD979" s="340"/>
      <c r="AE979" s="132"/>
      <c r="AF979" s="132"/>
      <c r="AG979" s="132"/>
      <c r="AH979" s="132"/>
      <c r="AI979" s="132"/>
      <c r="AJ979" s="95"/>
      <c r="AK979" s="95"/>
      <c r="AL979" s="95"/>
      <c r="AM979" s="95"/>
      <c r="AN979" s="132"/>
      <c r="AO979" s="132"/>
      <c r="AP979" s="95"/>
      <c r="AQ979" s="132"/>
      <c r="AR979" s="132"/>
    </row>
    <row r="980" spans="25:44" s="82" customFormat="1" x14ac:dyDescent="0.2">
      <c r="Y980" s="132"/>
      <c r="Z980" s="132"/>
      <c r="AA980" s="132"/>
      <c r="AB980" s="95"/>
      <c r="AC980" s="126"/>
      <c r="AD980" s="340"/>
      <c r="AE980" s="132"/>
      <c r="AF980" s="132"/>
      <c r="AG980" s="132"/>
      <c r="AH980" s="132"/>
      <c r="AI980" s="132"/>
      <c r="AJ980" s="95"/>
      <c r="AK980" s="95"/>
      <c r="AL980" s="95"/>
      <c r="AM980" s="95"/>
      <c r="AN980" s="132"/>
      <c r="AO980" s="132"/>
      <c r="AP980" s="95"/>
      <c r="AQ980" s="132"/>
      <c r="AR980" s="132"/>
    </row>
    <row r="981" spans="25:44" s="82" customFormat="1" x14ac:dyDescent="0.2">
      <c r="Y981" s="132"/>
      <c r="Z981" s="132"/>
      <c r="AA981" s="132"/>
      <c r="AB981" s="95"/>
      <c r="AC981" s="126"/>
      <c r="AD981" s="340"/>
      <c r="AE981" s="132"/>
      <c r="AF981" s="132"/>
      <c r="AG981" s="132"/>
      <c r="AH981" s="132"/>
      <c r="AI981" s="132"/>
      <c r="AJ981" s="95"/>
      <c r="AK981" s="95"/>
      <c r="AL981" s="95"/>
      <c r="AM981" s="95"/>
      <c r="AN981" s="132"/>
      <c r="AO981" s="132"/>
      <c r="AP981" s="95"/>
      <c r="AQ981" s="132"/>
      <c r="AR981" s="132"/>
    </row>
    <row r="982" spans="25:44" s="82" customFormat="1" x14ac:dyDescent="0.2">
      <c r="Y982" s="132"/>
      <c r="Z982" s="132"/>
      <c r="AA982" s="132"/>
      <c r="AB982" s="95"/>
      <c r="AC982" s="126"/>
      <c r="AD982" s="340"/>
      <c r="AE982" s="132"/>
      <c r="AF982" s="132"/>
      <c r="AG982" s="132"/>
      <c r="AH982" s="132"/>
      <c r="AI982" s="132"/>
      <c r="AJ982" s="95"/>
      <c r="AK982" s="95"/>
      <c r="AL982" s="95"/>
      <c r="AM982" s="95"/>
      <c r="AN982" s="132"/>
      <c r="AO982" s="132"/>
      <c r="AP982" s="95"/>
      <c r="AQ982" s="132"/>
      <c r="AR982" s="132"/>
    </row>
    <row r="983" spans="25:44" s="82" customFormat="1" x14ac:dyDescent="0.2">
      <c r="Y983" s="132"/>
      <c r="Z983" s="132"/>
      <c r="AA983" s="132"/>
      <c r="AB983" s="95"/>
      <c r="AC983" s="126"/>
      <c r="AD983" s="340"/>
      <c r="AE983" s="132"/>
      <c r="AF983" s="132"/>
      <c r="AG983" s="132"/>
      <c r="AH983" s="132"/>
      <c r="AI983" s="132"/>
      <c r="AJ983" s="95"/>
      <c r="AK983" s="95"/>
      <c r="AL983" s="95"/>
      <c r="AM983" s="95"/>
      <c r="AN983" s="132"/>
      <c r="AO983" s="132"/>
      <c r="AP983" s="95"/>
      <c r="AQ983" s="132"/>
      <c r="AR983" s="132"/>
    </row>
    <row r="984" spans="25:44" s="82" customFormat="1" x14ac:dyDescent="0.2">
      <c r="Y984" s="132"/>
      <c r="Z984" s="132"/>
      <c r="AA984" s="132"/>
      <c r="AB984" s="95"/>
      <c r="AC984" s="126"/>
      <c r="AD984" s="340"/>
      <c r="AE984" s="132"/>
      <c r="AF984" s="132"/>
      <c r="AG984" s="132"/>
      <c r="AH984" s="132"/>
      <c r="AI984" s="132"/>
      <c r="AJ984" s="95"/>
      <c r="AK984" s="95"/>
      <c r="AL984" s="95"/>
      <c r="AM984" s="95"/>
      <c r="AN984" s="132"/>
      <c r="AO984" s="132"/>
      <c r="AP984" s="95"/>
      <c r="AQ984" s="132"/>
      <c r="AR984" s="132"/>
    </row>
    <row r="985" spans="25:44" s="82" customFormat="1" x14ac:dyDescent="0.2">
      <c r="Y985" s="132"/>
      <c r="Z985" s="132"/>
      <c r="AA985" s="132"/>
      <c r="AB985" s="95"/>
      <c r="AC985" s="126"/>
      <c r="AD985" s="340"/>
      <c r="AE985" s="132"/>
      <c r="AF985" s="132"/>
      <c r="AG985" s="132"/>
      <c r="AH985" s="132"/>
      <c r="AI985" s="132"/>
      <c r="AJ985" s="95"/>
      <c r="AK985" s="95"/>
      <c r="AL985" s="95"/>
      <c r="AM985" s="95"/>
      <c r="AN985" s="132"/>
      <c r="AO985" s="132"/>
      <c r="AP985" s="95"/>
      <c r="AQ985" s="132"/>
      <c r="AR985" s="132"/>
    </row>
    <row r="986" spans="25:44" s="82" customFormat="1" x14ac:dyDescent="0.2">
      <c r="Y986" s="132"/>
      <c r="Z986" s="132"/>
      <c r="AA986" s="132"/>
      <c r="AB986" s="95"/>
      <c r="AC986" s="126"/>
      <c r="AD986" s="340"/>
      <c r="AE986" s="132"/>
      <c r="AF986" s="132"/>
      <c r="AG986" s="132"/>
      <c r="AH986" s="132"/>
      <c r="AI986" s="132"/>
      <c r="AJ986" s="95"/>
      <c r="AK986" s="95"/>
      <c r="AL986" s="95"/>
      <c r="AM986" s="95"/>
      <c r="AN986" s="132"/>
      <c r="AO986" s="132"/>
      <c r="AP986" s="95"/>
      <c r="AQ986" s="132"/>
      <c r="AR986" s="132"/>
    </row>
    <row r="987" spans="25:44" s="82" customFormat="1" x14ac:dyDescent="0.2">
      <c r="Y987" s="132"/>
      <c r="Z987" s="132"/>
      <c r="AA987" s="132"/>
      <c r="AB987" s="95"/>
      <c r="AC987" s="126"/>
      <c r="AD987" s="340"/>
      <c r="AE987" s="132"/>
      <c r="AF987" s="132"/>
      <c r="AG987" s="132"/>
      <c r="AH987" s="132"/>
      <c r="AI987" s="132"/>
      <c r="AJ987" s="95"/>
      <c r="AK987" s="95"/>
      <c r="AL987" s="95"/>
      <c r="AM987" s="95"/>
      <c r="AN987" s="132"/>
      <c r="AO987" s="132"/>
      <c r="AP987" s="95"/>
      <c r="AQ987" s="132"/>
      <c r="AR987" s="132"/>
    </row>
    <row r="988" spans="25:44" s="82" customFormat="1" x14ac:dyDescent="0.2">
      <c r="Y988" s="132"/>
      <c r="Z988" s="132"/>
      <c r="AA988" s="132"/>
      <c r="AB988" s="95"/>
      <c r="AC988" s="126"/>
      <c r="AD988" s="340"/>
      <c r="AE988" s="132"/>
      <c r="AF988" s="132"/>
      <c r="AG988" s="132"/>
      <c r="AH988" s="132"/>
      <c r="AI988" s="132"/>
      <c r="AJ988" s="95"/>
      <c r="AK988" s="95"/>
      <c r="AL988" s="95"/>
      <c r="AM988" s="95"/>
      <c r="AN988" s="132"/>
      <c r="AO988" s="132"/>
      <c r="AP988" s="95"/>
      <c r="AQ988" s="132"/>
      <c r="AR988" s="132"/>
    </row>
    <row r="989" spans="25:44" s="82" customFormat="1" x14ac:dyDescent="0.2">
      <c r="Y989" s="132"/>
      <c r="Z989" s="132"/>
      <c r="AA989" s="132"/>
      <c r="AB989" s="95"/>
      <c r="AC989" s="126"/>
      <c r="AD989" s="340"/>
      <c r="AE989" s="132"/>
      <c r="AF989" s="132"/>
      <c r="AG989" s="132"/>
      <c r="AH989" s="132"/>
      <c r="AI989" s="132"/>
      <c r="AJ989" s="95"/>
      <c r="AK989" s="95"/>
      <c r="AL989" s="95"/>
      <c r="AM989" s="95"/>
      <c r="AN989" s="132"/>
      <c r="AO989" s="132"/>
      <c r="AP989" s="95"/>
      <c r="AQ989" s="132"/>
      <c r="AR989" s="132"/>
    </row>
    <row r="990" spans="25:44" s="82" customFormat="1" x14ac:dyDescent="0.2">
      <c r="Y990" s="132"/>
      <c r="Z990" s="132"/>
      <c r="AA990" s="132"/>
      <c r="AB990" s="95"/>
      <c r="AC990" s="126"/>
      <c r="AD990" s="340"/>
      <c r="AE990" s="132"/>
      <c r="AF990" s="132"/>
      <c r="AG990" s="132"/>
      <c r="AH990" s="132"/>
      <c r="AI990" s="132"/>
      <c r="AJ990" s="95"/>
      <c r="AK990" s="95"/>
      <c r="AL990" s="95"/>
      <c r="AM990" s="95"/>
      <c r="AN990" s="132"/>
      <c r="AO990" s="132"/>
      <c r="AP990" s="95"/>
      <c r="AQ990" s="132"/>
      <c r="AR990" s="132"/>
    </row>
    <row r="991" spans="25:44" s="82" customFormat="1" x14ac:dyDescent="0.2">
      <c r="Y991" s="132"/>
      <c r="Z991" s="132"/>
      <c r="AA991" s="132"/>
      <c r="AB991" s="95"/>
      <c r="AC991" s="126"/>
      <c r="AD991" s="340"/>
      <c r="AE991" s="132"/>
      <c r="AF991" s="132"/>
      <c r="AG991" s="132"/>
      <c r="AH991" s="132"/>
      <c r="AI991" s="132"/>
      <c r="AJ991" s="95"/>
      <c r="AK991" s="95"/>
      <c r="AL991" s="95"/>
      <c r="AM991" s="95"/>
      <c r="AN991" s="132"/>
      <c r="AO991" s="132"/>
      <c r="AP991" s="95"/>
      <c r="AQ991" s="132"/>
      <c r="AR991" s="132"/>
    </row>
    <row r="992" spans="25:44" s="82" customFormat="1" x14ac:dyDescent="0.2">
      <c r="Y992" s="132"/>
      <c r="Z992" s="132"/>
      <c r="AA992" s="132"/>
      <c r="AB992" s="95"/>
      <c r="AC992" s="126"/>
      <c r="AD992" s="340"/>
      <c r="AE992" s="132"/>
      <c r="AF992" s="132"/>
      <c r="AG992" s="132"/>
      <c r="AH992" s="132"/>
      <c r="AI992" s="132"/>
      <c r="AJ992" s="95"/>
      <c r="AK992" s="95"/>
      <c r="AL992" s="95"/>
      <c r="AM992" s="95"/>
      <c r="AN992" s="132"/>
      <c r="AO992" s="132"/>
      <c r="AP992" s="95"/>
      <c r="AQ992" s="132"/>
      <c r="AR992" s="132"/>
    </row>
    <row r="993" spans="25:44" s="82" customFormat="1" x14ac:dyDescent="0.2">
      <c r="Y993" s="132"/>
      <c r="Z993" s="132"/>
      <c r="AA993" s="132"/>
      <c r="AB993" s="95"/>
      <c r="AC993" s="126"/>
      <c r="AD993" s="340"/>
      <c r="AE993" s="132"/>
      <c r="AF993" s="132"/>
      <c r="AG993" s="132"/>
      <c r="AH993" s="132"/>
      <c r="AI993" s="132"/>
      <c r="AJ993" s="95"/>
      <c r="AK993" s="95"/>
      <c r="AL993" s="95"/>
      <c r="AM993" s="95"/>
      <c r="AN993" s="132"/>
      <c r="AO993" s="132"/>
      <c r="AP993" s="95"/>
      <c r="AQ993" s="132"/>
      <c r="AR993" s="132"/>
    </row>
    <row r="994" spans="25:44" s="82" customFormat="1" x14ac:dyDescent="0.2">
      <c r="Y994" s="132"/>
      <c r="Z994" s="132"/>
      <c r="AA994" s="132"/>
      <c r="AB994" s="95"/>
      <c r="AC994" s="126"/>
      <c r="AD994" s="340"/>
      <c r="AE994" s="132"/>
      <c r="AF994" s="132"/>
      <c r="AG994" s="132"/>
      <c r="AH994" s="132"/>
      <c r="AI994" s="132"/>
      <c r="AJ994" s="95"/>
      <c r="AK994" s="95"/>
      <c r="AL994" s="95"/>
      <c r="AM994" s="95"/>
      <c r="AN994" s="132"/>
      <c r="AO994" s="132"/>
      <c r="AP994" s="95"/>
      <c r="AQ994" s="132"/>
      <c r="AR994" s="132"/>
    </row>
    <row r="995" spans="25:44" s="82" customFormat="1" x14ac:dyDescent="0.2">
      <c r="Y995" s="132"/>
      <c r="Z995" s="132"/>
      <c r="AA995" s="132"/>
      <c r="AB995" s="95"/>
      <c r="AC995" s="126"/>
      <c r="AD995" s="340"/>
      <c r="AE995" s="132"/>
      <c r="AF995" s="132"/>
      <c r="AG995" s="132"/>
      <c r="AH995" s="132"/>
      <c r="AI995" s="132"/>
      <c r="AJ995" s="95"/>
      <c r="AK995" s="95"/>
      <c r="AL995" s="95"/>
      <c r="AM995" s="95"/>
      <c r="AN995" s="132"/>
      <c r="AO995" s="132"/>
      <c r="AP995" s="95"/>
      <c r="AQ995" s="132"/>
      <c r="AR995" s="132"/>
    </row>
    <row r="996" spans="25:44" s="82" customFormat="1" x14ac:dyDescent="0.2">
      <c r="Y996" s="132"/>
      <c r="Z996" s="132"/>
      <c r="AA996" s="132"/>
      <c r="AB996" s="95"/>
      <c r="AC996" s="126"/>
      <c r="AD996" s="340"/>
      <c r="AE996" s="132"/>
      <c r="AF996" s="132"/>
      <c r="AG996" s="132"/>
      <c r="AH996" s="132"/>
      <c r="AI996" s="132"/>
      <c r="AJ996" s="95"/>
      <c r="AK996" s="95"/>
      <c r="AL996" s="95"/>
      <c r="AM996" s="95"/>
      <c r="AN996" s="132"/>
      <c r="AO996" s="132"/>
      <c r="AP996" s="95"/>
      <c r="AQ996" s="132"/>
      <c r="AR996" s="132"/>
    </row>
    <row r="997" spans="25:44" s="82" customFormat="1" x14ac:dyDescent="0.2">
      <c r="Y997" s="132"/>
      <c r="Z997" s="132"/>
      <c r="AA997" s="132"/>
      <c r="AB997" s="95"/>
      <c r="AC997" s="126"/>
      <c r="AD997" s="340"/>
      <c r="AE997" s="132"/>
      <c r="AF997" s="132"/>
      <c r="AG997" s="132"/>
      <c r="AH997" s="132"/>
      <c r="AI997" s="132"/>
      <c r="AJ997" s="95"/>
      <c r="AK997" s="95"/>
      <c r="AL997" s="95"/>
      <c r="AM997" s="95"/>
      <c r="AN997" s="132"/>
      <c r="AO997" s="132"/>
      <c r="AP997" s="95"/>
      <c r="AQ997" s="132"/>
      <c r="AR997" s="132"/>
    </row>
    <row r="998" spans="25:44" s="82" customFormat="1" x14ac:dyDescent="0.2">
      <c r="Y998" s="132"/>
      <c r="Z998" s="132"/>
      <c r="AA998" s="132"/>
      <c r="AB998" s="95"/>
      <c r="AC998" s="126"/>
      <c r="AD998" s="340"/>
      <c r="AE998" s="132"/>
      <c r="AF998" s="132"/>
      <c r="AG998" s="132"/>
      <c r="AH998" s="132"/>
      <c r="AI998" s="132"/>
      <c r="AJ998" s="95"/>
      <c r="AK998" s="95"/>
      <c r="AL998" s="95"/>
      <c r="AM998" s="95"/>
      <c r="AN998" s="132"/>
      <c r="AO998" s="132"/>
      <c r="AP998" s="95"/>
      <c r="AQ998" s="132"/>
      <c r="AR998" s="132"/>
    </row>
    <row r="999" spans="25:44" s="82" customFormat="1" x14ac:dyDescent="0.2">
      <c r="Y999" s="132"/>
      <c r="Z999" s="132"/>
      <c r="AA999" s="132"/>
      <c r="AB999" s="95"/>
      <c r="AC999" s="126"/>
      <c r="AD999" s="340"/>
      <c r="AE999" s="132"/>
      <c r="AF999" s="132"/>
      <c r="AG999" s="132"/>
      <c r="AH999" s="132"/>
      <c r="AI999" s="132"/>
      <c r="AJ999" s="95"/>
      <c r="AK999" s="95"/>
      <c r="AL999" s="95"/>
      <c r="AM999" s="95"/>
      <c r="AN999" s="132"/>
      <c r="AO999" s="132"/>
      <c r="AP999" s="95"/>
      <c r="AQ999" s="132"/>
      <c r="AR999" s="132"/>
    </row>
    <row r="1000" spans="25:44" s="82" customFormat="1" x14ac:dyDescent="0.2">
      <c r="Y1000" s="132"/>
      <c r="Z1000" s="132"/>
      <c r="AA1000" s="132"/>
      <c r="AB1000" s="95"/>
      <c r="AC1000" s="126"/>
      <c r="AD1000" s="340"/>
      <c r="AE1000" s="132"/>
      <c r="AF1000" s="132"/>
      <c r="AG1000" s="132"/>
      <c r="AH1000" s="132"/>
      <c r="AI1000" s="132"/>
      <c r="AJ1000" s="95"/>
      <c r="AK1000" s="95"/>
      <c r="AL1000" s="95"/>
      <c r="AM1000" s="95"/>
      <c r="AN1000" s="132"/>
      <c r="AO1000" s="132"/>
      <c r="AP1000" s="95"/>
      <c r="AQ1000" s="132"/>
      <c r="AR1000" s="132"/>
    </row>
    <row r="1001" spans="25:44" s="82" customFormat="1" x14ac:dyDescent="0.2">
      <c r="Y1001" s="132"/>
      <c r="Z1001" s="132"/>
      <c r="AA1001" s="132"/>
      <c r="AB1001" s="95"/>
      <c r="AC1001" s="126"/>
      <c r="AD1001" s="340"/>
      <c r="AE1001" s="132"/>
      <c r="AF1001" s="132"/>
      <c r="AG1001" s="132"/>
      <c r="AH1001" s="132"/>
      <c r="AI1001" s="132"/>
      <c r="AJ1001" s="95"/>
      <c r="AK1001" s="95"/>
      <c r="AL1001" s="95"/>
      <c r="AM1001" s="95"/>
      <c r="AN1001" s="132"/>
      <c r="AO1001" s="132"/>
      <c r="AP1001" s="95"/>
      <c r="AQ1001" s="132"/>
      <c r="AR1001" s="132"/>
    </row>
    <row r="1002" spans="25:44" s="82" customFormat="1" x14ac:dyDescent="0.2">
      <c r="Y1002" s="132"/>
      <c r="Z1002" s="132"/>
      <c r="AA1002" s="132"/>
      <c r="AB1002" s="95"/>
      <c r="AC1002" s="126"/>
      <c r="AD1002" s="340"/>
      <c r="AE1002" s="132"/>
      <c r="AF1002" s="132"/>
      <c r="AG1002" s="132"/>
      <c r="AH1002" s="132"/>
      <c r="AI1002" s="132"/>
      <c r="AJ1002" s="95"/>
      <c r="AK1002" s="95"/>
      <c r="AL1002" s="95"/>
      <c r="AM1002" s="95"/>
      <c r="AN1002" s="132"/>
      <c r="AO1002" s="132"/>
      <c r="AP1002" s="95"/>
      <c r="AQ1002" s="132"/>
      <c r="AR1002" s="132"/>
    </row>
    <row r="1003" spans="25:44" s="82" customFormat="1" x14ac:dyDescent="0.2">
      <c r="Y1003" s="132"/>
      <c r="Z1003" s="132"/>
      <c r="AA1003" s="132"/>
      <c r="AB1003" s="95"/>
      <c r="AC1003" s="126"/>
      <c r="AD1003" s="340"/>
      <c r="AE1003" s="132"/>
      <c r="AF1003" s="132"/>
      <c r="AG1003" s="132"/>
      <c r="AH1003" s="132"/>
      <c r="AI1003" s="132"/>
      <c r="AJ1003" s="95"/>
      <c r="AK1003" s="95"/>
      <c r="AL1003" s="95"/>
      <c r="AM1003" s="95"/>
      <c r="AN1003" s="132"/>
      <c r="AO1003" s="132"/>
      <c r="AP1003" s="95"/>
      <c r="AQ1003" s="132"/>
      <c r="AR1003" s="132"/>
    </row>
    <row r="1004" spans="25:44" s="82" customFormat="1" x14ac:dyDescent="0.2">
      <c r="Y1004" s="132"/>
      <c r="Z1004" s="132"/>
      <c r="AA1004" s="132"/>
      <c r="AB1004" s="95"/>
      <c r="AC1004" s="126"/>
      <c r="AD1004" s="340"/>
      <c r="AE1004" s="132"/>
      <c r="AF1004" s="132"/>
      <c r="AG1004" s="132"/>
      <c r="AH1004" s="132"/>
      <c r="AI1004" s="132"/>
      <c r="AJ1004" s="95"/>
      <c r="AK1004" s="95"/>
      <c r="AL1004" s="95"/>
      <c r="AM1004" s="95"/>
      <c r="AN1004" s="132"/>
      <c r="AO1004" s="132"/>
      <c r="AP1004" s="95"/>
      <c r="AQ1004" s="132"/>
      <c r="AR1004" s="132"/>
    </row>
    <row r="1005" spans="25:44" s="82" customFormat="1" x14ac:dyDescent="0.2">
      <c r="Y1005" s="132"/>
      <c r="Z1005" s="132"/>
      <c r="AA1005" s="132"/>
      <c r="AB1005" s="95"/>
      <c r="AC1005" s="126"/>
      <c r="AD1005" s="340"/>
      <c r="AE1005" s="132"/>
      <c r="AF1005" s="132"/>
      <c r="AG1005" s="132"/>
      <c r="AH1005" s="132"/>
      <c r="AI1005" s="132"/>
      <c r="AJ1005" s="95"/>
      <c r="AK1005" s="95"/>
      <c r="AL1005" s="95"/>
      <c r="AM1005" s="95"/>
      <c r="AN1005" s="132"/>
      <c r="AO1005" s="132"/>
      <c r="AP1005" s="95"/>
      <c r="AQ1005" s="132"/>
      <c r="AR1005" s="132"/>
    </row>
    <row r="1006" spans="25:44" s="82" customFormat="1" x14ac:dyDescent="0.2">
      <c r="Y1006" s="132"/>
      <c r="Z1006" s="132"/>
      <c r="AA1006" s="132"/>
      <c r="AB1006" s="95"/>
      <c r="AC1006" s="126"/>
      <c r="AD1006" s="340"/>
      <c r="AE1006" s="132"/>
      <c r="AF1006" s="132"/>
      <c r="AG1006" s="132"/>
      <c r="AH1006" s="132"/>
      <c r="AI1006" s="132"/>
      <c r="AJ1006" s="95"/>
      <c r="AK1006" s="95"/>
      <c r="AL1006" s="95"/>
      <c r="AM1006" s="95"/>
      <c r="AN1006" s="132"/>
      <c r="AO1006" s="132"/>
      <c r="AP1006" s="95"/>
      <c r="AQ1006" s="132"/>
      <c r="AR1006" s="132"/>
    </row>
    <row r="1007" spans="25:44" s="82" customFormat="1" x14ac:dyDescent="0.2">
      <c r="Y1007" s="132"/>
      <c r="Z1007" s="132"/>
      <c r="AA1007" s="132"/>
      <c r="AB1007" s="95"/>
      <c r="AC1007" s="126"/>
      <c r="AD1007" s="340"/>
      <c r="AE1007" s="132"/>
      <c r="AF1007" s="132"/>
      <c r="AG1007" s="132"/>
      <c r="AH1007" s="132"/>
      <c r="AI1007" s="132"/>
      <c r="AJ1007" s="95"/>
      <c r="AK1007" s="95"/>
      <c r="AL1007" s="95"/>
      <c r="AM1007" s="95"/>
      <c r="AN1007" s="132"/>
      <c r="AO1007" s="132"/>
      <c r="AP1007" s="95"/>
      <c r="AQ1007" s="132"/>
      <c r="AR1007" s="132"/>
    </row>
    <row r="1008" spans="25:44" s="82" customFormat="1" x14ac:dyDescent="0.2">
      <c r="Y1008" s="132"/>
      <c r="Z1008" s="132"/>
      <c r="AA1008" s="132"/>
      <c r="AB1008" s="95"/>
      <c r="AC1008" s="126"/>
      <c r="AD1008" s="340"/>
      <c r="AE1008" s="132"/>
      <c r="AF1008" s="132"/>
      <c r="AG1008" s="132"/>
      <c r="AH1008" s="132"/>
      <c r="AI1008" s="132"/>
      <c r="AJ1008" s="95"/>
      <c r="AK1008" s="95"/>
      <c r="AL1008" s="95"/>
      <c r="AM1008" s="95"/>
      <c r="AN1008" s="132"/>
      <c r="AO1008" s="132"/>
      <c r="AP1008" s="95"/>
      <c r="AQ1008" s="132"/>
      <c r="AR1008" s="132"/>
    </row>
    <row r="1009" spans="25:44" s="82" customFormat="1" x14ac:dyDescent="0.2">
      <c r="Y1009" s="132"/>
      <c r="Z1009" s="132"/>
      <c r="AA1009" s="132"/>
      <c r="AB1009" s="95"/>
      <c r="AC1009" s="126"/>
      <c r="AD1009" s="340"/>
      <c r="AE1009" s="132"/>
      <c r="AF1009" s="132"/>
      <c r="AG1009" s="132"/>
      <c r="AH1009" s="132"/>
      <c r="AI1009" s="132"/>
      <c r="AJ1009" s="95"/>
      <c r="AK1009" s="95"/>
      <c r="AL1009" s="95"/>
      <c r="AM1009" s="95"/>
      <c r="AN1009" s="132"/>
      <c r="AO1009" s="132"/>
      <c r="AP1009" s="95"/>
      <c r="AQ1009" s="132"/>
      <c r="AR1009" s="132"/>
    </row>
    <row r="1010" spans="25:44" s="82" customFormat="1" x14ac:dyDescent="0.2">
      <c r="Y1010" s="132"/>
      <c r="Z1010" s="132"/>
      <c r="AA1010" s="132"/>
      <c r="AB1010" s="95"/>
      <c r="AC1010" s="126"/>
      <c r="AD1010" s="340"/>
      <c r="AE1010" s="132"/>
      <c r="AF1010" s="132"/>
      <c r="AG1010" s="132"/>
      <c r="AH1010" s="132"/>
      <c r="AI1010" s="132"/>
      <c r="AJ1010" s="95"/>
      <c r="AK1010" s="95"/>
      <c r="AL1010" s="95"/>
      <c r="AM1010" s="95"/>
      <c r="AN1010" s="132"/>
      <c r="AO1010" s="132"/>
      <c r="AP1010" s="95"/>
      <c r="AQ1010" s="132"/>
      <c r="AR1010" s="132"/>
    </row>
    <row r="1011" spans="25:44" s="82" customFormat="1" x14ac:dyDescent="0.2">
      <c r="Y1011" s="132"/>
      <c r="Z1011" s="132"/>
      <c r="AA1011" s="132"/>
      <c r="AB1011" s="95"/>
      <c r="AC1011" s="126"/>
      <c r="AD1011" s="340"/>
      <c r="AE1011" s="132"/>
      <c r="AF1011" s="132"/>
      <c r="AG1011" s="132"/>
      <c r="AH1011" s="132"/>
      <c r="AI1011" s="132"/>
      <c r="AJ1011" s="95"/>
      <c r="AK1011" s="95"/>
      <c r="AL1011" s="95"/>
      <c r="AM1011" s="95"/>
      <c r="AN1011" s="132"/>
      <c r="AO1011" s="132"/>
      <c r="AP1011" s="95"/>
      <c r="AQ1011" s="132"/>
      <c r="AR1011" s="132"/>
    </row>
    <row r="1012" spans="25:44" s="82" customFormat="1" x14ac:dyDescent="0.2">
      <c r="Y1012" s="132"/>
      <c r="Z1012" s="132"/>
      <c r="AA1012" s="132"/>
      <c r="AB1012" s="95"/>
      <c r="AC1012" s="126"/>
      <c r="AD1012" s="340"/>
      <c r="AE1012" s="132"/>
      <c r="AF1012" s="132"/>
      <c r="AG1012" s="132"/>
      <c r="AH1012" s="132"/>
      <c r="AI1012" s="132"/>
      <c r="AJ1012" s="95"/>
      <c r="AK1012" s="95"/>
      <c r="AL1012" s="95"/>
      <c r="AM1012" s="95"/>
      <c r="AN1012" s="132"/>
      <c r="AO1012" s="132"/>
      <c r="AP1012" s="95"/>
      <c r="AQ1012" s="132"/>
      <c r="AR1012" s="132"/>
    </row>
    <row r="1013" spans="25:44" s="82" customFormat="1" x14ac:dyDescent="0.2">
      <c r="Y1013" s="132"/>
      <c r="Z1013" s="132"/>
      <c r="AA1013" s="132"/>
      <c r="AB1013" s="95"/>
      <c r="AC1013" s="126"/>
      <c r="AD1013" s="340"/>
      <c r="AE1013" s="132"/>
      <c r="AF1013" s="132"/>
      <c r="AG1013" s="132"/>
      <c r="AH1013" s="132"/>
      <c r="AI1013" s="132"/>
      <c r="AJ1013" s="95"/>
      <c r="AK1013" s="95"/>
      <c r="AL1013" s="95"/>
      <c r="AM1013" s="95"/>
      <c r="AN1013" s="132"/>
      <c r="AO1013" s="132"/>
      <c r="AP1013" s="95"/>
      <c r="AQ1013" s="132"/>
      <c r="AR1013" s="132"/>
    </row>
    <row r="1014" spans="25:44" s="82" customFormat="1" x14ac:dyDescent="0.2">
      <c r="Y1014" s="132"/>
      <c r="Z1014" s="132"/>
      <c r="AA1014" s="132"/>
      <c r="AB1014" s="95"/>
      <c r="AC1014" s="126"/>
      <c r="AD1014" s="340"/>
      <c r="AE1014" s="132"/>
      <c r="AF1014" s="132"/>
      <c r="AG1014" s="132"/>
      <c r="AH1014" s="132"/>
      <c r="AI1014" s="132"/>
      <c r="AJ1014" s="95"/>
      <c r="AK1014" s="95"/>
      <c r="AL1014" s="95"/>
      <c r="AM1014" s="95"/>
      <c r="AN1014" s="132"/>
      <c r="AO1014" s="132"/>
      <c r="AP1014" s="95"/>
      <c r="AQ1014" s="132"/>
      <c r="AR1014" s="132"/>
    </row>
    <row r="1015" spans="25:44" s="82" customFormat="1" x14ac:dyDescent="0.2">
      <c r="Y1015" s="132"/>
      <c r="Z1015" s="132"/>
      <c r="AA1015" s="132"/>
      <c r="AB1015" s="95"/>
      <c r="AC1015" s="126"/>
      <c r="AD1015" s="340"/>
      <c r="AE1015" s="132"/>
      <c r="AF1015" s="132"/>
      <c r="AG1015" s="132"/>
      <c r="AH1015" s="132"/>
      <c r="AI1015" s="132"/>
      <c r="AJ1015" s="95"/>
      <c r="AK1015" s="95"/>
      <c r="AL1015" s="95"/>
      <c r="AM1015" s="95"/>
      <c r="AN1015" s="132"/>
      <c r="AO1015" s="132"/>
      <c r="AP1015" s="95"/>
      <c r="AQ1015" s="132"/>
      <c r="AR1015" s="132"/>
    </row>
    <row r="1016" spans="25:44" s="82" customFormat="1" x14ac:dyDescent="0.2">
      <c r="Y1016" s="132"/>
      <c r="Z1016" s="132"/>
      <c r="AA1016" s="132"/>
      <c r="AB1016" s="95"/>
      <c r="AC1016" s="126"/>
      <c r="AD1016" s="340"/>
      <c r="AE1016" s="132"/>
      <c r="AF1016" s="132"/>
      <c r="AG1016" s="132"/>
      <c r="AH1016" s="132"/>
      <c r="AI1016" s="132"/>
      <c r="AJ1016" s="95"/>
      <c r="AK1016" s="95"/>
      <c r="AL1016" s="95"/>
      <c r="AM1016" s="95"/>
      <c r="AN1016" s="132"/>
      <c r="AO1016" s="132"/>
      <c r="AP1016" s="95"/>
      <c r="AQ1016" s="132"/>
      <c r="AR1016" s="132"/>
    </row>
    <row r="1017" spans="25:44" s="82" customFormat="1" x14ac:dyDescent="0.2">
      <c r="Y1017" s="132"/>
      <c r="Z1017" s="132"/>
      <c r="AA1017" s="132"/>
      <c r="AB1017" s="95"/>
      <c r="AC1017" s="126"/>
      <c r="AD1017" s="340"/>
      <c r="AE1017" s="132"/>
      <c r="AF1017" s="132"/>
      <c r="AG1017" s="132"/>
      <c r="AH1017" s="132"/>
      <c r="AI1017" s="132"/>
      <c r="AJ1017" s="95"/>
      <c r="AK1017" s="95"/>
      <c r="AL1017" s="95"/>
      <c r="AM1017" s="95"/>
      <c r="AN1017" s="132"/>
      <c r="AO1017" s="132"/>
      <c r="AP1017" s="95"/>
      <c r="AQ1017" s="132"/>
      <c r="AR1017" s="132"/>
    </row>
    <row r="1018" spans="25:44" s="82" customFormat="1" x14ac:dyDescent="0.2">
      <c r="Y1018" s="132"/>
      <c r="Z1018" s="132"/>
      <c r="AA1018" s="132"/>
      <c r="AB1018" s="95"/>
      <c r="AC1018" s="126"/>
      <c r="AD1018" s="340"/>
      <c r="AE1018" s="132"/>
      <c r="AF1018" s="132"/>
      <c r="AG1018" s="132"/>
      <c r="AH1018" s="132"/>
      <c r="AI1018" s="132"/>
      <c r="AJ1018" s="95"/>
      <c r="AK1018" s="95"/>
      <c r="AL1018" s="95"/>
      <c r="AM1018" s="95"/>
      <c r="AN1018" s="132"/>
      <c r="AO1018" s="132"/>
      <c r="AP1018" s="95"/>
      <c r="AQ1018" s="132"/>
      <c r="AR1018" s="132"/>
    </row>
    <row r="1019" spans="25:44" s="82" customFormat="1" x14ac:dyDescent="0.2">
      <c r="Y1019" s="132"/>
      <c r="Z1019" s="132"/>
      <c r="AA1019" s="132"/>
      <c r="AB1019" s="95"/>
      <c r="AC1019" s="126"/>
      <c r="AD1019" s="340"/>
      <c r="AE1019" s="132"/>
      <c r="AF1019" s="132"/>
      <c r="AG1019" s="132"/>
      <c r="AH1019" s="132"/>
      <c r="AI1019" s="132"/>
      <c r="AJ1019" s="95"/>
      <c r="AK1019" s="95"/>
      <c r="AL1019" s="95"/>
      <c r="AM1019" s="95"/>
      <c r="AN1019" s="132"/>
      <c r="AO1019" s="132"/>
      <c r="AP1019" s="95"/>
      <c r="AQ1019" s="132"/>
      <c r="AR1019" s="132"/>
    </row>
    <row r="1020" spans="25:44" s="82" customFormat="1" x14ac:dyDescent="0.2">
      <c r="Y1020" s="132"/>
      <c r="Z1020" s="132"/>
      <c r="AA1020" s="132"/>
      <c r="AB1020" s="95"/>
      <c r="AC1020" s="126"/>
      <c r="AD1020" s="340"/>
      <c r="AE1020" s="132"/>
      <c r="AF1020" s="132"/>
      <c r="AG1020" s="132"/>
      <c r="AH1020" s="132"/>
      <c r="AI1020" s="132"/>
      <c r="AJ1020" s="95"/>
      <c r="AK1020" s="95"/>
      <c r="AL1020" s="95"/>
      <c r="AM1020" s="95"/>
      <c r="AN1020" s="132"/>
      <c r="AO1020" s="132"/>
      <c r="AP1020" s="95"/>
      <c r="AQ1020" s="132"/>
      <c r="AR1020" s="132"/>
    </row>
    <row r="1021" spans="25:44" s="82" customFormat="1" x14ac:dyDescent="0.2">
      <c r="Y1021" s="132"/>
      <c r="Z1021" s="132"/>
      <c r="AA1021" s="132"/>
      <c r="AB1021" s="95"/>
      <c r="AC1021" s="126"/>
      <c r="AD1021" s="340"/>
      <c r="AE1021" s="132"/>
      <c r="AF1021" s="132"/>
      <c r="AG1021" s="132"/>
      <c r="AH1021" s="132"/>
      <c r="AI1021" s="132"/>
      <c r="AJ1021" s="95"/>
      <c r="AK1021" s="95"/>
      <c r="AL1021" s="95"/>
      <c r="AM1021" s="95"/>
      <c r="AN1021" s="132"/>
      <c r="AO1021" s="132"/>
      <c r="AP1021" s="95"/>
      <c r="AQ1021" s="132"/>
      <c r="AR1021" s="132"/>
    </row>
    <row r="1022" spans="25:44" s="82" customFormat="1" x14ac:dyDescent="0.2">
      <c r="Y1022" s="132"/>
      <c r="Z1022" s="132"/>
      <c r="AA1022" s="132"/>
      <c r="AB1022" s="95"/>
      <c r="AC1022" s="126"/>
      <c r="AD1022" s="340"/>
      <c r="AE1022" s="132"/>
      <c r="AF1022" s="132"/>
      <c r="AG1022" s="132"/>
      <c r="AH1022" s="132"/>
      <c r="AI1022" s="132"/>
      <c r="AJ1022" s="95"/>
      <c r="AK1022" s="95"/>
      <c r="AL1022" s="95"/>
      <c r="AM1022" s="95"/>
      <c r="AN1022" s="132"/>
      <c r="AO1022" s="132"/>
      <c r="AP1022" s="95"/>
      <c r="AQ1022" s="132"/>
      <c r="AR1022" s="132"/>
    </row>
    <row r="1023" spans="25:44" s="82" customFormat="1" x14ac:dyDescent="0.2">
      <c r="Y1023" s="132"/>
      <c r="Z1023" s="132"/>
      <c r="AA1023" s="132"/>
      <c r="AB1023" s="95"/>
      <c r="AC1023" s="126"/>
      <c r="AD1023" s="340"/>
      <c r="AE1023" s="132"/>
      <c r="AF1023" s="132"/>
      <c r="AG1023" s="132"/>
      <c r="AH1023" s="132"/>
      <c r="AI1023" s="132"/>
      <c r="AJ1023" s="95"/>
      <c r="AK1023" s="95"/>
      <c r="AL1023" s="95"/>
      <c r="AM1023" s="95"/>
      <c r="AN1023" s="132"/>
      <c r="AO1023" s="132"/>
      <c r="AP1023" s="95"/>
      <c r="AQ1023" s="132"/>
      <c r="AR1023" s="132"/>
    </row>
    <row r="1024" spans="25:44" s="82" customFormat="1" x14ac:dyDescent="0.2">
      <c r="Y1024" s="132"/>
      <c r="Z1024" s="132"/>
      <c r="AA1024" s="132"/>
      <c r="AB1024" s="95"/>
      <c r="AC1024" s="126"/>
      <c r="AD1024" s="340"/>
      <c r="AE1024" s="132"/>
      <c r="AF1024" s="132"/>
      <c r="AG1024" s="132"/>
      <c r="AH1024" s="132"/>
      <c r="AI1024" s="132"/>
      <c r="AJ1024" s="95"/>
      <c r="AK1024" s="95"/>
      <c r="AL1024" s="95"/>
      <c r="AM1024" s="95"/>
      <c r="AN1024" s="132"/>
      <c r="AO1024" s="132"/>
      <c r="AP1024" s="95"/>
      <c r="AQ1024" s="132"/>
      <c r="AR1024" s="132"/>
    </row>
    <row r="1025" spans="25:44" s="82" customFormat="1" x14ac:dyDescent="0.2">
      <c r="Y1025" s="132"/>
      <c r="Z1025" s="132"/>
      <c r="AA1025" s="132"/>
      <c r="AB1025" s="95"/>
      <c r="AC1025" s="126"/>
      <c r="AD1025" s="340"/>
      <c r="AE1025" s="132"/>
      <c r="AF1025" s="132"/>
      <c r="AG1025" s="132"/>
      <c r="AH1025" s="132"/>
      <c r="AI1025" s="132"/>
      <c r="AJ1025" s="95"/>
      <c r="AK1025" s="95"/>
      <c r="AL1025" s="95"/>
      <c r="AM1025" s="95"/>
      <c r="AN1025" s="132"/>
      <c r="AO1025" s="132"/>
      <c r="AP1025" s="95"/>
      <c r="AQ1025" s="132"/>
      <c r="AR1025" s="132"/>
    </row>
    <row r="1026" spans="25:44" s="82" customFormat="1" x14ac:dyDescent="0.2">
      <c r="Y1026" s="132"/>
      <c r="Z1026" s="132"/>
      <c r="AA1026" s="132"/>
      <c r="AB1026" s="95"/>
      <c r="AC1026" s="126"/>
      <c r="AD1026" s="340"/>
      <c r="AE1026" s="132"/>
      <c r="AF1026" s="132"/>
      <c r="AG1026" s="132"/>
      <c r="AH1026" s="132"/>
      <c r="AI1026" s="132"/>
      <c r="AJ1026" s="95"/>
      <c r="AK1026" s="95"/>
      <c r="AL1026" s="95"/>
      <c r="AM1026" s="95"/>
      <c r="AN1026" s="132"/>
      <c r="AO1026" s="132"/>
      <c r="AP1026" s="95"/>
      <c r="AQ1026" s="132"/>
      <c r="AR1026" s="132"/>
    </row>
    <row r="1027" spans="25:44" s="82" customFormat="1" x14ac:dyDescent="0.2">
      <c r="Y1027" s="132"/>
      <c r="Z1027" s="132"/>
      <c r="AA1027" s="132"/>
      <c r="AB1027" s="95"/>
      <c r="AC1027" s="126"/>
      <c r="AD1027" s="340"/>
      <c r="AE1027" s="132"/>
      <c r="AF1027" s="132"/>
      <c r="AG1027" s="132"/>
      <c r="AH1027" s="132"/>
      <c r="AI1027" s="132"/>
      <c r="AJ1027" s="95"/>
      <c r="AK1027" s="95"/>
      <c r="AL1027" s="95"/>
      <c r="AM1027" s="95"/>
      <c r="AN1027" s="132"/>
      <c r="AO1027" s="132"/>
      <c r="AP1027" s="95"/>
      <c r="AQ1027" s="132"/>
      <c r="AR1027" s="132"/>
    </row>
    <row r="1028" spans="25:44" s="82" customFormat="1" x14ac:dyDescent="0.2">
      <c r="Y1028" s="132"/>
      <c r="Z1028" s="132"/>
      <c r="AA1028" s="132"/>
      <c r="AB1028" s="95"/>
      <c r="AC1028" s="126"/>
      <c r="AD1028" s="340"/>
      <c r="AE1028" s="132"/>
      <c r="AF1028" s="132"/>
      <c r="AG1028" s="132"/>
      <c r="AH1028" s="132"/>
      <c r="AI1028" s="132"/>
      <c r="AJ1028" s="95"/>
      <c r="AK1028" s="95"/>
      <c r="AL1028" s="95"/>
      <c r="AM1028" s="95"/>
      <c r="AN1028" s="132"/>
      <c r="AO1028" s="132"/>
      <c r="AP1028" s="95"/>
      <c r="AQ1028" s="132"/>
      <c r="AR1028" s="132"/>
    </row>
    <row r="1029" spans="25:44" s="82" customFormat="1" x14ac:dyDescent="0.2">
      <c r="Y1029" s="132"/>
      <c r="Z1029" s="132"/>
      <c r="AA1029" s="132"/>
      <c r="AB1029" s="95"/>
      <c r="AC1029" s="126"/>
      <c r="AD1029" s="340"/>
      <c r="AE1029" s="132"/>
      <c r="AF1029" s="132"/>
      <c r="AG1029" s="132"/>
      <c r="AH1029" s="132"/>
      <c r="AI1029" s="132"/>
      <c r="AJ1029" s="95"/>
      <c r="AK1029" s="95"/>
      <c r="AL1029" s="95"/>
      <c r="AM1029" s="95"/>
      <c r="AN1029" s="132"/>
      <c r="AO1029" s="132"/>
      <c r="AP1029" s="95"/>
      <c r="AQ1029" s="132"/>
      <c r="AR1029" s="132"/>
    </row>
    <row r="1030" spans="25:44" s="82" customFormat="1" x14ac:dyDescent="0.2">
      <c r="Y1030" s="132"/>
      <c r="Z1030" s="132"/>
      <c r="AA1030" s="132"/>
      <c r="AB1030" s="95"/>
      <c r="AC1030" s="126"/>
      <c r="AD1030" s="340"/>
      <c r="AE1030" s="132"/>
      <c r="AF1030" s="132"/>
      <c r="AG1030" s="132"/>
      <c r="AH1030" s="132"/>
      <c r="AI1030" s="132"/>
      <c r="AJ1030" s="95"/>
      <c r="AK1030" s="95"/>
      <c r="AL1030" s="95"/>
      <c r="AM1030" s="95"/>
      <c r="AN1030" s="132"/>
      <c r="AO1030" s="132"/>
      <c r="AP1030" s="95"/>
      <c r="AQ1030" s="132"/>
      <c r="AR1030" s="132"/>
    </row>
    <row r="1031" spans="25:44" s="82" customFormat="1" x14ac:dyDescent="0.2">
      <c r="Y1031" s="132"/>
      <c r="Z1031" s="132"/>
      <c r="AA1031" s="132"/>
      <c r="AB1031" s="95"/>
      <c r="AC1031" s="126"/>
      <c r="AD1031" s="340"/>
      <c r="AE1031" s="132"/>
      <c r="AF1031" s="132"/>
      <c r="AG1031" s="132"/>
      <c r="AH1031" s="132"/>
      <c r="AI1031" s="132"/>
      <c r="AJ1031" s="95"/>
      <c r="AK1031" s="95"/>
      <c r="AL1031" s="95"/>
      <c r="AM1031" s="95"/>
      <c r="AN1031" s="132"/>
      <c r="AO1031" s="132"/>
      <c r="AP1031" s="95"/>
      <c r="AQ1031" s="132"/>
      <c r="AR1031" s="132"/>
    </row>
    <row r="1032" spans="25:44" s="82" customFormat="1" x14ac:dyDescent="0.2">
      <c r="Y1032" s="132"/>
      <c r="Z1032" s="132"/>
      <c r="AA1032" s="132"/>
      <c r="AB1032" s="95"/>
      <c r="AC1032" s="126"/>
      <c r="AD1032" s="340"/>
      <c r="AE1032" s="132"/>
      <c r="AF1032" s="132"/>
      <c r="AG1032" s="132"/>
      <c r="AH1032" s="132"/>
      <c r="AI1032" s="132"/>
      <c r="AJ1032" s="95"/>
      <c r="AK1032" s="95"/>
      <c r="AL1032" s="95"/>
      <c r="AM1032" s="95"/>
      <c r="AN1032" s="132"/>
      <c r="AO1032" s="132"/>
      <c r="AP1032" s="95"/>
      <c r="AQ1032" s="132"/>
      <c r="AR1032" s="132"/>
    </row>
    <row r="1033" spans="25:44" s="82" customFormat="1" x14ac:dyDescent="0.2">
      <c r="Y1033" s="132"/>
      <c r="Z1033" s="132"/>
      <c r="AA1033" s="132"/>
      <c r="AB1033" s="95"/>
      <c r="AC1033" s="126"/>
      <c r="AD1033" s="340"/>
      <c r="AE1033" s="132"/>
      <c r="AF1033" s="132"/>
      <c r="AG1033" s="132"/>
      <c r="AH1033" s="132"/>
      <c r="AI1033" s="132"/>
      <c r="AJ1033" s="95"/>
      <c r="AK1033" s="95"/>
      <c r="AL1033" s="95"/>
      <c r="AM1033" s="95"/>
      <c r="AN1033" s="132"/>
      <c r="AO1033" s="132"/>
      <c r="AP1033" s="95"/>
      <c r="AQ1033" s="132"/>
      <c r="AR1033" s="132"/>
    </row>
    <row r="1034" spans="25:44" s="82" customFormat="1" x14ac:dyDescent="0.2">
      <c r="Y1034" s="132"/>
      <c r="Z1034" s="132"/>
      <c r="AA1034" s="132"/>
      <c r="AB1034" s="95"/>
      <c r="AC1034" s="126"/>
      <c r="AD1034" s="340"/>
      <c r="AE1034" s="132"/>
      <c r="AF1034" s="132"/>
      <c r="AG1034" s="132"/>
      <c r="AH1034" s="132"/>
      <c r="AI1034" s="132"/>
      <c r="AJ1034" s="95"/>
      <c r="AK1034" s="95"/>
      <c r="AL1034" s="95"/>
      <c r="AM1034" s="95"/>
      <c r="AN1034" s="132"/>
      <c r="AO1034" s="132"/>
      <c r="AP1034" s="95"/>
      <c r="AQ1034" s="132"/>
      <c r="AR1034" s="132"/>
    </row>
    <row r="1035" spans="25:44" s="82" customFormat="1" x14ac:dyDescent="0.2">
      <c r="Y1035" s="132"/>
      <c r="Z1035" s="132"/>
      <c r="AA1035" s="132"/>
      <c r="AB1035" s="95"/>
      <c r="AC1035" s="126"/>
      <c r="AD1035" s="340"/>
      <c r="AE1035" s="132"/>
      <c r="AF1035" s="132"/>
      <c r="AG1035" s="132"/>
      <c r="AH1035" s="132"/>
      <c r="AI1035" s="132"/>
      <c r="AJ1035" s="95"/>
      <c r="AK1035" s="95"/>
      <c r="AL1035" s="95"/>
      <c r="AM1035" s="95"/>
      <c r="AN1035" s="132"/>
      <c r="AO1035" s="132"/>
      <c r="AP1035" s="95"/>
      <c r="AQ1035" s="132"/>
      <c r="AR1035" s="132"/>
    </row>
    <row r="1036" spans="25:44" s="82" customFormat="1" x14ac:dyDescent="0.2">
      <c r="Y1036" s="132"/>
      <c r="Z1036" s="132"/>
      <c r="AA1036" s="132"/>
      <c r="AB1036" s="95"/>
      <c r="AC1036" s="126"/>
      <c r="AD1036" s="340"/>
      <c r="AE1036" s="132"/>
      <c r="AF1036" s="132"/>
      <c r="AG1036" s="132"/>
      <c r="AH1036" s="132"/>
      <c r="AI1036" s="132"/>
      <c r="AJ1036" s="95"/>
      <c r="AK1036" s="95"/>
      <c r="AL1036" s="95"/>
      <c r="AM1036" s="95"/>
      <c r="AN1036" s="132"/>
      <c r="AO1036" s="132"/>
      <c r="AP1036" s="95"/>
      <c r="AQ1036" s="132"/>
      <c r="AR1036" s="132"/>
    </row>
    <row r="1037" spans="25:44" s="82" customFormat="1" x14ac:dyDescent="0.2">
      <c r="Y1037" s="132"/>
      <c r="Z1037" s="132"/>
      <c r="AA1037" s="132"/>
      <c r="AB1037" s="95"/>
      <c r="AC1037" s="126"/>
      <c r="AD1037" s="340"/>
      <c r="AE1037" s="132"/>
      <c r="AF1037" s="132"/>
      <c r="AG1037" s="132"/>
      <c r="AH1037" s="132"/>
      <c r="AI1037" s="132"/>
      <c r="AJ1037" s="95"/>
      <c r="AK1037" s="95"/>
      <c r="AL1037" s="95"/>
      <c r="AM1037" s="95"/>
      <c r="AN1037" s="132"/>
      <c r="AO1037" s="132"/>
      <c r="AP1037" s="95"/>
      <c r="AQ1037" s="132"/>
      <c r="AR1037" s="132"/>
    </row>
    <row r="1038" spans="25:44" s="82" customFormat="1" x14ac:dyDescent="0.2">
      <c r="Y1038" s="132"/>
      <c r="Z1038" s="132"/>
      <c r="AA1038" s="132"/>
      <c r="AB1038" s="95"/>
      <c r="AC1038" s="126"/>
      <c r="AD1038" s="340"/>
      <c r="AE1038" s="132"/>
      <c r="AF1038" s="132"/>
      <c r="AG1038" s="132"/>
      <c r="AH1038" s="132"/>
      <c r="AI1038" s="132"/>
      <c r="AJ1038" s="95"/>
      <c r="AK1038" s="95"/>
      <c r="AL1038" s="95"/>
      <c r="AM1038" s="95"/>
      <c r="AN1038" s="132"/>
      <c r="AO1038" s="132"/>
      <c r="AP1038" s="95"/>
      <c r="AQ1038" s="132"/>
      <c r="AR1038" s="132"/>
    </row>
    <row r="1039" spans="25:44" s="82" customFormat="1" x14ac:dyDescent="0.2">
      <c r="Y1039" s="132"/>
      <c r="Z1039" s="132"/>
      <c r="AA1039" s="132"/>
      <c r="AB1039" s="95"/>
      <c r="AC1039" s="126"/>
      <c r="AD1039" s="340"/>
      <c r="AE1039" s="132"/>
      <c r="AF1039" s="132"/>
      <c r="AG1039" s="132"/>
      <c r="AH1039" s="132"/>
      <c r="AI1039" s="132"/>
      <c r="AJ1039" s="95"/>
      <c r="AK1039" s="95"/>
      <c r="AL1039" s="95"/>
      <c r="AM1039" s="95"/>
      <c r="AN1039" s="132"/>
      <c r="AO1039" s="132"/>
      <c r="AP1039" s="95"/>
      <c r="AQ1039" s="132"/>
      <c r="AR1039" s="132"/>
    </row>
    <row r="1040" spans="25:44" s="82" customFormat="1" x14ac:dyDescent="0.2">
      <c r="Y1040" s="132"/>
      <c r="Z1040" s="132"/>
      <c r="AA1040" s="132"/>
      <c r="AB1040" s="95"/>
      <c r="AC1040" s="126"/>
      <c r="AD1040" s="340"/>
      <c r="AE1040" s="132"/>
      <c r="AF1040" s="132"/>
      <c r="AG1040" s="132"/>
      <c r="AH1040" s="132"/>
      <c r="AI1040" s="132"/>
      <c r="AJ1040" s="95"/>
      <c r="AK1040" s="95"/>
      <c r="AL1040" s="95"/>
      <c r="AM1040" s="95"/>
      <c r="AN1040" s="132"/>
      <c r="AO1040" s="132"/>
      <c r="AP1040" s="95"/>
      <c r="AQ1040" s="132"/>
      <c r="AR1040" s="132"/>
    </row>
    <row r="1041" spans="25:44" s="82" customFormat="1" x14ac:dyDescent="0.2">
      <c r="Y1041" s="132"/>
      <c r="Z1041" s="132"/>
      <c r="AA1041" s="132"/>
      <c r="AB1041" s="95"/>
      <c r="AC1041" s="126"/>
      <c r="AD1041" s="340"/>
      <c r="AE1041" s="132"/>
      <c r="AF1041" s="132"/>
      <c r="AG1041" s="132"/>
      <c r="AH1041" s="132"/>
      <c r="AI1041" s="132"/>
      <c r="AJ1041" s="95"/>
      <c r="AK1041" s="95"/>
      <c r="AL1041" s="95"/>
      <c r="AM1041" s="95"/>
      <c r="AN1041" s="132"/>
      <c r="AO1041" s="132"/>
      <c r="AP1041" s="95"/>
      <c r="AQ1041" s="132"/>
      <c r="AR1041" s="132"/>
    </row>
    <row r="1042" spans="25:44" s="82" customFormat="1" x14ac:dyDescent="0.2">
      <c r="Y1042" s="132"/>
      <c r="Z1042" s="132"/>
      <c r="AA1042" s="132"/>
      <c r="AB1042" s="95"/>
      <c r="AC1042" s="126"/>
      <c r="AD1042" s="340"/>
      <c r="AE1042" s="132"/>
      <c r="AF1042" s="132"/>
      <c r="AG1042" s="132"/>
      <c r="AH1042" s="132"/>
      <c r="AI1042" s="132"/>
      <c r="AJ1042" s="95"/>
      <c r="AK1042" s="95"/>
      <c r="AL1042" s="95"/>
      <c r="AM1042" s="95"/>
      <c r="AN1042" s="132"/>
      <c r="AO1042" s="132"/>
      <c r="AP1042" s="95"/>
      <c r="AQ1042" s="132"/>
      <c r="AR1042" s="132"/>
    </row>
    <row r="1043" spans="25:44" s="82" customFormat="1" x14ac:dyDescent="0.2">
      <c r="Y1043" s="132"/>
      <c r="Z1043" s="132"/>
      <c r="AA1043" s="132"/>
      <c r="AB1043" s="95"/>
      <c r="AC1043" s="126"/>
      <c r="AD1043" s="340"/>
      <c r="AE1043" s="132"/>
      <c r="AF1043" s="132"/>
      <c r="AG1043" s="132"/>
      <c r="AH1043" s="132"/>
      <c r="AI1043" s="132"/>
      <c r="AJ1043" s="95"/>
      <c r="AK1043" s="95"/>
      <c r="AL1043" s="95"/>
      <c r="AM1043" s="95"/>
      <c r="AN1043" s="132"/>
      <c r="AO1043" s="132"/>
      <c r="AP1043" s="95"/>
      <c r="AQ1043" s="132"/>
      <c r="AR1043" s="132"/>
    </row>
    <row r="1044" spans="25:44" s="82" customFormat="1" x14ac:dyDescent="0.2">
      <c r="Y1044" s="132"/>
      <c r="Z1044" s="132"/>
      <c r="AA1044" s="132"/>
      <c r="AB1044" s="95"/>
      <c r="AC1044" s="126"/>
      <c r="AD1044" s="340"/>
      <c r="AE1044" s="132"/>
      <c r="AF1044" s="132"/>
      <c r="AG1044" s="132"/>
      <c r="AH1044" s="132"/>
      <c r="AI1044" s="132"/>
      <c r="AJ1044" s="95"/>
      <c r="AK1044" s="95"/>
      <c r="AL1044" s="95"/>
      <c r="AM1044" s="95"/>
      <c r="AN1044" s="132"/>
      <c r="AO1044" s="132"/>
      <c r="AP1044" s="95"/>
      <c r="AQ1044" s="132"/>
      <c r="AR1044" s="132"/>
    </row>
    <row r="1045" spans="25:44" s="82" customFormat="1" x14ac:dyDescent="0.2">
      <c r="Y1045" s="132"/>
      <c r="Z1045" s="132"/>
      <c r="AA1045" s="132"/>
      <c r="AB1045" s="95"/>
      <c r="AC1045" s="126"/>
      <c r="AD1045" s="340"/>
      <c r="AE1045" s="132"/>
      <c r="AF1045" s="132"/>
      <c r="AG1045" s="132"/>
      <c r="AH1045" s="132"/>
      <c r="AI1045" s="132"/>
      <c r="AJ1045" s="95"/>
      <c r="AK1045" s="95"/>
      <c r="AL1045" s="95"/>
      <c r="AM1045" s="95"/>
      <c r="AN1045" s="132"/>
      <c r="AO1045" s="132"/>
      <c r="AP1045" s="95"/>
      <c r="AQ1045" s="132"/>
      <c r="AR1045" s="132"/>
    </row>
    <row r="1046" spans="25:44" s="82" customFormat="1" x14ac:dyDescent="0.2">
      <c r="Y1046" s="132"/>
      <c r="Z1046" s="132"/>
      <c r="AA1046" s="132"/>
      <c r="AB1046" s="95"/>
      <c r="AC1046" s="126"/>
      <c r="AD1046" s="340"/>
      <c r="AE1046" s="132"/>
      <c r="AF1046" s="132"/>
      <c r="AG1046" s="132"/>
      <c r="AH1046" s="132"/>
      <c r="AI1046" s="132"/>
      <c r="AJ1046" s="95"/>
      <c r="AK1046" s="95"/>
      <c r="AL1046" s="95"/>
      <c r="AM1046" s="95"/>
      <c r="AN1046" s="132"/>
      <c r="AO1046" s="132"/>
      <c r="AP1046" s="95"/>
      <c r="AQ1046" s="132"/>
      <c r="AR1046" s="132"/>
    </row>
    <row r="1047" spans="25:44" s="82" customFormat="1" x14ac:dyDescent="0.2">
      <c r="Y1047" s="132"/>
      <c r="Z1047" s="132"/>
      <c r="AA1047" s="132"/>
      <c r="AB1047" s="95"/>
      <c r="AC1047" s="126"/>
      <c r="AD1047" s="340"/>
      <c r="AE1047" s="132"/>
      <c r="AF1047" s="132"/>
      <c r="AG1047" s="132"/>
      <c r="AH1047" s="132"/>
      <c r="AI1047" s="132"/>
      <c r="AJ1047" s="95"/>
      <c r="AK1047" s="95"/>
      <c r="AL1047" s="95"/>
      <c r="AM1047" s="95"/>
      <c r="AN1047" s="132"/>
      <c r="AO1047" s="132"/>
      <c r="AP1047" s="95"/>
      <c r="AQ1047" s="132"/>
      <c r="AR1047" s="132"/>
    </row>
    <row r="1048" spans="25:44" s="82" customFormat="1" x14ac:dyDescent="0.2">
      <c r="Y1048" s="132"/>
      <c r="Z1048" s="132"/>
      <c r="AA1048" s="132"/>
      <c r="AB1048" s="95"/>
      <c r="AC1048" s="126"/>
      <c r="AD1048" s="340"/>
      <c r="AE1048" s="132"/>
      <c r="AF1048" s="132"/>
      <c r="AG1048" s="132"/>
      <c r="AH1048" s="132"/>
      <c r="AI1048" s="132"/>
      <c r="AJ1048" s="95"/>
      <c r="AK1048" s="95"/>
      <c r="AL1048" s="95"/>
      <c r="AM1048" s="95"/>
      <c r="AN1048" s="132"/>
      <c r="AO1048" s="132"/>
      <c r="AP1048" s="95"/>
      <c r="AQ1048" s="132"/>
      <c r="AR1048" s="132"/>
    </row>
    <row r="1049" spans="25:44" s="82" customFormat="1" x14ac:dyDescent="0.2">
      <c r="Y1049" s="132"/>
      <c r="Z1049" s="132"/>
      <c r="AA1049" s="132"/>
      <c r="AB1049" s="95"/>
      <c r="AC1049" s="126"/>
      <c r="AD1049" s="340"/>
      <c r="AE1049" s="132"/>
      <c r="AF1049" s="132"/>
      <c r="AG1049" s="132"/>
      <c r="AH1049" s="132"/>
      <c r="AI1049" s="132"/>
      <c r="AJ1049" s="95"/>
      <c r="AK1049" s="95"/>
      <c r="AL1049" s="95"/>
      <c r="AM1049" s="95"/>
      <c r="AN1049" s="132"/>
      <c r="AO1049" s="132"/>
      <c r="AP1049" s="95"/>
      <c r="AQ1049" s="132"/>
      <c r="AR1049" s="132"/>
    </row>
    <row r="1050" spans="25:44" s="82" customFormat="1" x14ac:dyDescent="0.2">
      <c r="Y1050" s="132"/>
      <c r="Z1050" s="132"/>
      <c r="AA1050" s="132"/>
      <c r="AB1050" s="95"/>
      <c r="AC1050" s="126"/>
      <c r="AD1050" s="340"/>
      <c r="AE1050" s="132"/>
      <c r="AF1050" s="132"/>
      <c r="AG1050" s="132"/>
      <c r="AH1050" s="132"/>
      <c r="AI1050" s="132"/>
      <c r="AJ1050" s="95"/>
      <c r="AK1050" s="95"/>
      <c r="AL1050" s="95"/>
      <c r="AM1050" s="95"/>
      <c r="AN1050" s="132"/>
      <c r="AO1050" s="132"/>
      <c r="AP1050" s="95"/>
      <c r="AQ1050" s="132"/>
      <c r="AR1050" s="132"/>
    </row>
    <row r="1051" spans="25:44" s="82" customFormat="1" x14ac:dyDescent="0.2">
      <c r="Y1051" s="132"/>
      <c r="Z1051" s="132"/>
      <c r="AA1051" s="132"/>
      <c r="AB1051" s="95"/>
      <c r="AC1051" s="126"/>
      <c r="AD1051" s="340"/>
      <c r="AE1051" s="132"/>
      <c r="AF1051" s="132"/>
      <c r="AG1051" s="132"/>
      <c r="AH1051" s="132"/>
      <c r="AI1051" s="132"/>
      <c r="AJ1051" s="95"/>
      <c r="AK1051" s="95"/>
      <c r="AL1051" s="95"/>
      <c r="AM1051" s="95"/>
      <c r="AN1051" s="132"/>
      <c r="AO1051" s="132"/>
      <c r="AP1051" s="95"/>
      <c r="AQ1051" s="132"/>
      <c r="AR1051" s="132"/>
    </row>
    <row r="1052" spans="25:44" s="82" customFormat="1" x14ac:dyDescent="0.2">
      <c r="Y1052" s="132"/>
      <c r="Z1052" s="132"/>
      <c r="AA1052" s="132"/>
      <c r="AB1052" s="95"/>
      <c r="AC1052" s="126"/>
      <c r="AD1052" s="340"/>
      <c r="AE1052" s="132"/>
      <c r="AF1052" s="132"/>
      <c r="AG1052" s="132"/>
      <c r="AH1052" s="132"/>
      <c r="AI1052" s="132"/>
      <c r="AJ1052" s="95"/>
      <c r="AK1052" s="95"/>
      <c r="AL1052" s="95"/>
      <c r="AM1052" s="95"/>
      <c r="AN1052" s="132"/>
      <c r="AO1052" s="132"/>
      <c r="AP1052" s="95"/>
      <c r="AQ1052" s="132"/>
      <c r="AR1052" s="132"/>
    </row>
    <row r="1053" spans="25:44" s="82" customFormat="1" x14ac:dyDescent="0.2">
      <c r="Y1053" s="132"/>
      <c r="Z1053" s="132"/>
      <c r="AA1053" s="132"/>
      <c r="AB1053" s="95"/>
      <c r="AC1053" s="126"/>
      <c r="AD1053" s="340"/>
      <c r="AE1053" s="132"/>
      <c r="AF1053" s="132"/>
      <c r="AG1053" s="132"/>
      <c r="AH1053" s="132"/>
      <c r="AI1053" s="132"/>
      <c r="AJ1053" s="95"/>
      <c r="AK1053" s="95"/>
      <c r="AL1053" s="95"/>
      <c r="AM1053" s="95"/>
      <c r="AN1053" s="132"/>
      <c r="AO1053" s="132"/>
      <c r="AP1053" s="95"/>
      <c r="AQ1053" s="132"/>
      <c r="AR1053" s="132"/>
    </row>
    <row r="1054" spans="25:44" s="82" customFormat="1" x14ac:dyDescent="0.2">
      <c r="Y1054" s="132"/>
      <c r="Z1054" s="132"/>
      <c r="AA1054" s="132"/>
      <c r="AB1054" s="95"/>
      <c r="AC1054" s="126"/>
      <c r="AD1054" s="340"/>
      <c r="AE1054" s="132"/>
      <c r="AF1054" s="132"/>
      <c r="AG1054" s="132"/>
      <c r="AH1054" s="132"/>
      <c r="AI1054" s="132"/>
      <c r="AJ1054" s="95"/>
      <c r="AK1054" s="95"/>
      <c r="AL1054" s="95"/>
      <c r="AM1054" s="95"/>
      <c r="AN1054" s="132"/>
      <c r="AO1054" s="132"/>
      <c r="AP1054" s="95"/>
      <c r="AQ1054" s="132"/>
      <c r="AR1054" s="132"/>
    </row>
    <row r="1055" spans="25:44" s="82" customFormat="1" x14ac:dyDescent="0.2">
      <c r="Y1055" s="132"/>
      <c r="Z1055" s="132"/>
      <c r="AA1055" s="132"/>
      <c r="AB1055" s="95"/>
      <c r="AC1055" s="126"/>
      <c r="AD1055" s="340"/>
      <c r="AE1055" s="132"/>
      <c r="AF1055" s="132"/>
      <c r="AG1055" s="132"/>
      <c r="AH1055" s="132"/>
      <c r="AI1055" s="132"/>
      <c r="AJ1055" s="95"/>
      <c r="AK1055" s="95"/>
      <c r="AL1055" s="95"/>
      <c r="AM1055" s="95"/>
      <c r="AN1055" s="132"/>
      <c r="AO1055" s="132"/>
      <c r="AP1055" s="95"/>
      <c r="AQ1055" s="132"/>
      <c r="AR1055" s="132"/>
    </row>
    <row r="1056" spans="25:44" s="82" customFormat="1" x14ac:dyDescent="0.2">
      <c r="Y1056" s="132"/>
      <c r="Z1056" s="132"/>
      <c r="AA1056" s="132"/>
      <c r="AB1056" s="95"/>
      <c r="AC1056" s="126"/>
      <c r="AD1056" s="340"/>
      <c r="AE1056" s="132"/>
      <c r="AF1056" s="132"/>
      <c r="AG1056" s="132"/>
      <c r="AH1056" s="132"/>
      <c r="AI1056" s="132"/>
      <c r="AJ1056" s="95"/>
      <c r="AK1056" s="95"/>
      <c r="AL1056" s="95"/>
      <c r="AM1056" s="95"/>
      <c r="AN1056" s="132"/>
      <c r="AO1056" s="132"/>
      <c r="AP1056" s="95"/>
      <c r="AQ1056" s="132"/>
      <c r="AR1056" s="132"/>
    </row>
    <row r="1057" spans="25:44" s="82" customFormat="1" x14ac:dyDescent="0.2">
      <c r="Y1057" s="132"/>
      <c r="Z1057" s="132"/>
      <c r="AA1057" s="132"/>
      <c r="AB1057" s="95"/>
      <c r="AC1057" s="126"/>
      <c r="AD1057" s="340"/>
      <c r="AE1057" s="132"/>
      <c r="AF1057" s="132"/>
      <c r="AG1057" s="132"/>
      <c r="AH1057" s="132"/>
      <c r="AI1057" s="132"/>
      <c r="AJ1057" s="95"/>
      <c r="AK1057" s="95"/>
      <c r="AL1057" s="95"/>
      <c r="AM1057" s="95"/>
      <c r="AN1057" s="132"/>
      <c r="AO1057" s="132"/>
      <c r="AP1057" s="95"/>
      <c r="AQ1057" s="132"/>
      <c r="AR1057" s="132"/>
    </row>
    <row r="1058" spans="25:44" s="82" customFormat="1" x14ac:dyDescent="0.2">
      <c r="Y1058" s="132"/>
      <c r="Z1058" s="132"/>
      <c r="AA1058" s="132"/>
      <c r="AB1058" s="95"/>
      <c r="AC1058" s="126"/>
      <c r="AD1058" s="340"/>
      <c r="AE1058" s="132"/>
      <c r="AF1058" s="132"/>
      <c r="AG1058" s="132"/>
      <c r="AH1058" s="132"/>
      <c r="AI1058" s="132"/>
      <c r="AJ1058" s="95"/>
      <c r="AK1058" s="95"/>
      <c r="AL1058" s="95"/>
      <c r="AM1058" s="95"/>
      <c r="AN1058" s="132"/>
      <c r="AO1058" s="132"/>
      <c r="AP1058" s="95"/>
      <c r="AQ1058" s="132"/>
      <c r="AR1058" s="132"/>
    </row>
    <row r="1059" spans="25:44" s="82" customFormat="1" x14ac:dyDescent="0.2">
      <c r="Y1059" s="132"/>
      <c r="Z1059" s="132"/>
      <c r="AA1059" s="132"/>
      <c r="AB1059" s="95"/>
      <c r="AC1059" s="126"/>
      <c r="AD1059" s="340"/>
      <c r="AE1059" s="132"/>
      <c r="AF1059" s="132"/>
      <c r="AG1059" s="132"/>
      <c r="AH1059" s="132"/>
      <c r="AI1059" s="132"/>
      <c r="AJ1059" s="95"/>
      <c r="AK1059" s="95"/>
      <c r="AL1059" s="95"/>
      <c r="AM1059" s="95"/>
      <c r="AN1059" s="132"/>
      <c r="AO1059" s="132"/>
      <c r="AP1059" s="95"/>
      <c r="AQ1059" s="132"/>
      <c r="AR1059" s="132"/>
    </row>
    <row r="1060" spans="25:44" s="82" customFormat="1" x14ac:dyDescent="0.2">
      <c r="Y1060" s="132"/>
      <c r="Z1060" s="132"/>
      <c r="AA1060" s="132"/>
      <c r="AB1060" s="95"/>
      <c r="AC1060" s="126"/>
      <c r="AD1060" s="340"/>
      <c r="AE1060" s="132"/>
      <c r="AF1060" s="132"/>
      <c r="AG1060" s="132"/>
      <c r="AH1060" s="132"/>
      <c r="AI1060" s="132"/>
      <c r="AJ1060" s="95"/>
      <c r="AK1060" s="95"/>
      <c r="AL1060" s="95"/>
      <c r="AM1060" s="95"/>
      <c r="AN1060" s="132"/>
      <c r="AO1060" s="132"/>
      <c r="AP1060" s="95"/>
      <c r="AQ1060" s="132"/>
      <c r="AR1060" s="132"/>
    </row>
    <row r="1061" spans="25:44" s="82" customFormat="1" x14ac:dyDescent="0.2">
      <c r="Y1061" s="132"/>
      <c r="Z1061" s="132"/>
      <c r="AA1061" s="132"/>
      <c r="AB1061" s="95"/>
      <c r="AC1061" s="126"/>
      <c r="AD1061" s="340"/>
      <c r="AE1061" s="132"/>
      <c r="AF1061" s="132"/>
      <c r="AG1061" s="132"/>
      <c r="AH1061" s="132"/>
      <c r="AI1061" s="132"/>
      <c r="AJ1061" s="95"/>
      <c r="AK1061" s="95"/>
      <c r="AL1061" s="95"/>
      <c r="AM1061" s="95"/>
      <c r="AN1061" s="132"/>
      <c r="AO1061" s="132"/>
      <c r="AP1061" s="95"/>
      <c r="AQ1061" s="132"/>
      <c r="AR1061" s="132"/>
    </row>
    <row r="1062" spans="25:44" s="82" customFormat="1" x14ac:dyDescent="0.2">
      <c r="Y1062" s="132"/>
      <c r="Z1062" s="132"/>
      <c r="AA1062" s="132"/>
      <c r="AB1062" s="95"/>
      <c r="AC1062" s="126"/>
      <c r="AD1062" s="340"/>
      <c r="AE1062" s="132"/>
      <c r="AF1062" s="132"/>
      <c r="AG1062" s="132"/>
      <c r="AH1062" s="132"/>
      <c r="AI1062" s="132"/>
      <c r="AJ1062" s="95"/>
      <c r="AK1062" s="95"/>
      <c r="AL1062" s="95"/>
      <c r="AM1062" s="95"/>
      <c r="AN1062" s="132"/>
      <c r="AO1062" s="132"/>
      <c r="AP1062" s="95"/>
      <c r="AQ1062" s="132"/>
      <c r="AR1062" s="132"/>
    </row>
    <row r="1063" spans="25:44" s="82" customFormat="1" x14ac:dyDescent="0.2">
      <c r="Y1063" s="132"/>
      <c r="Z1063" s="132"/>
      <c r="AA1063" s="132"/>
      <c r="AB1063" s="95"/>
      <c r="AC1063" s="126"/>
      <c r="AD1063" s="340"/>
      <c r="AE1063" s="132"/>
      <c r="AF1063" s="132"/>
      <c r="AG1063" s="132"/>
      <c r="AH1063" s="132"/>
      <c r="AI1063" s="132"/>
      <c r="AJ1063" s="95"/>
      <c r="AK1063" s="95"/>
      <c r="AL1063" s="95"/>
      <c r="AM1063" s="95"/>
      <c r="AN1063" s="132"/>
      <c r="AO1063" s="132"/>
      <c r="AP1063" s="95"/>
      <c r="AQ1063" s="132"/>
      <c r="AR1063" s="132"/>
    </row>
    <row r="1064" spans="25:44" s="82" customFormat="1" x14ac:dyDescent="0.2">
      <c r="Y1064" s="132"/>
      <c r="Z1064" s="132"/>
      <c r="AA1064" s="132"/>
      <c r="AB1064" s="95"/>
      <c r="AC1064" s="126"/>
      <c r="AD1064" s="340"/>
      <c r="AE1064" s="132"/>
      <c r="AF1064" s="132"/>
      <c r="AG1064" s="132"/>
      <c r="AH1064" s="132"/>
      <c r="AI1064" s="132"/>
      <c r="AJ1064" s="95"/>
      <c r="AK1064" s="95"/>
      <c r="AL1064" s="95"/>
      <c r="AM1064" s="95"/>
      <c r="AN1064" s="132"/>
      <c r="AO1064" s="132"/>
      <c r="AP1064" s="95"/>
      <c r="AQ1064" s="132"/>
      <c r="AR1064" s="132"/>
    </row>
    <row r="1065" spans="25:44" s="82" customFormat="1" x14ac:dyDescent="0.2">
      <c r="Y1065" s="132"/>
      <c r="Z1065" s="132"/>
      <c r="AA1065" s="132"/>
      <c r="AB1065" s="95"/>
      <c r="AC1065" s="126"/>
      <c r="AD1065" s="340"/>
      <c r="AE1065" s="132"/>
      <c r="AF1065" s="132"/>
      <c r="AG1065" s="132"/>
      <c r="AH1065" s="132"/>
      <c r="AI1065" s="132"/>
      <c r="AJ1065" s="95"/>
      <c r="AK1065" s="95"/>
      <c r="AL1065" s="95"/>
      <c r="AM1065" s="95"/>
      <c r="AN1065" s="132"/>
      <c r="AO1065" s="132"/>
      <c r="AP1065" s="95"/>
      <c r="AQ1065" s="132"/>
      <c r="AR1065" s="132"/>
    </row>
    <row r="1066" spans="25:44" s="82" customFormat="1" x14ac:dyDescent="0.2">
      <c r="Y1066" s="132"/>
      <c r="Z1066" s="132"/>
      <c r="AA1066" s="132"/>
      <c r="AB1066" s="95"/>
      <c r="AC1066" s="126"/>
      <c r="AD1066" s="340"/>
      <c r="AE1066" s="132"/>
      <c r="AF1066" s="132"/>
      <c r="AG1066" s="132"/>
      <c r="AH1066" s="132"/>
      <c r="AI1066" s="132"/>
      <c r="AJ1066" s="95"/>
      <c r="AK1066" s="95"/>
      <c r="AL1066" s="95"/>
      <c r="AM1066" s="95"/>
      <c r="AN1066" s="132"/>
      <c r="AO1066" s="132"/>
      <c r="AP1066" s="95"/>
      <c r="AQ1066" s="132"/>
      <c r="AR1066" s="132"/>
    </row>
    <row r="1067" spans="25:44" s="82" customFormat="1" x14ac:dyDescent="0.2">
      <c r="Y1067" s="132"/>
      <c r="Z1067" s="132"/>
      <c r="AA1067" s="132"/>
      <c r="AB1067" s="95"/>
      <c r="AC1067" s="126"/>
      <c r="AD1067" s="340"/>
      <c r="AE1067" s="132"/>
      <c r="AF1067" s="132"/>
      <c r="AG1067" s="132"/>
      <c r="AH1067" s="132"/>
      <c r="AI1067" s="132"/>
      <c r="AJ1067" s="95"/>
      <c r="AK1067" s="95"/>
      <c r="AL1067" s="95"/>
      <c r="AM1067" s="95"/>
      <c r="AN1067" s="132"/>
      <c r="AO1067" s="132"/>
      <c r="AP1067" s="95"/>
      <c r="AQ1067" s="132"/>
      <c r="AR1067" s="132"/>
    </row>
    <row r="1068" spans="25:44" s="82" customFormat="1" x14ac:dyDescent="0.2">
      <c r="Y1068" s="132"/>
      <c r="Z1068" s="132"/>
      <c r="AA1068" s="132"/>
      <c r="AB1068" s="95"/>
      <c r="AC1068" s="126"/>
      <c r="AD1068" s="340"/>
      <c r="AE1068" s="132"/>
      <c r="AF1068" s="132"/>
      <c r="AG1068" s="132"/>
      <c r="AH1068" s="132"/>
      <c r="AI1068" s="132"/>
      <c r="AJ1068" s="95"/>
      <c r="AK1068" s="95"/>
      <c r="AL1068" s="95"/>
      <c r="AM1068" s="95"/>
      <c r="AN1068" s="132"/>
      <c r="AO1068" s="132"/>
      <c r="AP1068" s="95"/>
      <c r="AQ1068" s="132"/>
      <c r="AR1068" s="132"/>
    </row>
    <row r="1069" spans="25:44" s="82" customFormat="1" x14ac:dyDescent="0.2">
      <c r="Y1069" s="132"/>
      <c r="Z1069" s="132"/>
      <c r="AA1069" s="132"/>
      <c r="AB1069" s="95"/>
      <c r="AC1069" s="126"/>
      <c r="AD1069" s="340"/>
      <c r="AE1069" s="132"/>
      <c r="AF1069" s="132"/>
      <c r="AG1069" s="132"/>
      <c r="AH1069" s="132"/>
      <c r="AI1069" s="132"/>
      <c r="AJ1069" s="95"/>
      <c r="AK1069" s="95"/>
      <c r="AL1069" s="95"/>
      <c r="AM1069" s="95"/>
      <c r="AN1069" s="132"/>
      <c r="AO1069" s="132"/>
      <c r="AP1069" s="95"/>
      <c r="AQ1069" s="132"/>
      <c r="AR1069" s="132"/>
    </row>
    <row r="1070" spans="25:44" s="82" customFormat="1" x14ac:dyDescent="0.2">
      <c r="Y1070" s="132"/>
      <c r="Z1070" s="132"/>
      <c r="AA1070" s="132"/>
      <c r="AB1070" s="95"/>
      <c r="AC1070" s="126"/>
      <c r="AD1070" s="340"/>
      <c r="AE1070" s="132"/>
      <c r="AF1070" s="132"/>
      <c r="AG1070" s="132"/>
      <c r="AH1070" s="132"/>
      <c r="AI1070" s="132"/>
      <c r="AJ1070" s="95"/>
      <c r="AK1070" s="95"/>
      <c r="AL1070" s="95"/>
      <c r="AM1070" s="95"/>
      <c r="AN1070" s="132"/>
      <c r="AO1070" s="132"/>
      <c r="AP1070" s="95"/>
      <c r="AQ1070" s="132"/>
      <c r="AR1070" s="132"/>
    </row>
    <row r="1071" spans="25:44" s="82" customFormat="1" x14ac:dyDescent="0.2">
      <c r="Y1071" s="132"/>
      <c r="Z1071" s="132"/>
      <c r="AA1071" s="132"/>
      <c r="AB1071" s="95"/>
      <c r="AC1071" s="126"/>
      <c r="AD1071" s="340"/>
      <c r="AE1071" s="132"/>
      <c r="AF1071" s="132"/>
      <c r="AG1071" s="132"/>
      <c r="AH1071" s="132"/>
      <c r="AI1071" s="132"/>
      <c r="AJ1071" s="95"/>
      <c r="AK1071" s="95"/>
      <c r="AL1071" s="95"/>
      <c r="AM1071" s="95"/>
      <c r="AN1071" s="132"/>
      <c r="AO1071" s="132"/>
      <c r="AP1071" s="95"/>
      <c r="AQ1071" s="132"/>
      <c r="AR1071" s="132"/>
    </row>
    <row r="1072" spans="25:44" s="82" customFormat="1" x14ac:dyDescent="0.2">
      <c r="Y1072" s="132"/>
      <c r="Z1072" s="132"/>
      <c r="AA1072" s="132"/>
      <c r="AB1072" s="95"/>
      <c r="AC1072" s="126"/>
      <c r="AD1072" s="340"/>
      <c r="AE1072" s="132"/>
      <c r="AF1072" s="132"/>
      <c r="AG1072" s="132"/>
      <c r="AH1072" s="132"/>
      <c r="AI1072" s="132"/>
      <c r="AJ1072" s="95"/>
      <c r="AK1072" s="95"/>
      <c r="AL1072" s="95"/>
      <c r="AM1072" s="95"/>
      <c r="AN1072" s="132"/>
      <c r="AO1072" s="132"/>
      <c r="AP1072" s="95"/>
      <c r="AQ1072" s="132"/>
      <c r="AR1072" s="132"/>
    </row>
    <row r="1073" spans="25:44" s="82" customFormat="1" x14ac:dyDescent="0.2">
      <c r="Y1073" s="132"/>
      <c r="Z1073" s="132"/>
      <c r="AA1073" s="132"/>
      <c r="AB1073" s="95"/>
      <c r="AC1073" s="126"/>
      <c r="AD1073" s="340"/>
      <c r="AE1073" s="132"/>
      <c r="AF1073" s="132"/>
      <c r="AG1073" s="132"/>
      <c r="AH1073" s="132"/>
      <c r="AI1073" s="132"/>
      <c r="AJ1073" s="95"/>
      <c r="AK1073" s="95"/>
      <c r="AL1073" s="95"/>
      <c r="AM1073" s="95"/>
      <c r="AN1073" s="132"/>
      <c r="AO1073" s="132"/>
      <c r="AP1073" s="95"/>
      <c r="AQ1073" s="132"/>
      <c r="AR1073" s="132"/>
    </row>
    <row r="1074" spans="25:44" s="82" customFormat="1" x14ac:dyDescent="0.2">
      <c r="Y1074" s="132"/>
      <c r="Z1074" s="132"/>
      <c r="AA1074" s="132"/>
      <c r="AB1074" s="95"/>
      <c r="AC1074" s="126"/>
      <c r="AD1074" s="340"/>
      <c r="AE1074" s="132"/>
      <c r="AF1074" s="132"/>
      <c r="AG1074" s="132"/>
      <c r="AH1074" s="132"/>
      <c r="AI1074" s="132"/>
      <c r="AJ1074" s="95"/>
      <c r="AK1074" s="95"/>
      <c r="AL1074" s="95"/>
      <c r="AM1074" s="95"/>
      <c r="AN1074" s="132"/>
      <c r="AO1074" s="132"/>
      <c r="AP1074" s="95"/>
      <c r="AQ1074" s="132"/>
      <c r="AR1074" s="132"/>
    </row>
    <row r="1075" spans="25:44" s="82" customFormat="1" x14ac:dyDescent="0.2">
      <c r="Y1075" s="132"/>
      <c r="Z1075" s="132"/>
      <c r="AA1075" s="132"/>
      <c r="AB1075" s="95"/>
      <c r="AC1075" s="126"/>
      <c r="AD1075" s="340"/>
      <c r="AE1075" s="132"/>
      <c r="AF1075" s="132"/>
      <c r="AG1075" s="132"/>
      <c r="AH1075" s="132"/>
      <c r="AI1075" s="132"/>
      <c r="AJ1075" s="95"/>
      <c r="AK1075" s="95"/>
      <c r="AL1075" s="95"/>
      <c r="AM1075" s="95"/>
      <c r="AN1075" s="132"/>
      <c r="AO1075" s="132"/>
      <c r="AP1075" s="95"/>
      <c r="AQ1075" s="132"/>
      <c r="AR1075" s="132"/>
    </row>
    <row r="1076" spans="25:44" s="82" customFormat="1" x14ac:dyDescent="0.2">
      <c r="Y1076" s="132"/>
      <c r="Z1076" s="132"/>
      <c r="AA1076" s="132"/>
      <c r="AB1076" s="95"/>
      <c r="AC1076" s="126"/>
      <c r="AD1076" s="340"/>
      <c r="AE1076" s="132"/>
      <c r="AF1076" s="132"/>
      <c r="AG1076" s="132"/>
      <c r="AH1076" s="132"/>
      <c r="AI1076" s="132"/>
      <c r="AJ1076" s="95"/>
      <c r="AK1076" s="95"/>
      <c r="AL1076" s="95"/>
      <c r="AM1076" s="95"/>
      <c r="AN1076" s="132"/>
      <c r="AO1076" s="132"/>
      <c r="AP1076" s="95"/>
      <c r="AQ1076" s="132"/>
      <c r="AR1076" s="132"/>
    </row>
    <row r="1077" spans="25:44" s="82" customFormat="1" x14ac:dyDescent="0.2">
      <c r="Y1077" s="132"/>
      <c r="Z1077" s="132"/>
      <c r="AA1077" s="132"/>
      <c r="AB1077" s="95"/>
      <c r="AC1077" s="126"/>
      <c r="AD1077" s="340"/>
      <c r="AE1077" s="132"/>
      <c r="AF1077" s="132"/>
      <c r="AG1077" s="132"/>
      <c r="AH1077" s="132"/>
      <c r="AI1077" s="132"/>
      <c r="AJ1077" s="95"/>
      <c r="AK1077" s="95"/>
      <c r="AL1077" s="95"/>
      <c r="AM1077" s="95"/>
      <c r="AN1077" s="132"/>
      <c r="AO1077" s="132"/>
      <c r="AP1077" s="95"/>
      <c r="AQ1077" s="132"/>
      <c r="AR1077" s="132"/>
    </row>
    <row r="1078" spans="25:44" s="82" customFormat="1" x14ac:dyDescent="0.2">
      <c r="Y1078" s="132"/>
      <c r="Z1078" s="132"/>
      <c r="AA1078" s="132"/>
      <c r="AB1078" s="95"/>
      <c r="AC1078" s="126"/>
      <c r="AD1078" s="340"/>
      <c r="AE1078" s="132"/>
      <c r="AF1078" s="132"/>
      <c r="AG1078" s="132"/>
      <c r="AH1078" s="132"/>
      <c r="AI1078" s="132"/>
      <c r="AJ1078" s="95"/>
      <c r="AK1078" s="95"/>
      <c r="AL1078" s="95"/>
      <c r="AM1078" s="95"/>
      <c r="AN1078" s="132"/>
      <c r="AO1078" s="132"/>
      <c r="AP1078" s="95"/>
      <c r="AQ1078" s="132"/>
      <c r="AR1078" s="132"/>
    </row>
    <row r="1079" spans="25:44" s="82" customFormat="1" x14ac:dyDescent="0.2">
      <c r="Y1079" s="132"/>
      <c r="Z1079" s="132"/>
      <c r="AA1079" s="132"/>
      <c r="AB1079" s="95"/>
      <c r="AC1079" s="126"/>
      <c r="AD1079" s="340"/>
      <c r="AE1079" s="132"/>
      <c r="AF1079" s="132"/>
      <c r="AG1079" s="132"/>
      <c r="AH1079" s="132"/>
      <c r="AI1079" s="132"/>
      <c r="AJ1079" s="95"/>
      <c r="AK1079" s="95"/>
      <c r="AL1079" s="95"/>
      <c r="AM1079" s="95"/>
      <c r="AN1079" s="132"/>
      <c r="AO1079" s="132"/>
      <c r="AP1079" s="95"/>
      <c r="AQ1079" s="132"/>
      <c r="AR1079" s="132"/>
    </row>
    <row r="1080" spans="25:44" s="82" customFormat="1" x14ac:dyDescent="0.2">
      <c r="Y1080" s="132"/>
      <c r="Z1080" s="132"/>
      <c r="AA1080" s="132"/>
      <c r="AB1080" s="95"/>
      <c r="AC1080" s="126"/>
      <c r="AD1080" s="340"/>
      <c r="AE1080" s="132"/>
      <c r="AF1080" s="132"/>
      <c r="AG1080" s="132"/>
      <c r="AH1080" s="132"/>
      <c r="AI1080" s="132"/>
      <c r="AJ1080" s="95"/>
      <c r="AK1080" s="95"/>
      <c r="AL1080" s="95"/>
      <c r="AM1080" s="95"/>
      <c r="AN1080" s="132"/>
      <c r="AO1080" s="132"/>
      <c r="AP1080" s="95"/>
      <c r="AQ1080" s="132"/>
      <c r="AR1080" s="132"/>
    </row>
    <row r="1081" spans="25:44" s="82" customFormat="1" x14ac:dyDescent="0.2">
      <c r="Y1081" s="132"/>
      <c r="Z1081" s="132"/>
      <c r="AA1081" s="132"/>
      <c r="AB1081" s="95"/>
      <c r="AC1081" s="126"/>
      <c r="AD1081" s="340"/>
      <c r="AE1081" s="132"/>
      <c r="AF1081" s="132"/>
      <c r="AG1081" s="132"/>
      <c r="AH1081" s="132"/>
      <c r="AI1081" s="132"/>
      <c r="AJ1081" s="95"/>
      <c r="AK1081" s="95"/>
      <c r="AL1081" s="95"/>
      <c r="AM1081" s="95"/>
      <c r="AN1081" s="132"/>
      <c r="AO1081" s="132"/>
      <c r="AP1081" s="95"/>
      <c r="AQ1081" s="132"/>
      <c r="AR1081" s="132"/>
    </row>
    <row r="1082" spans="25:44" s="82" customFormat="1" x14ac:dyDescent="0.2">
      <c r="Y1082" s="132"/>
      <c r="Z1082" s="132"/>
      <c r="AA1082" s="132"/>
      <c r="AB1082" s="95"/>
      <c r="AC1082" s="126"/>
      <c r="AD1082" s="340"/>
      <c r="AE1082" s="132"/>
      <c r="AF1082" s="132"/>
      <c r="AG1082" s="132"/>
      <c r="AH1082" s="132"/>
      <c r="AI1082" s="132"/>
      <c r="AJ1082" s="95"/>
      <c r="AK1082" s="95"/>
      <c r="AL1082" s="95"/>
      <c r="AM1082" s="95"/>
      <c r="AN1082" s="132"/>
      <c r="AO1082" s="132"/>
      <c r="AP1082" s="95"/>
      <c r="AQ1082" s="132"/>
      <c r="AR1082" s="132"/>
    </row>
    <row r="1083" spans="25:44" s="82" customFormat="1" x14ac:dyDescent="0.2">
      <c r="Y1083" s="132"/>
      <c r="Z1083" s="132"/>
      <c r="AA1083" s="132"/>
      <c r="AB1083" s="95"/>
      <c r="AC1083" s="126"/>
      <c r="AD1083" s="340"/>
      <c r="AE1083" s="132"/>
      <c r="AF1083" s="132"/>
      <c r="AG1083" s="132"/>
      <c r="AH1083" s="132"/>
      <c r="AI1083" s="132"/>
      <c r="AJ1083" s="95"/>
      <c r="AK1083" s="95"/>
      <c r="AL1083" s="95"/>
      <c r="AM1083" s="95"/>
      <c r="AN1083" s="132"/>
      <c r="AO1083" s="132"/>
      <c r="AP1083" s="95"/>
      <c r="AQ1083" s="132"/>
      <c r="AR1083" s="132"/>
    </row>
    <row r="1084" spans="25:44" s="82" customFormat="1" x14ac:dyDescent="0.2">
      <c r="Y1084" s="132"/>
      <c r="Z1084" s="132"/>
      <c r="AA1084" s="132"/>
      <c r="AB1084" s="95"/>
      <c r="AC1084" s="126"/>
      <c r="AD1084" s="340"/>
      <c r="AE1084" s="132"/>
      <c r="AF1084" s="132"/>
      <c r="AG1084" s="132"/>
      <c r="AH1084" s="132"/>
      <c r="AI1084" s="132"/>
      <c r="AJ1084" s="95"/>
      <c r="AK1084" s="95"/>
      <c r="AL1084" s="95"/>
      <c r="AM1084" s="95"/>
      <c r="AN1084" s="132"/>
      <c r="AO1084" s="132"/>
      <c r="AP1084" s="95"/>
      <c r="AQ1084" s="132"/>
      <c r="AR1084" s="132"/>
    </row>
    <row r="1085" spans="25:44" s="82" customFormat="1" x14ac:dyDescent="0.2">
      <c r="Y1085" s="132"/>
      <c r="Z1085" s="132"/>
      <c r="AA1085" s="132"/>
      <c r="AB1085" s="95"/>
      <c r="AC1085" s="126"/>
      <c r="AD1085" s="340"/>
      <c r="AE1085" s="132"/>
      <c r="AF1085" s="132"/>
      <c r="AG1085" s="132"/>
      <c r="AH1085" s="132"/>
      <c r="AI1085" s="132"/>
      <c r="AJ1085" s="95"/>
      <c r="AK1085" s="95"/>
      <c r="AL1085" s="95"/>
      <c r="AM1085" s="95"/>
      <c r="AN1085" s="132"/>
      <c r="AO1085" s="132"/>
      <c r="AP1085" s="95"/>
      <c r="AQ1085" s="132"/>
      <c r="AR1085" s="132"/>
    </row>
    <row r="1086" spans="25:44" s="82" customFormat="1" x14ac:dyDescent="0.2">
      <c r="Y1086" s="132"/>
      <c r="Z1086" s="132"/>
      <c r="AA1086" s="132"/>
      <c r="AB1086" s="95"/>
      <c r="AC1086" s="126"/>
      <c r="AD1086" s="340"/>
      <c r="AE1086" s="132"/>
      <c r="AF1086" s="132"/>
      <c r="AG1086" s="132"/>
      <c r="AH1086" s="132"/>
      <c r="AI1086" s="132"/>
      <c r="AJ1086" s="95"/>
      <c r="AK1086" s="95"/>
      <c r="AL1086" s="95"/>
      <c r="AM1086" s="95"/>
      <c r="AN1086" s="132"/>
      <c r="AO1086" s="132"/>
      <c r="AP1086" s="95"/>
      <c r="AQ1086" s="132"/>
      <c r="AR1086" s="132"/>
    </row>
    <row r="1087" spans="25:44" s="82" customFormat="1" x14ac:dyDescent="0.2">
      <c r="Y1087" s="132"/>
      <c r="Z1087" s="132"/>
      <c r="AA1087" s="132"/>
      <c r="AB1087" s="95"/>
      <c r="AC1087" s="126"/>
      <c r="AD1087" s="340"/>
      <c r="AE1087" s="132"/>
      <c r="AF1087" s="132"/>
      <c r="AG1087" s="132"/>
      <c r="AH1087" s="132"/>
      <c r="AI1087" s="132"/>
      <c r="AJ1087" s="95"/>
      <c r="AK1087" s="95"/>
      <c r="AL1087" s="95"/>
      <c r="AM1087" s="95"/>
      <c r="AN1087" s="132"/>
      <c r="AO1087" s="132"/>
      <c r="AP1087" s="95"/>
      <c r="AQ1087" s="132"/>
      <c r="AR1087" s="132"/>
    </row>
    <row r="1088" spans="25:44" s="82" customFormat="1" x14ac:dyDescent="0.2">
      <c r="Y1088" s="132"/>
      <c r="Z1088" s="132"/>
      <c r="AA1088" s="132"/>
      <c r="AB1088" s="95"/>
      <c r="AC1088" s="126"/>
      <c r="AD1088" s="340"/>
      <c r="AE1088" s="132"/>
      <c r="AF1088" s="132"/>
      <c r="AG1088" s="132"/>
      <c r="AH1088" s="132"/>
      <c r="AI1088" s="132"/>
      <c r="AJ1088" s="95"/>
      <c r="AK1088" s="95"/>
      <c r="AL1088" s="95"/>
      <c r="AM1088" s="95"/>
      <c r="AN1088" s="132"/>
      <c r="AO1088" s="132"/>
      <c r="AP1088" s="95"/>
      <c r="AQ1088" s="132"/>
      <c r="AR1088" s="132"/>
    </row>
    <row r="1089" spans="25:44" s="82" customFormat="1" x14ac:dyDescent="0.2">
      <c r="Y1089" s="132"/>
      <c r="Z1089" s="132"/>
      <c r="AA1089" s="132"/>
      <c r="AB1089" s="95"/>
      <c r="AC1089" s="126"/>
      <c r="AD1089" s="340"/>
      <c r="AE1089" s="132"/>
      <c r="AF1089" s="132"/>
      <c r="AG1089" s="132"/>
      <c r="AH1089" s="132"/>
      <c r="AI1089" s="132"/>
      <c r="AJ1089" s="95"/>
      <c r="AK1089" s="95"/>
      <c r="AL1089" s="95"/>
      <c r="AM1089" s="95"/>
      <c r="AN1089" s="132"/>
      <c r="AO1089" s="132"/>
      <c r="AP1089" s="95"/>
      <c r="AQ1089" s="132"/>
      <c r="AR1089" s="132"/>
    </row>
    <row r="1090" spans="25:44" s="82" customFormat="1" x14ac:dyDescent="0.2">
      <c r="Y1090" s="132"/>
      <c r="Z1090" s="132"/>
      <c r="AA1090" s="132"/>
      <c r="AB1090" s="95"/>
      <c r="AC1090" s="126"/>
      <c r="AD1090" s="340"/>
      <c r="AE1090" s="132"/>
      <c r="AF1090" s="132"/>
      <c r="AG1090" s="132"/>
      <c r="AH1090" s="132"/>
      <c r="AI1090" s="132"/>
      <c r="AJ1090" s="95"/>
      <c r="AK1090" s="95"/>
      <c r="AL1090" s="95"/>
      <c r="AM1090" s="95"/>
      <c r="AN1090" s="132"/>
      <c r="AO1090" s="132"/>
      <c r="AP1090" s="95"/>
      <c r="AQ1090" s="132"/>
      <c r="AR1090" s="132"/>
    </row>
    <row r="1091" spans="25:44" s="82" customFormat="1" x14ac:dyDescent="0.2">
      <c r="Y1091" s="132"/>
      <c r="Z1091" s="132"/>
      <c r="AA1091" s="132"/>
      <c r="AB1091" s="95"/>
      <c r="AC1091" s="126"/>
      <c r="AD1091" s="340"/>
      <c r="AE1091" s="132"/>
      <c r="AF1091" s="132"/>
      <c r="AG1091" s="132"/>
      <c r="AH1091" s="132"/>
      <c r="AI1091" s="132"/>
      <c r="AJ1091" s="95"/>
      <c r="AK1091" s="95"/>
      <c r="AL1091" s="95"/>
      <c r="AM1091" s="95"/>
      <c r="AN1091" s="132"/>
      <c r="AO1091" s="132"/>
      <c r="AP1091" s="95"/>
      <c r="AQ1091" s="132"/>
      <c r="AR1091" s="132"/>
    </row>
    <row r="1092" spans="25:44" s="82" customFormat="1" x14ac:dyDescent="0.2">
      <c r="Y1092" s="132"/>
      <c r="Z1092" s="132"/>
      <c r="AA1092" s="132"/>
      <c r="AB1092" s="95"/>
      <c r="AC1092" s="126"/>
      <c r="AD1092" s="340"/>
      <c r="AE1092" s="132"/>
      <c r="AF1092" s="132"/>
      <c r="AG1092" s="132"/>
      <c r="AH1092" s="132"/>
      <c r="AI1092" s="132"/>
      <c r="AJ1092" s="95"/>
      <c r="AK1092" s="95"/>
      <c r="AL1092" s="95"/>
      <c r="AM1092" s="95"/>
      <c r="AN1092" s="132"/>
      <c r="AO1092" s="132"/>
      <c r="AP1092" s="95"/>
      <c r="AQ1092" s="132"/>
      <c r="AR1092" s="132"/>
    </row>
    <row r="1093" spans="25:44" s="82" customFormat="1" x14ac:dyDescent="0.2">
      <c r="Y1093" s="132"/>
      <c r="Z1093" s="132"/>
      <c r="AA1093" s="132"/>
      <c r="AB1093" s="95"/>
      <c r="AC1093" s="126"/>
      <c r="AD1093" s="340"/>
      <c r="AE1093" s="132"/>
      <c r="AF1093" s="132"/>
      <c r="AG1093" s="132"/>
      <c r="AH1093" s="132"/>
      <c r="AI1093" s="132"/>
      <c r="AJ1093" s="95"/>
      <c r="AK1093" s="95"/>
      <c r="AL1093" s="95"/>
      <c r="AM1093" s="95"/>
      <c r="AN1093" s="132"/>
      <c r="AO1093" s="132"/>
      <c r="AP1093" s="95"/>
      <c r="AQ1093" s="132"/>
      <c r="AR1093" s="132"/>
    </row>
    <row r="1094" spans="25:44" s="82" customFormat="1" x14ac:dyDescent="0.2">
      <c r="Y1094" s="132"/>
      <c r="Z1094" s="132"/>
      <c r="AA1094" s="132"/>
      <c r="AB1094" s="95"/>
      <c r="AC1094" s="126"/>
      <c r="AD1094" s="340"/>
      <c r="AE1094" s="132"/>
      <c r="AF1094" s="132"/>
      <c r="AG1094" s="132"/>
      <c r="AH1094" s="132"/>
      <c r="AI1094" s="132"/>
      <c r="AJ1094" s="95"/>
      <c r="AK1094" s="95"/>
      <c r="AL1094" s="95"/>
      <c r="AM1094" s="95"/>
      <c r="AN1094" s="132"/>
      <c r="AO1094" s="132"/>
      <c r="AP1094" s="95"/>
      <c r="AQ1094" s="132"/>
      <c r="AR1094" s="132"/>
    </row>
    <row r="1095" spans="25:44" s="82" customFormat="1" x14ac:dyDescent="0.2">
      <c r="Y1095" s="132"/>
      <c r="Z1095" s="132"/>
      <c r="AA1095" s="132"/>
      <c r="AB1095" s="95"/>
      <c r="AC1095" s="126"/>
      <c r="AD1095" s="340"/>
      <c r="AE1095" s="132"/>
      <c r="AF1095" s="132"/>
      <c r="AG1095" s="132"/>
      <c r="AH1095" s="132"/>
      <c r="AI1095" s="132"/>
      <c r="AJ1095" s="95"/>
      <c r="AK1095" s="95"/>
      <c r="AL1095" s="95"/>
      <c r="AM1095" s="95"/>
      <c r="AN1095" s="132"/>
      <c r="AO1095" s="132"/>
      <c r="AP1095" s="95"/>
      <c r="AQ1095" s="132"/>
      <c r="AR1095" s="132"/>
    </row>
    <row r="1096" spans="25:44" s="82" customFormat="1" x14ac:dyDescent="0.2">
      <c r="Y1096" s="132"/>
      <c r="Z1096" s="132"/>
      <c r="AA1096" s="132"/>
      <c r="AB1096" s="95"/>
      <c r="AC1096" s="126"/>
      <c r="AD1096" s="340"/>
      <c r="AE1096" s="132"/>
      <c r="AF1096" s="132"/>
      <c r="AG1096" s="132"/>
      <c r="AH1096" s="132"/>
      <c r="AI1096" s="132"/>
      <c r="AJ1096" s="95"/>
      <c r="AK1096" s="95"/>
      <c r="AL1096" s="95"/>
      <c r="AM1096" s="95"/>
      <c r="AN1096" s="132"/>
      <c r="AO1096" s="132"/>
      <c r="AP1096" s="95"/>
      <c r="AQ1096" s="132"/>
      <c r="AR1096" s="132"/>
    </row>
    <row r="1097" spans="25:44" s="82" customFormat="1" x14ac:dyDescent="0.2">
      <c r="Y1097" s="132"/>
      <c r="Z1097" s="132"/>
      <c r="AA1097" s="132"/>
      <c r="AB1097" s="95"/>
      <c r="AC1097" s="126"/>
      <c r="AD1097" s="340"/>
      <c r="AE1097" s="132"/>
      <c r="AF1097" s="132"/>
      <c r="AG1097" s="132"/>
      <c r="AH1097" s="132"/>
      <c r="AI1097" s="132"/>
      <c r="AJ1097" s="95"/>
      <c r="AK1097" s="95"/>
      <c r="AL1097" s="95"/>
      <c r="AM1097" s="95"/>
      <c r="AN1097" s="132"/>
      <c r="AO1097" s="132"/>
      <c r="AP1097" s="95"/>
      <c r="AQ1097" s="132"/>
      <c r="AR1097" s="132"/>
    </row>
    <row r="1098" spans="25:44" s="82" customFormat="1" x14ac:dyDescent="0.2">
      <c r="Y1098" s="132"/>
      <c r="Z1098" s="132"/>
      <c r="AA1098" s="132"/>
      <c r="AB1098" s="95"/>
      <c r="AC1098" s="126"/>
      <c r="AD1098" s="340"/>
      <c r="AE1098" s="132"/>
      <c r="AF1098" s="132"/>
      <c r="AG1098" s="132"/>
      <c r="AH1098" s="132"/>
      <c r="AI1098" s="132"/>
      <c r="AJ1098" s="95"/>
      <c r="AK1098" s="95"/>
      <c r="AL1098" s="95"/>
      <c r="AM1098" s="95"/>
      <c r="AN1098" s="132"/>
      <c r="AO1098" s="132"/>
      <c r="AP1098" s="95"/>
      <c r="AQ1098" s="132"/>
      <c r="AR1098" s="132"/>
    </row>
    <row r="1099" spans="25:44" s="82" customFormat="1" x14ac:dyDescent="0.2">
      <c r="Y1099" s="132"/>
      <c r="Z1099" s="132"/>
      <c r="AA1099" s="132"/>
      <c r="AB1099" s="95"/>
      <c r="AC1099" s="126"/>
      <c r="AD1099" s="340"/>
      <c r="AE1099" s="132"/>
      <c r="AF1099" s="132"/>
      <c r="AG1099" s="132"/>
      <c r="AH1099" s="132"/>
      <c r="AI1099" s="132"/>
      <c r="AJ1099" s="95"/>
      <c r="AK1099" s="95"/>
      <c r="AL1099" s="95"/>
      <c r="AM1099" s="95"/>
      <c r="AN1099" s="132"/>
      <c r="AO1099" s="132"/>
      <c r="AP1099" s="95"/>
      <c r="AQ1099" s="132"/>
      <c r="AR1099" s="132"/>
    </row>
    <row r="1100" spans="25:44" s="82" customFormat="1" x14ac:dyDescent="0.2">
      <c r="Y1100" s="132"/>
      <c r="Z1100" s="132"/>
      <c r="AA1100" s="132"/>
      <c r="AB1100" s="95"/>
      <c r="AC1100" s="126"/>
      <c r="AD1100" s="340"/>
      <c r="AE1100" s="132"/>
      <c r="AF1100" s="132"/>
      <c r="AG1100" s="132"/>
      <c r="AH1100" s="132"/>
      <c r="AI1100" s="132"/>
      <c r="AJ1100" s="95"/>
      <c r="AK1100" s="95"/>
      <c r="AL1100" s="95"/>
      <c r="AM1100" s="95"/>
      <c r="AN1100" s="132"/>
      <c r="AO1100" s="132"/>
      <c r="AP1100" s="95"/>
      <c r="AQ1100" s="132"/>
      <c r="AR1100" s="132"/>
    </row>
    <row r="1101" spans="25:44" s="82" customFormat="1" x14ac:dyDescent="0.2">
      <c r="Y1101" s="132"/>
      <c r="Z1101" s="132"/>
      <c r="AA1101" s="132"/>
      <c r="AB1101" s="95"/>
      <c r="AC1101" s="126"/>
      <c r="AD1101" s="340"/>
      <c r="AE1101" s="132"/>
      <c r="AF1101" s="132"/>
      <c r="AG1101" s="132"/>
      <c r="AH1101" s="132"/>
      <c r="AI1101" s="132"/>
      <c r="AJ1101" s="95"/>
      <c r="AK1101" s="95"/>
      <c r="AL1101" s="95"/>
      <c r="AM1101" s="95"/>
      <c r="AN1101" s="132"/>
      <c r="AO1101" s="132"/>
      <c r="AP1101" s="95"/>
      <c r="AQ1101" s="132"/>
      <c r="AR1101" s="132"/>
    </row>
    <row r="1102" spans="25:44" s="82" customFormat="1" x14ac:dyDescent="0.2">
      <c r="Y1102" s="132"/>
      <c r="Z1102" s="132"/>
      <c r="AA1102" s="132"/>
      <c r="AB1102" s="95"/>
      <c r="AC1102" s="126"/>
      <c r="AD1102" s="340"/>
      <c r="AE1102" s="132"/>
      <c r="AF1102" s="132"/>
      <c r="AG1102" s="132"/>
      <c r="AH1102" s="132"/>
      <c r="AI1102" s="132"/>
      <c r="AJ1102" s="95"/>
      <c r="AK1102" s="95"/>
      <c r="AL1102" s="95"/>
      <c r="AM1102" s="95"/>
      <c r="AN1102" s="132"/>
      <c r="AO1102" s="132"/>
      <c r="AP1102" s="95"/>
      <c r="AQ1102" s="132"/>
      <c r="AR1102" s="132"/>
    </row>
    <row r="1103" spans="25:44" s="82" customFormat="1" x14ac:dyDescent="0.2">
      <c r="Y1103" s="132"/>
      <c r="Z1103" s="132"/>
      <c r="AA1103" s="132"/>
      <c r="AB1103" s="95"/>
      <c r="AC1103" s="126"/>
      <c r="AD1103" s="340"/>
      <c r="AE1103" s="132"/>
      <c r="AF1103" s="132"/>
      <c r="AG1103" s="132"/>
      <c r="AH1103" s="132"/>
      <c r="AI1103" s="132"/>
      <c r="AJ1103" s="95"/>
      <c r="AK1103" s="95"/>
      <c r="AL1103" s="95"/>
      <c r="AM1103" s="95"/>
      <c r="AN1103" s="132"/>
      <c r="AO1103" s="132"/>
      <c r="AP1103" s="95"/>
      <c r="AQ1103" s="132"/>
      <c r="AR1103" s="132"/>
    </row>
    <row r="1104" spans="25:44" s="82" customFormat="1" x14ac:dyDescent="0.2">
      <c r="Y1104" s="132"/>
      <c r="Z1104" s="132"/>
      <c r="AA1104" s="132"/>
      <c r="AB1104" s="95"/>
      <c r="AC1104" s="126"/>
      <c r="AD1104" s="340"/>
      <c r="AE1104" s="132"/>
      <c r="AF1104" s="132"/>
      <c r="AG1104" s="132"/>
      <c r="AH1104" s="132"/>
      <c r="AI1104" s="132"/>
      <c r="AJ1104" s="95"/>
      <c r="AK1104" s="95"/>
      <c r="AL1104" s="95"/>
      <c r="AM1104" s="95"/>
      <c r="AN1104" s="132"/>
      <c r="AO1104" s="132"/>
      <c r="AP1104" s="95"/>
      <c r="AQ1104" s="132"/>
      <c r="AR1104" s="132"/>
    </row>
    <row r="1105" spans="25:44" s="82" customFormat="1" x14ac:dyDescent="0.2">
      <c r="Y1105" s="132"/>
      <c r="Z1105" s="132"/>
      <c r="AA1105" s="132"/>
      <c r="AB1105" s="95"/>
      <c r="AC1105" s="126"/>
      <c r="AD1105" s="340"/>
      <c r="AE1105" s="132"/>
      <c r="AF1105" s="132"/>
      <c r="AG1105" s="132"/>
      <c r="AH1105" s="132"/>
      <c r="AI1105" s="132"/>
      <c r="AJ1105" s="95"/>
      <c r="AK1105" s="95"/>
      <c r="AL1105" s="95"/>
      <c r="AM1105" s="95"/>
      <c r="AN1105" s="132"/>
      <c r="AO1105" s="132"/>
      <c r="AP1105" s="95"/>
      <c r="AQ1105" s="132"/>
      <c r="AR1105" s="132"/>
    </row>
    <row r="1106" spans="25:44" s="82" customFormat="1" x14ac:dyDescent="0.2">
      <c r="Y1106" s="132"/>
      <c r="Z1106" s="132"/>
      <c r="AA1106" s="132"/>
      <c r="AB1106" s="95"/>
      <c r="AC1106" s="126"/>
      <c r="AD1106" s="340"/>
      <c r="AE1106" s="132"/>
      <c r="AF1106" s="132"/>
      <c r="AG1106" s="132"/>
      <c r="AH1106" s="132"/>
      <c r="AI1106" s="132"/>
      <c r="AJ1106" s="95"/>
      <c r="AK1106" s="95"/>
      <c r="AL1106" s="95"/>
      <c r="AM1106" s="95"/>
      <c r="AN1106" s="132"/>
      <c r="AO1106" s="132"/>
      <c r="AP1106" s="95"/>
      <c r="AQ1106" s="132"/>
      <c r="AR1106" s="132"/>
    </row>
    <row r="1107" spans="25:44" s="82" customFormat="1" x14ac:dyDescent="0.2">
      <c r="Y1107" s="132"/>
      <c r="Z1107" s="132"/>
      <c r="AA1107" s="132"/>
      <c r="AB1107" s="95"/>
      <c r="AC1107" s="126"/>
      <c r="AD1107" s="340"/>
      <c r="AE1107" s="132"/>
      <c r="AF1107" s="132"/>
      <c r="AG1107" s="132"/>
      <c r="AH1107" s="132"/>
      <c r="AI1107" s="132"/>
      <c r="AJ1107" s="95"/>
      <c r="AK1107" s="95"/>
      <c r="AL1107" s="95"/>
      <c r="AM1107" s="95"/>
      <c r="AN1107" s="132"/>
      <c r="AO1107" s="132"/>
      <c r="AP1107" s="95"/>
      <c r="AQ1107" s="132"/>
      <c r="AR1107" s="132"/>
    </row>
    <row r="1108" spans="25:44" s="82" customFormat="1" x14ac:dyDescent="0.2">
      <c r="Y1108" s="132"/>
      <c r="Z1108" s="132"/>
      <c r="AA1108" s="132"/>
      <c r="AB1108" s="95"/>
      <c r="AC1108" s="126"/>
      <c r="AD1108" s="340"/>
      <c r="AE1108" s="132"/>
      <c r="AF1108" s="132"/>
      <c r="AG1108" s="132"/>
      <c r="AH1108" s="132"/>
      <c r="AI1108" s="132"/>
      <c r="AJ1108" s="95"/>
      <c r="AK1108" s="95"/>
      <c r="AL1108" s="95"/>
      <c r="AM1108" s="95"/>
      <c r="AN1108" s="132"/>
      <c r="AO1108" s="132"/>
      <c r="AP1108" s="95"/>
      <c r="AQ1108" s="132"/>
      <c r="AR1108" s="132"/>
    </row>
    <row r="1109" spans="25:44" s="82" customFormat="1" x14ac:dyDescent="0.2">
      <c r="Y1109" s="132"/>
      <c r="Z1109" s="132"/>
      <c r="AA1109" s="132"/>
      <c r="AB1109" s="95"/>
      <c r="AC1109" s="126"/>
      <c r="AD1109" s="340"/>
      <c r="AE1109" s="132"/>
      <c r="AF1109" s="132"/>
      <c r="AG1109" s="132"/>
      <c r="AH1109" s="132"/>
      <c r="AI1109" s="132"/>
      <c r="AJ1109" s="95"/>
      <c r="AK1109" s="95"/>
      <c r="AL1109" s="95"/>
      <c r="AM1109" s="95"/>
      <c r="AN1109" s="132"/>
      <c r="AO1109" s="132"/>
      <c r="AP1109" s="95"/>
      <c r="AQ1109" s="132"/>
      <c r="AR1109" s="132"/>
    </row>
    <row r="1110" spans="25:44" s="82" customFormat="1" x14ac:dyDescent="0.2">
      <c r="Y1110" s="132"/>
      <c r="Z1110" s="132"/>
      <c r="AA1110" s="132"/>
      <c r="AB1110" s="95"/>
      <c r="AC1110" s="126"/>
      <c r="AD1110" s="340"/>
      <c r="AE1110" s="132"/>
      <c r="AF1110" s="132"/>
      <c r="AG1110" s="132"/>
      <c r="AH1110" s="132"/>
      <c r="AI1110" s="132"/>
      <c r="AJ1110" s="95"/>
      <c r="AK1110" s="95"/>
      <c r="AL1110" s="95"/>
      <c r="AM1110" s="95"/>
      <c r="AN1110" s="132"/>
      <c r="AO1110" s="132"/>
      <c r="AP1110" s="95"/>
      <c r="AQ1110" s="132"/>
      <c r="AR1110" s="132"/>
    </row>
    <row r="1111" spans="25:44" s="82" customFormat="1" x14ac:dyDescent="0.2">
      <c r="Y1111" s="132"/>
      <c r="Z1111" s="132"/>
      <c r="AA1111" s="132"/>
      <c r="AB1111" s="95"/>
      <c r="AC1111" s="126"/>
      <c r="AD1111" s="340"/>
      <c r="AE1111" s="132"/>
      <c r="AF1111" s="132"/>
      <c r="AG1111" s="132"/>
      <c r="AH1111" s="132"/>
      <c r="AI1111" s="132"/>
      <c r="AJ1111" s="95"/>
      <c r="AK1111" s="95"/>
      <c r="AL1111" s="95"/>
      <c r="AM1111" s="95"/>
      <c r="AN1111" s="132"/>
      <c r="AO1111" s="132"/>
      <c r="AP1111" s="95"/>
      <c r="AQ1111" s="132"/>
      <c r="AR1111" s="132"/>
    </row>
    <row r="1112" spans="25:44" s="82" customFormat="1" x14ac:dyDescent="0.2">
      <c r="Y1112" s="132"/>
      <c r="Z1112" s="132"/>
      <c r="AA1112" s="132"/>
      <c r="AB1112" s="95"/>
      <c r="AC1112" s="126"/>
      <c r="AD1112" s="340"/>
      <c r="AE1112" s="132"/>
      <c r="AF1112" s="132"/>
      <c r="AG1112" s="132"/>
      <c r="AH1112" s="132"/>
      <c r="AI1112" s="132"/>
      <c r="AJ1112" s="95"/>
      <c r="AK1112" s="95"/>
      <c r="AL1112" s="95"/>
      <c r="AM1112" s="95"/>
      <c r="AN1112" s="132"/>
      <c r="AO1112" s="132"/>
      <c r="AP1112" s="95"/>
      <c r="AQ1112" s="132"/>
      <c r="AR1112" s="132"/>
    </row>
    <row r="1113" spans="25:44" s="82" customFormat="1" x14ac:dyDescent="0.2">
      <c r="Y1113" s="132"/>
      <c r="Z1113" s="132"/>
      <c r="AA1113" s="132"/>
      <c r="AB1113" s="95"/>
      <c r="AC1113" s="126"/>
      <c r="AD1113" s="340"/>
      <c r="AE1113" s="132"/>
      <c r="AF1113" s="132"/>
      <c r="AG1113" s="132"/>
      <c r="AH1113" s="132"/>
      <c r="AI1113" s="132"/>
      <c r="AJ1113" s="95"/>
      <c r="AK1113" s="95"/>
      <c r="AL1113" s="95"/>
      <c r="AM1113" s="95"/>
      <c r="AN1113" s="132"/>
      <c r="AO1113" s="132"/>
      <c r="AP1113" s="95"/>
      <c r="AQ1113" s="132"/>
      <c r="AR1113" s="132"/>
    </row>
    <row r="1114" spans="25:44" s="82" customFormat="1" x14ac:dyDescent="0.2">
      <c r="Y1114" s="132"/>
      <c r="Z1114" s="132"/>
      <c r="AA1114" s="132"/>
      <c r="AB1114" s="95"/>
      <c r="AC1114" s="126"/>
      <c r="AD1114" s="340"/>
      <c r="AE1114" s="132"/>
      <c r="AF1114" s="132"/>
      <c r="AG1114" s="132"/>
      <c r="AH1114" s="132"/>
      <c r="AI1114" s="132"/>
      <c r="AJ1114" s="95"/>
      <c r="AK1114" s="95"/>
      <c r="AL1114" s="95"/>
      <c r="AM1114" s="95"/>
      <c r="AN1114" s="132"/>
      <c r="AO1114" s="132"/>
      <c r="AP1114" s="95"/>
      <c r="AQ1114" s="132"/>
      <c r="AR1114" s="132"/>
    </row>
    <row r="1115" spans="25:44" s="82" customFormat="1" x14ac:dyDescent="0.2">
      <c r="Y1115" s="132"/>
      <c r="Z1115" s="132"/>
      <c r="AA1115" s="132"/>
      <c r="AB1115" s="95"/>
      <c r="AC1115" s="126"/>
      <c r="AD1115" s="340"/>
      <c r="AE1115" s="132"/>
      <c r="AF1115" s="132"/>
      <c r="AG1115" s="132"/>
      <c r="AH1115" s="132"/>
      <c r="AI1115" s="132"/>
      <c r="AJ1115" s="95"/>
      <c r="AK1115" s="95"/>
      <c r="AL1115" s="95"/>
      <c r="AM1115" s="95"/>
      <c r="AN1115" s="132"/>
      <c r="AO1115" s="132"/>
      <c r="AP1115" s="95"/>
      <c r="AQ1115" s="132"/>
      <c r="AR1115" s="132"/>
    </row>
    <row r="1116" spans="25:44" s="82" customFormat="1" x14ac:dyDescent="0.2">
      <c r="Y1116" s="132"/>
      <c r="Z1116" s="132"/>
      <c r="AA1116" s="132"/>
      <c r="AB1116" s="95"/>
      <c r="AC1116" s="126"/>
      <c r="AD1116" s="340"/>
      <c r="AE1116" s="132"/>
      <c r="AF1116" s="132"/>
      <c r="AG1116" s="132"/>
      <c r="AH1116" s="132"/>
      <c r="AI1116" s="132"/>
      <c r="AJ1116" s="95"/>
      <c r="AK1116" s="95"/>
      <c r="AL1116" s="95"/>
      <c r="AM1116" s="95"/>
      <c r="AN1116" s="132"/>
      <c r="AO1116" s="132"/>
      <c r="AP1116" s="95"/>
      <c r="AQ1116" s="132"/>
      <c r="AR1116" s="132"/>
    </row>
    <row r="1117" spans="25:44" s="82" customFormat="1" x14ac:dyDescent="0.2">
      <c r="Y1117" s="132"/>
      <c r="Z1117" s="132"/>
      <c r="AA1117" s="132"/>
      <c r="AB1117" s="95"/>
      <c r="AC1117" s="126"/>
      <c r="AD1117" s="340"/>
      <c r="AE1117" s="132"/>
      <c r="AF1117" s="132"/>
      <c r="AG1117" s="132"/>
      <c r="AH1117" s="132"/>
      <c r="AI1117" s="132"/>
      <c r="AJ1117" s="95"/>
      <c r="AK1117" s="95"/>
      <c r="AL1117" s="95"/>
      <c r="AM1117" s="95"/>
      <c r="AN1117" s="132"/>
      <c r="AO1117" s="132"/>
      <c r="AP1117" s="95"/>
      <c r="AQ1117" s="132"/>
      <c r="AR1117" s="132"/>
    </row>
    <row r="1118" spans="25:44" s="82" customFormat="1" x14ac:dyDescent="0.2">
      <c r="Y1118" s="132"/>
      <c r="Z1118" s="132"/>
      <c r="AA1118" s="132"/>
      <c r="AB1118" s="95"/>
      <c r="AC1118" s="126"/>
      <c r="AD1118" s="340"/>
      <c r="AE1118" s="132"/>
      <c r="AF1118" s="132"/>
      <c r="AG1118" s="132"/>
      <c r="AH1118" s="132"/>
      <c r="AI1118" s="132"/>
      <c r="AJ1118" s="95"/>
      <c r="AK1118" s="95"/>
      <c r="AL1118" s="95"/>
      <c r="AM1118" s="95"/>
      <c r="AN1118" s="132"/>
      <c r="AO1118" s="132"/>
      <c r="AP1118" s="95"/>
      <c r="AQ1118" s="132"/>
      <c r="AR1118" s="132"/>
    </row>
    <row r="1119" spans="25:44" s="82" customFormat="1" x14ac:dyDescent="0.2">
      <c r="Y1119" s="132"/>
      <c r="Z1119" s="132"/>
      <c r="AA1119" s="132"/>
      <c r="AB1119" s="95"/>
      <c r="AC1119" s="126"/>
      <c r="AD1119" s="340"/>
      <c r="AE1119" s="132"/>
      <c r="AF1119" s="132"/>
      <c r="AG1119" s="132"/>
      <c r="AH1119" s="132"/>
      <c r="AI1119" s="132"/>
      <c r="AJ1119" s="95"/>
      <c r="AK1119" s="95"/>
      <c r="AL1119" s="95"/>
      <c r="AM1119" s="95"/>
      <c r="AN1119" s="132"/>
      <c r="AO1119" s="132"/>
      <c r="AP1119" s="95"/>
      <c r="AQ1119" s="132"/>
      <c r="AR1119" s="132"/>
    </row>
    <row r="1120" spans="25:44" s="82" customFormat="1" x14ac:dyDescent="0.2">
      <c r="Y1120" s="132"/>
      <c r="Z1120" s="132"/>
      <c r="AA1120" s="132"/>
      <c r="AB1120" s="95"/>
      <c r="AC1120" s="126"/>
      <c r="AD1120" s="340"/>
      <c r="AE1120" s="132"/>
      <c r="AF1120" s="132"/>
      <c r="AG1120" s="132"/>
      <c r="AH1120" s="132"/>
      <c r="AI1120" s="132"/>
      <c r="AJ1120" s="95"/>
      <c r="AK1120" s="95"/>
      <c r="AL1120" s="95"/>
      <c r="AM1120" s="95"/>
      <c r="AN1120" s="132"/>
      <c r="AO1120" s="132"/>
      <c r="AP1120" s="95"/>
      <c r="AQ1120" s="132"/>
      <c r="AR1120" s="132"/>
    </row>
    <row r="1121" spans="25:44" s="82" customFormat="1" x14ac:dyDescent="0.2">
      <c r="Y1121" s="132"/>
      <c r="Z1121" s="132"/>
      <c r="AA1121" s="132"/>
      <c r="AB1121" s="95"/>
      <c r="AC1121" s="126"/>
      <c r="AD1121" s="340"/>
      <c r="AE1121" s="132"/>
      <c r="AF1121" s="132"/>
      <c r="AG1121" s="132"/>
      <c r="AH1121" s="132"/>
      <c r="AI1121" s="132"/>
      <c r="AJ1121" s="95"/>
      <c r="AK1121" s="95"/>
      <c r="AL1121" s="95"/>
      <c r="AM1121" s="95"/>
      <c r="AN1121" s="132"/>
      <c r="AO1121" s="132"/>
      <c r="AP1121" s="95"/>
      <c r="AQ1121" s="132"/>
      <c r="AR1121" s="132"/>
    </row>
    <row r="1122" spans="25:44" s="82" customFormat="1" x14ac:dyDescent="0.2">
      <c r="Y1122" s="132"/>
      <c r="Z1122" s="132"/>
      <c r="AA1122" s="132"/>
      <c r="AB1122" s="95"/>
      <c r="AC1122" s="126"/>
      <c r="AD1122" s="340"/>
      <c r="AE1122" s="132"/>
      <c r="AF1122" s="132"/>
      <c r="AG1122" s="132"/>
      <c r="AH1122" s="132"/>
      <c r="AI1122" s="132"/>
      <c r="AJ1122" s="95"/>
      <c r="AK1122" s="95"/>
      <c r="AL1122" s="95"/>
      <c r="AM1122" s="95"/>
      <c r="AN1122" s="132"/>
      <c r="AO1122" s="132"/>
      <c r="AP1122" s="95"/>
      <c r="AQ1122" s="132"/>
      <c r="AR1122" s="132"/>
    </row>
    <row r="1123" spans="25:44" s="82" customFormat="1" x14ac:dyDescent="0.2">
      <c r="Y1123" s="132"/>
      <c r="Z1123" s="132"/>
      <c r="AA1123" s="132"/>
      <c r="AB1123" s="95"/>
      <c r="AC1123" s="126"/>
      <c r="AD1123" s="340"/>
      <c r="AE1123" s="132"/>
      <c r="AF1123" s="132"/>
      <c r="AG1123" s="132"/>
      <c r="AH1123" s="132"/>
      <c r="AI1123" s="132"/>
      <c r="AJ1123" s="95"/>
      <c r="AK1123" s="95"/>
      <c r="AL1123" s="95"/>
      <c r="AM1123" s="95"/>
      <c r="AN1123" s="132"/>
      <c r="AO1123" s="132"/>
      <c r="AP1123" s="95"/>
      <c r="AQ1123" s="132"/>
      <c r="AR1123" s="132"/>
    </row>
    <row r="1124" spans="25:44" s="82" customFormat="1" x14ac:dyDescent="0.2">
      <c r="Y1124" s="132"/>
      <c r="Z1124" s="132"/>
      <c r="AA1124" s="132"/>
      <c r="AB1124" s="95"/>
      <c r="AC1124" s="126"/>
      <c r="AD1124" s="340"/>
      <c r="AE1124" s="132"/>
      <c r="AF1124" s="132"/>
      <c r="AG1124" s="132"/>
      <c r="AH1124" s="132"/>
      <c r="AI1124" s="132"/>
      <c r="AJ1124" s="95"/>
      <c r="AK1124" s="95"/>
      <c r="AL1124" s="95"/>
      <c r="AM1124" s="95"/>
      <c r="AN1124" s="132"/>
      <c r="AO1124" s="132"/>
      <c r="AP1124" s="95"/>
      <c r="AQ1124" s="132"/>
      <c r="AR1124" s="132"/>
    </row>
    <row r="1125" spans="25:44" s="82" customFormat="1" x14ac:dyDescent="0.2">
      <c r="Y1125" s="132"/>
      <c r="Z1125" s="132"/>
      <c r="AA1125" s="132"/>
      <c r="AB1125" s="95"/>
      <c r="AC1125" s="126"/>
      <c r="AD1125" s="340"/>
      <c r="AE1125" s="132"/>
      <c r="AF1125" s="132"/>
      <c r="AG1125" s="132"/>
      <c r="AH1125" s="132"/>
      <c r="AI1125" s="132"/>
      <c r="AJ1125" s="95"/>
      <c r="AK1125" s="95"/>
      <c r="AL1125" s="95"/>
      <c r="AM1125" s="95"/>
      <c r="AN1125" s="132"/>
      <c r="AO1125" s="132"/>
      <c r="AP1125" s="95"/>
      <c r="AQ1125" s="132"/>
      <c r="AR1125" s="132"/>
    </row>
    <row r="1126" spans="25:44" s="82" customFormat="1" x14ac:dyDescent="0.2">
      <c r="Y1126" s="132"/>
      <c r="Z1126" s="132"/>
      <c r="AA1126" s="132"/>
      <c r="AB1126" s="95"/>
      <c r="AC1126" s="126"/>
      <c r="AD1126" s="340"/>
      <c r="AE1126" s="132"/>
      <c r="AF1126" s="132"/>
      <c r="AG1126" s="132"/>
      <c r="AH1126" s="132"/>
      <c r="AI1126" s="132"/>
      <c r="AJ1126" s="95"/>
      <c r="AK1126" s="95"/>
      <c r="AL1126" s="95"/>
      <c r="AM1126" s="95"/>
      <c r="AN1126" s="132"/>
      <c r="AO1126" s="132"/>
      <c r="AP1126" s="95"/>
      <c r="AQ1126" s="132"/>
      <c r="AR1126" s="132"/>
    </row>
    <row r="1127" spans="25:44" s="82" customFormat="1" x14ac:dyDescent="0.2">
      <c r="Y1127" s="132"/>
      <c r="Z1127" s="132"/>
      <c r="AA1127" s="132"/>
      <c r="AB1127" s="95"/>
      <c r="AC1127" s="126"/>
      <c r="AD1127" s="340"/>
      <c r="AE1127" s="132"/>
      <c r="AF1127" s="132"/>
      <c r="AG1127" s="132"/>
      <c r="AH1127" s="132"/>
      <c r="AI1127" s="132"/>
      <c r="AJ1127" s="95"/>
      <c r="AK1127" s="95"/>
      <c r="AL1127" s="95"/>
      <c r="AM1127" s="95"/>
      <c r="AN1127" s="132"/>
      <c r="AO1127" s="132"/>
      <c r="AP1127" s="95"/>
      <c r="AQ1127" s="132"/>
      <c r="AR1127" s="132"/>
    </row>
    <row r="1128" spans="25:44" s="82" customFormat="1" x14ac:dyDescent="0.2">
      <c r="Y1128" s="132"/>
      <c r="Z1128" s="132"/>
      <c r="AA1128" s="132"/>
      <c r="AB1128" s="95"/>
      <c r="AC1128" s="126"/>
      <c r="AD1128" s="340"/>
      <c r="AE1128" s="132"/>
      <c r="AF1128" s="132"/>
      <c r="AG1128" s="132"/>
      <c r="AH1128" s="132"/>
      <c r="AI1128" s="132"/>
      <c r="AJ1128" s="95"/>
      <c r="AK1128" s="95"/>
      <c r="AL1128" s="95"/>
      <c r="AM1128" s="95"/>
      <c r="AN1128" s="132"/>
      <c r="AO1128" s="132"/>
      <c r="AP1128" s="95"/>
      <c r="AQ1128" s="132"/>
      <c r="AR1128" s="132"/>
    </row>
    <row r="1129" spans="25:44" s="82" customFormat="1" x14ac:dyDescent="0.2">
      <c r="Y1129" s="132"/>
      <c r="Z1129" s="132"/>
      <c r="AA1129" s="132"/>
      <c r="AB1129" s="95"/>
      <c r="AC1129" s="126"/>
      <c r="AD1129" s="340"/>
      <c r="AE1129" s="132"/>
      <c r="AF1129" s="132"/>
      <c r="AG1129" s="132"/>
      <c r="AH1129" s="132"/>
      <c r="AI1129" s="132"/>
      <c r="AJ1129" s="95"/>
      <c r="AK1129" s="95"/>
      <c r="AL1129" s="95"/>
      <c r="AM1129" s="95"/>
      <c r="AN1129" s="132"/>
      <c r="AO1129" s="132"/>
      <c r="AP1129" s="95"/>
      <c r="AQ1129" s="132"/>
      <c r="AR1129" s="132"/>
    </row>
    <row r="1130" spans="25:44" s="82" customFormat="1" x14ac:dyDescent="0.2">
      <c r="Y1130" s="132"/>
      <c r="Z1130" s="132"/>
      <c r="AA1130" s="132"/>
      <c r="AB1130" s="95"/>
      <c r="AC1130" s="126"/>
      <c r="AD1130" s="340"/>
      <c r="AE1130" s="132"/>
      <c r="AF1130" s="132"/>
      <c r="AG1130" s="132"/>
      <c r="AH1130" s="132"/>
      <c r="AI1130" s="132"/>
      <c r="AJ1130" s="95"/>
      <c r="AK1130" s="95"/>
      <c r="AL1130" s="95"/>
      <c r="AM1130" s="95"/>
      <c r="AN1130" s="132"/>
      <c r="AO1130" s="132"/>
      <c r="AP1130" s="95"/>
      <c r="AQ1130" s="132"/>
      <c r="AR1130" s="132"/>
    </row>
    <row r="1131" spans="25:44" s="82" customFormat="1" x14ac:dyDescent="0.2">
      <c r="Y1131" s="132"/>
      <c r="Z1131" s="132"/>
      <c r="AA1131" s="132"/>
      <c r="AB1131" s="95"/>
      <c r="AC1131" s="126"/>
      <c r="AD1131" s="340"/>
      <c r="AE1131" s="132"/>
      <c r="AF1131" s="132"/>
      <c r="AG1131" s="132"/>
      <c r="AH1131" s="132"/>
      <c r="AI1131" s="132"/>
      <c r="AJ1131" s="95"/>
      <c r="AK1131" s="95"/>
      <c r="AL1131" s="95"/>
      <c r="AM1131" s="95"/>
      <c r="AN1131" s="132"/>
      <c r="AO1131" s="132"/>
      <c r="AP1131" s="95"/>
      <c r="AQ1131" s="132"/>
      <c r="AR1131" s="132"/>
    </row>
    <row r="1132" spans="25:44" s="82" customFormat="1" x14ac:dyDescent="0.2">
      <c r="Y1132" s="132"/>
      <c r="Z1132" s="132"/>
      <c r="AA1132" s="132"/>
      <c r="AB1132" s="95"/>
      <c r="AC1132" s="126"/>
      <c r="AD1132" s="340"/>
      <c r="AE1132" s="132"/>
      <c r="AF1132" s="132"/>
      <c r="AG1132" s="132"/>
      <c r="AH1132" s="132"/>
      <c r="AI1132" s="132"/>
      <c r="AJ1132" s="95"/>
      <c r="AK1132" s="95"/>
      <c r="AL1132" s="95"/>
      <c r="AM1132" s="95"/>
      <c r="AN1132" s="132"/>
      <c r="AO1132" s="132"/>
      <c r="AP1132" s="95"/>
      <c r="AQ1132" s="132"/>
      <c r="AR1132" s="132"/>
    </row>
    <row r="1133" spans="25:44" s="82" customFormat="1" x14ac:dyDescent="0.2">
      <c r="Y1133" s="132"/>
      <c r="Z1133" s="132"/>
      <c r="AA1133" s="132"/>
      <c r="AB1133" s="95"/>
      <c r="AC1133" s="126"/>
      <c r="AD1133" s="340"/>
      <c r="AE1133" s="132"/>
      <c r="AF1133" s="132"/>
      <c r="AG1133" s="132"/>
      <c r="AH1133" s="132"/>
      <c r="AI1133" s="132"/>
      <c r="AJ1133" s="95"/>
      <c r="AK1133" s="95"/>
      <c r="AL1133" s="95"/>
      <c r="AM1133" s="95"/>
      <c r="AN1133" s="132"/>
      <c r="AO1133" s="132"/>
      <c r="AP1133" s="95"/>
      <c r="AQ1133" s="132"/>
      <c r="AR1133" s="132"/>
    </row>
    <row r="1134" spans="25:44" s="82" customFormat="1" x14ac:dyDescent="0.2">
      <c r="Y1134" s="132"/>
      <c r="Z1134" s="132"/>
      <c r="AA1134" s="132"/>
      <c r="AB1134" s="95"/>
      <c r="AC1134" s="126"/>
      <c r="AD1134" s="340"/>
      <c r="AE1134" s="132"/>
      <c r="AF1134" s="132"/>
      <c r="AG1134" s="132"/>
      <c r="AH1134" s="132"/>
      <c r="AI1134" s="132"/>
      <c r="AJ1134" s="95"/>
      <c r="AK1134" s="95"/>
      <c r="AL1134" s="95"/>
      <c r="AM1134" s="95"/>
      <c r="AN1134" s="132"/>
      <c r="AO1134" s="132"/>
      <c r="AP1134" s="95"/>
      <c r="AQ1134" s="132"/>
      <c r="AR1134" s="132"/>
    </row>
    <row r="1135" spans="25:44" s="82" customFormat="1" x14ac:dyDescent="0.2">
      <c r="Y1135" s="132"/>
      <c r="Z1135" s="132"/>
      <c r="AA1135" s="132"/>
      <c r="AB1135" s="95"/>
      <c r="AC1135" s="126"/>
      <c r="AD1135" s="340"/>
      <c r="AE1135" s="132"/>
      <c r="AF1135" s="132"/>
      <c r="AG1135" s="132"/>
      <c r="AH1135" s="132"/>
      <c r="AI1135" s="132"/>
      <c r="AJ1135" s="95"/>
      <c r="AK1135" s="95"/>
      <c r="AL1135" s="95"/>
      <c r="AM1135" s="95"/>
      <c r="AN1135" s="132"/>
      <c r="AO1135" s="132"/>
      <c r="AP1135" s="95"/>
      <c r="AQ1135" s="132"/>
      <c r="AR1135" s="132"/>
    </row>
    <row r="1136" spans="25:44" s="82" customFormat="1" x14ac:dyDescent="0.2">
      <c r="Y1136" s="132"/>
      <c r="Z1136" s="132"/>
      <c r="AA1136" s="132"/>
      <c r="AB1136" s="95"/>
      <c r="AC1136" s="126"/>
      <c r="AD1136" s="340"/>
      <c r="AE1136" s="132"/>
      <c r="AF1136" s="132"/>
      <c r="AG1136" s="132"/>
      <c r="AH1136" s="132"/>
      <c r="AI1136" s="132"/>
      <c r="AJ1136" s="95"/>
      <c r="AK1136" s="95"/>
      <c r="AL1136" s="95"/>
      <c r="AM1136" s="95"/>
      <c r="AN1136" s="132"/>
      <c r="AO1136" s="132"/>
      <c r="AP1136" s="95"/>
      <c r="AQ1136" s="132"/>
      <c r="AR1136" s="132"/>
    </row>
    <row r="1137" spans="25:44" s="82" customFormat="1" x14ac:dyDescent="0.2">
      <c r="Y1137" s="132"/>
      <c r="Z1137" s="132"/>
      <c r="AA1137" s="132"/>
      <c r="AB1137" s="95"/>
      <c r="AC1137" s="126"/>
      <c r="AD1137" s="340"/>
      <c r="AE1137" s="132"/>
      <c r="AF1137" s="132"/>
      <c r="AG1137" s="132"/>
      <c r="AH1137" s="132"/>
      <c r="AI1137" s="132"/>
      <c r="AJ1137" s="95"/>
      <c r="AK1137" s="95"/>
      <c r="AL1137" s="95"/>
      <c r="AM1137" s="95"/>
      <c r="AN1137" s="132"/>
      <c r="AO1137" s="132"/>
      <c r="AP1137" s="95"/>
      <c r="AQ1137" s="132"/>
      <c r="AR1137" s="132"/>
    </row>
    <row r="1138" spans="25:44" s="82" customFormat="1" x14ac:dyDescent="0.2">
      <c r="Y1138" s="132"/>
      <c r="Z1138" s="132"/>
      <c r="AA1138" s="132"/>
      <c r="AB1138" s="95"/>
      <c r="AC1138" s="126"/>
      <c r="AD1138" s="340"/>
      <c r="AE1138" s="132"/>
      <c r="AF1138" s="132"/>
      <c r="AG1138" s="132"/>
      <c r="AH1138" s="132"/>
      <c r="AI1138" s="132"/>
      <c r="AJ1138" s="95"/>
      <c r="AK1138" s="95"/>
      <c r="AL1138" s="95"/>
      <c r="AM1138" s="95"/>
      <c r="AN1138" s="132"/>
      <c r="AO1138" s="132"/>
      <c r="AP1138" s="95"/>
      <c r="AQ1138" s="132"/>
      <c r="AR1138" s="132"/>
    </row>
    <row r="1139" spans="25:44" s="82" customFormat="1" x14ac:dyDescent="0.2">
      <c r="Y1139" s="132"/>
      <c r="Z1139" s="132"/>
      <c r="AA1139" s="132"/>
      <c r="AB1139" s="95"/>
      <c r="AC1139" s="126"/>
      <c r="AD1139" s="340"/>
      <c r="AE1139" s="132"/>
      <c r="AF1139" s="132"/>
      <c r="AG1139" s="132"/>
      <c r="AH1139" s="132"/>
      <c r="AI1139" s="132"/>
      <c r="AJ1139" s="95"/>
      <c r="AK1139" s="95"/>
      <c r="AL1139" s="95"/>
      <c r="AM1139" s="95"/>
      <c r="AN1139" s="132"/>
      <c r="AO1139" s="132"/>
      <c r="AP1139" s="95"/>
      <c r="AQ1139" s="132"/>
      <c r="AR1139" s="132"/>
    </row>
    <row r="1140" spans="25:44" s="82" customFormat="1" x14ac:dyDescent="0.2">
      <c r="Y1140" s="132"/>
      <c r="Z1140" s="132"/>
      <c r="AA1140" s="132"/>
      <c r="AB1140" s="95"/>
      <c r="AC1140" s="126"/>
      <c r="AD1140" s="340"/>
      <c r="AE1140" s="132"/>
      <c r="AF1140" s="132"/>
      <c r="AG1140" s="132"/>
      <c r="AH1140" s="132"/>
      <c r="AI1140" s="132"/>
      <c r="AJ1140" s="95"/>
      <c r="AK1140" s="95"/>
      <c r="AL1140" s="95"/>
      <c r="AM1140" s="95"/>
      <c r="AN1140" s="132"/>
      <c r="AO1140" s="132"/>
      <c r="AP1140" s="95"/>
      <c r="AQ1140" s="132"/>
      <c r="AR1140" s="132"/>
    </row>
    <row r="1141" spans="25:44" s="82" customFormat="1" x14ac:dyDescent="0.2">
      <c r="Y1141" s="132"/>
      <c r="Z1141" s="132"/>
      <c r="AA1141" s="132"/>
      <c r="AB1141" s="95"/>
      <c r="AC1141" s="126"/>
      <c r="AD1141" s="340"/>
      <c r="AE1141" s="132"/>
      <c r="AF1141" s="132"/>
      <c r="AG1141" s="132"/>
      <c r="AH1141" s="132"/>
      <c r="AI1141" s="132"/>
      <c r="AJ1141" s="95"/>
      <c r="AK1141" s="95"/>
      <c r="AL1141" s="95"/>
      <c r="AM1141" s="95"/>
      <c r="AN1141" s="132"/>
      <c r="AO1141" s="132"/>
      <c r="AP1141" s="95"/>
      <c r="AQ1141" s="132"/>
      <c r="AR1141" s="132"/>
    </row>
    <row r="1142" spans="25:44" s="82" customFormat="1" x14ac:dyDescent="0.2">
      <c r="Y1142" s="132"/>
      <c r="Z1142" s="132"/>
      <c r="AA1142" s="132"/>
      <c r="AB1142" s="95"/>
      <c r="AC1142" s="126"/>
      <c r="AD1142" s="340"/>
      <c r="AE1142" s="132"/>
      <c r="AF1142" s="132"/>
      <c r="AG1142" s="132"/>
      <c r="AH1142" s="132"/>
      <c r="AI1142" s="132"/>
      <c r="AJ1142" s="95"/>
      <c r="AK1142" s="95"/>
      <c r="AL1142" s="95"/>
      <c r="AM1142" s="95"/>
      <c r="AN1142" s="132"/>
      <c r="AO1142" s="132"/>
      <c r="AP1142" s="95"/>
      <c r="AQ1142" s="132"/>
      <c r="AR1142" s="132"/>
    </row>
    <row r="1143" spans="25:44" s="82" customFormat="1" x14ac:dyDescent="0.2">
      <c r="Y1143" s="132"/>
      <c r="Z1143" s="132"/>
      <c r="AA1143" s="132"/>
      <c r="AB1143" s="95"/>
      <c r="AC1143" s="126"/>
      <c r="AD1143" s="340"/>
      <c r="AE1143" s="132"/>
      <c r="AF1143" s="132"/>
      <c r="AG1143" s="132"/>
      <c r="AH1143" s="132"/>
      <c r="AI1143" s="132"/>
      <c r="AJ1143" s="95"/>
      <c r="AK1143" s="95"/>
      <c r="AL1143" s="95"/>
      <c r="AM1143" s="95"/>
      <c r="AN1143" s="132"/>
      <c r="AO1143" s="132"/>
      <c r="AP1143" s="95"/>
      <c r="AQ1143" s="132"/>
      <c r="AR1143" s="132"/>
    </row>
    <row r="1144" spans="25:44" s="82" customFormat="1" x14ac:dyDescent="0.2">
      <c r="Y1144" s="132"/>
      <c r="Z1144" s="132"/>
      <c r="AA1144" s="132"/>
      <c r="AB1144" s="95"/>
      <c r="AC1144" s="126"/>
      <c r="AD1144" s="340"/>
      <c r="AE1144" s="132"/>
      <c r="AF1144" s="132"/>
      <c r="AG1144" s="132"/>
      <c r="AH1144" s="132"/>
      <c r="AI1144" s="132"/>
      <c r="AJ1144" s="95"/>
      <c r="AK1144" s="95"/>
      <c r="AL1144" s="95"/>
      <c r="AM1144" s="95"/>
      <c r="AN1144" s="132"/>
      <c r="AO1144" s="132"/>
      <c r="AP1144" s="95"/>
      <c r="AQ1144" s="132"/>
      <c r="AR1144" s="132"/>
    </row>
    <row r="1145" spans="25:44" s="82" customFormat="1" x14ac:dyDescent="0.2">
      <c r="Y1145" s="132"/>
      <c r="Z1145" s="132"/>
      <c r="AA1145" s="132"/>
      <c r="AB1145" s="95"/>
      <c r="AC1145" s="126"/>
      <c r="AD1145" s="340"/>
      <c r="AE1145" s="132"/>
      <c r="AF1145" s="132"/>
      <c r="AG1145" s="132"/>
      <c r="AH1145" s="132"/>
      <c r="AI1145" s="132"/>
      <c r="AJ1145" s="95"/>
      <c r="AK1145" s="95"/>
      <c r="AL1145" s="95"/>
      <c r="AM1145" s="95"/>
      <c r="AN1145" s="132"/>
      <c r="AO1145" s="132"/>
      <c r="AP1145" s="95"/>
      <c r="AQ1145" s="132"/>
      <c r="AR1145" s="132"/>
    </row>
    <row r="1146" spans="25:44" s="82" customFormat="1" x14ac:dyDescent="0.2">
      <c r="Y1146" s="132"/>
      <c r="Z1146" s="132"/>
      <c r="AA1146" s="132"/>
      <c r="AB1146" s="95"/>
      <c r="AC1146" s="126"/>
      <c r="AD1146" s="340"/>
      <c r="AE1146" s="132"/>
      <c r="AF1146" s="132"/>
      <c r="AG1146" s="132"/>
      <c r="AH1146" s="132"/>
      <c r="AI1146" s="132"/>
      <c r="AJ1146" s="95"/>
      <c r="AK1146" s="95"/>
      <c r="AL1146" s="95"/>
      <c r="AM1146" s="95"/>
      <c r="AN1146" s="132"/>
      <c r="AO1146" s="132"/>
      <c r="AP1146" s="95"/>
      <c r="AQ1146" s="132"/>
      <c r="AR1146" s="132"/>
    </row>
    <row r="1147" spans="25:44" s="82" customFormat="1" x14ac:dyDescent="0.2">
      <c r="Y1147" s="132"/>
      <c r="Z1147" s="132"/>
      <c r="AA1147" s="132"/>
      <c r="AB1147" s="95"/>
      <c r="AC1147" s="126"/>
      <c r="AD1147" s="340"/>
      <c r="AE1147" s="132"/>
      <c r="AF1147" s="132"/>
      <c r="AG1147" s="132"/>
      <c r="AH1147" s="132"/>
      <c r="AI1147" s="132"/>
      <c r="AJ1147" s="95"/>
      <c r="AK1147" s="95"/>
      <c r="AL1147" s="95"/>
      <c r="AM1147" s="95"/>
      <c r="AN1147" s="132"/>
      <c r="AO1147" s="132"/>
      <c r="AP1147" s="95"/>
      <c r="AQ1147" s="132"/>
      <c r="AR1147" s="132"/>
    </row>
    <row r="1148" spans="25:44" s="82" customFormat="1" x14ac:dyDescent="0.2">
      <c r="Y1148" s="132"/>
      <c r="Z1148" s="132"/>
      <c r="AA1148" s="132"/>
      <c r="AB1148" s="95"/>
      <c r="AC1148" s="126"/>
      <c r="AD1148" s="340"/>
      <c r="AE1148" s="132"/>
      <c r="AF1148" s="132"/>
      <c r="AG1148" s="132"/>
      <c r="AH1148" s="132"/>
      <c r="AI1148" s="132"/>
      <c r="AJ1148" s="95"/>
      <c r="AK1148" s="95"/>
      <c r="AL1148" s="95"/>
      <c r="AM1148" s="95"/>
      <c r="AN1148" s="132"/>
      <c r="AO1148" s="132"/>
      <c r="AP1148" s="95"/>
      <c r="AQ1148" s="132"/>
      <c r="AR1148" s="132"/>
    </row>
    <row r="1149" spans="25:44" s="82" customFormat="1" x14ac:dyDescent="0.2">
      <c r="Y1149" s="132"/>
      <c r="Z1149" s="132"/>
      <c r="AA1149" s="132"/>
      <c r="AB1149" s="95"/>
      <c r="AC1149" s="126"/>
      <c r="AD1149" s="340"/>
      <c r="AE1149" s="132"/>
      <c r="AF1149" s="132"/>
      <c r="AG1149" s="132"/>
      <c r="AH1149" s="132"/>
      <c r="AI1149" s="132"/>
      <c r="AJ1149" s="95"/>
      <c r="AK1149" s="95"/>
      <c r="AL1149" s="95"/>
      <c r="AM1149" s="95"/>
      <c r="AN1149" s="132"/>
      <c r="AO1149" s="132"/>
      <c r="AP1149" s="95"/>
      <c r="AQ1149" s="132"/>
      <c r="AR1149" s="132"/>
    </row>
    <row r="1150" spans="25:44" s="82" customFormat="1" x14ac:dyDescent="0.2">
      <c r="Y1150" s="132"/>
      <c r="Z1150" s="132"/>
      <c r="AA1150" s="132"/>
      <c r="AB1150" s="95"/>
      <c r="AC1150" s="126"/>
      <c r="AD1150" s="340"/>
      <c r="AE1150" s="132"/>
      <c r="AF1150" s="132"/>
      <c r="AG1150" s="132"/>
      <c r="AH1150" s="132"/>
      <c r="AI1150" s="132"/>
      <c r="AJ1150" s="95"/>
      <c r="AK1150" s="95"/>
      <c r="AL1150" s="95"/>
      <c r="AM1150" s="95"/>
      <c r="AN1150" s="132"/>
      <c r="AO1150" s="132"/>
      <c r="AP1150" s="95"/>
      <c r="AQ1150" s="132"/>
      <c r="AR1150" s="132"/>
    </row>
    <row r="1151" spans="25:44" s="82" customFormat="1" x14ac:dyDescent="0.2">
      <c r="Y1151" s="132"/>
      <c r="Z1151" s="132"/>
      <c r="AA1151" s="132"/>
      <c r="AB1151" s="95"/>
      <c r="AC1151" s="126"/>
      <c r="AD1151" s="340"/>
      <c r="AE1151" s="132"/>
      <c r="AF1151" s="132"/>
      <c r="AG1151" s="132"/>
      <c r="AH1151" s="132"/>
      <c r="AI1151" s="132"/>
      <c r="AJ1151" s="95"/>
      <c r="AK1151" s="95"/>
      <c r="AL1151" s="95"/>
      <c r="AM1151" s="95"/>
      <c r="AN1151" s="132"/>
      <c r="AO1151" s="132"/>
      <c r="AP1151" s="95"/>
      <c r="AQ1151" s="132"/>
      <c r="AR1151" s="132"/>
    </row>
    <row r="1152" spans="25:44" s="82" customFormat="1" x14ac:dyDescent="0.2">
      <c r="Y1152" s="132"/>
      <c r="Z1152" s="132"/>
      <c r="AA1152" s="132"/>
      <c r="AB1152" s="95"/>
      <c r="AC1152" s="126"/>
      <c r="AD1152" s="340"/>
      <c r="AE1152" s="132"/>
      <c r="AF1152" s="132"/>
      <c r="AG1152" s="132"/>
      <c r="AH1152" s="132"/>
      <c r="AI1152" s="132"/>
      <c r="AJ1152" s="95"/>
      <c r="AK1152" s="95"/>
      <c r="AL1152" s="95"/>
      <c r="AM1152" s="95"/>
      <c r="AN1152" s="132"/>
      <c r="AO1152" s="132"/>
      <c r="AP1152" s="95"/>
      <c r="AQ1152" s="132"/>
      <c r="AR1152" s="132"/>
    </row>
    <row r="1153" spans="25:44" s="82" customFormat="1" x14ac:dyDescent="0.2">
      <c r="Y1153" s="132"/>
      <c r="Z1153" s="132"/>
      <c r="AA1153" s="132"/>
      <c r="AB1153" s="95"/>
      <c r="AC1153" s="126"/>
      <c r="AD1153" s="340"/>
      <c r="AE1153" s="132"/>
      <c r="AF1153" s="132"/>
      <c r="AG1153" s="132"/>
      <c r="AH1153" s="132"/>
      <c r="AI1153" s="132"/>
      <c r="AJ1153" s="95"/>
      <c r="AK1153" s="95"/>
      <c r="AL1153" s="95"/>
      <c r="AM1153" s="95"/>
      <c r="AN1153" s="132"/>
      <c r="AO1153" s="132"/>
      <c r="AP1153" s="95"/>
      <c r="AQ1153" s="132"/>
      <c r="AR1153" s="132"/>
    </row>
    <row r="1154" spans="25:44" s="82" customFormat="1" x14ac:dyDescent="0.2">
      <c r="Y1154" s="132"/>
      <c r="Z1154" s="132"/>
      <c r="AA1154" s="132"/>
      <c r="AB1154" s="95"/>
      <c r="AC1154" s="126"/>
      <c r="AD1154" s="340"/>
      <c r="AE1154" s="132"/>
      <c r="AF1154" s="132"/>
      <c r="AG1154" s="132"/>
      <c r="AH1154" s="132"/>
      <c r="AI1154" s="132"/>
      <c r="AJ1154" s="95"/>
      <c r="AK1154" s="95"/>
      <c r="AL1154" s="95"/>
      <c r="AM1154" s="95"/>
      <c r="AN1154" s="132"/>
      <c r="AO1154" s="132"/>
      <c r="AP1154" s="95"/>
      <c r="AQ1154" s="132"/>
      <c r="AR1154" s="132"/>
    </row>
    <row r="1155" spans="25:44" s="82" customFormat="1" x14ac:dyDescent="0.2">
      <c r="Y1155" s="132"/>
      <c r="Z1155" s="132"/>
      <c r="AA1155" s="132"/>
      <c r="AB1155" s="95"/>
      <c r="AC1155" s="126"/>
      <c r="AD1155" s="340"/>
      <c r="AE1155" s="132"/>
      <c r="AF1155" s="132"/>
      <c r="AG1155" s="132"/>
      <c r="AH1155" s="132"/>
      <c r="AI1155" s="132"/>
      <c r="AJ1155" s="95"/>
      <c r="AK1155" s="95"/>
      <c r="AL1155" s="95"/>
      <c r="AM1155" s="95"/>
      <c r="AN1155" s="132"/>
      <c r="AO1155" s="132"/>
      <c r="AP1155" s="95"/>
      <c r="AQ1155" s="132"/>
      <c r="AR1155" s="132"/>
    </row>
    <row r="1156" spans="25:44" s="82" customFormat="1" x14ac:dyDescent="0.2">
      <c r="Y1156" s="132"/>
      <c r="Z1156" s="132"/>
      <c r="AA1156" s="132"/>
      <c r="AB1156" s="95"/>
      <c r="AC1156" s="126"/>
      <c r="AD1156" s="340"/>
      <c r="AE1156" s="132"/>
      <c r="AF1156" s="132"/>
      <c r="AG1156" s="132"/>
      <c r="AH1156" s="132"/>
      <c r="AI1156" s="132"/>
      <c r="AJ1156" s="95"/>
      <c r="AK1156" s="95"/>
      <c r="AL1156" s="95"/>
      <c r="AM1156" s="95"/>
      <c r="AN1156" s="132"/>
      <c r="AO1156" s="132"/>
      <c r="AP1156" s="95"/>
      <c r="AQ1156" s="132"/>
      <c r="AR1156" s="132"/>
    </row>
    <row r="1157" spans="25:44" s="82" customFormat="1" x14ac:dyDescent="0.2">
      <c r="Y1157" s="132"/>
      <c r="Z1157" s="132"/>
      <c r="AA1157" s="132"/>
      <c r="AB1157" s="95"/>
      <c r="AC1157" s="126"/>
      <c r="AD1157" s="340"/>
      <c r="AE1157" s="132"/>
      <c r="AF1157" s="132"/>
      <c r="AG1157" s="132"/>
      <c r="AH1157" s="132"/>
      <c r="AI1157" s="132"/>
      <c r="AJ1157" s="95"/>
      <c r="AK1157" s="95"/>
      <c r="AL1157" s="95"/>
      <c r="AM1157" s="95"/>
      <c r="AN1157" s="132"/>
      <c r="AO1157" s="132"/>
      <c r="AP1157" s="95"/>
      <c r="AQ1157" s="132"/>
      <c r="AR1157" s="132"/>
    </row>
    <row r="1158" spans="25:44" s="82" customFormat="1" x14ac:dyDescent="0.2">
      <c r="Y1158" s="132"/>
      <c r="Z1158" s="132"/>
      <c r="AA1158" s="132"/>
      <c r="AB1158" s="95"/>
      <c r="AC1158" s="126"/>
      <c r="AD1158" s="340"/>
      <c r="AE1158" s="132"/>
      <c r="AF1158" s="132"/>
      <c r="AG1158" s="132"/>
      <c r="AH1158" s="132"/>
      <c r="AI1158" s="132"/>
      <c r="AJ1158" s="95"/>
      <c r="AK1158" s="95"/>
      <c r="AL1158" s="95"/>
      <c r="AM1158" s="95"/>
      <c r="AN1158" s="132"/>
      <c r="AO1158" s="132"/>
      <c r="AP1158" s="95"/>
      <c r="AQ1158" s="132"/>
      <c r="AR1158" s="132"/>
    </row>
    <row r="1159" spans="25:44" s="82" customFormat="1" x14ac:dyDescent="0.2">
      <c r="Y1159" s="132"/>
      <c r="Z1159" s="132"/>
      <c r="AA1159" s="132"/>
      <c r="AB1159" s="95"/>
      <c r="AC1159" s="126"/>
      <c r="AD1159" s="340"/>
      <c r="AE1159" s="132"/>
      <c r="AF1159" s="132"/>
      <c r="AG1159" s="132"/>
      <c r="AH1159" s="132"/>
      <c r="AI1159" s="132"/>
      <c r="AJ1159" s="95"/>
      <c r="AK1159" s="95"/>
      <c r="AL1159" s="95"/>
      <c r="AM1159" s="95"/>
      <c r="AN1159" s="132"/>
      <c r="AO1159" s="132"/>
      <c r="AP1159" s="95"/>
      <c r="AQ1159" s="132"/>
      <c r="AR1159" s="132"/>
    </row>
    <row r="1160" spans="25:44" s="82" customFormat="1" x14ac:dyDescent="0.2">
      <c r="Y1160" s="132"/>
      <c r="Z1160" s="132"/>
      <c r="AA1160" s="132"/>
      <c r="AB1160" s="95"/>
      <c r="AC1160" s="126"/>
      <c r="AD1160" s="340"/>
      <c r="AE1160" s="132"/>
      <c r="AF1160" s="132"/>
      <c r="AG1160" s="132"/>
      <c r="AH1160" s="132"/>
      <c r="AI1160" s="132"/>
      <c r="AJ1160" s="95"/>
      <c r="AK1160" s="95"/>
      <c r="AL1160" s="95"/>
      <c r="AM1160" s="95"/>
      <c r="AN1160" s="132"/>
      <c r="AO1160" s="132"/>
      <c r="AP1160" s="95"/>
      <c r="AQ1160" s="132"/>
      <c r="AR1160" s="132"/>
    </row>
    <row r="1161" spans="25:44" s="82" customFormat="1" x14ac:dyDescent="0.2">
      <c r="Y1161" s="132"/>
      <c r="Z1161" s="132"/>
      <c r="AA1161" s="132"/>
      <c r="AB1161" s="95"/>
      <c r="AC1161" s="126"/>
      <c r="AD1161" s="340"/>
      <c r="AE1161" s="132"/>
      <c r="AF1161" s="132"/>
      <c r="AG1161" s="132"/>
      <c r="AH1161" s="132"/>
      <c r="AI1161" s="132"/>
      <c r="AJ1161" s="95"/>
      <c r="AK1161" s="95"/>
      <c r="AL1161" s="95"/>
      <c r="AM1161" s="95"/>
      <c r="AN1161" s="132"/>
      <c r="AO1161" s="132"/>
      <c r="AP1161" s="95"/>
      <c r="AQ1161" s="132"/>
      <c r="AR1161" s="132"/>
    </row>
    <row r="1162" spans="25:44" s="82" customFormat="1" x14ac:dyDescent="0.2">
      <c r="Y1162" s="132"/>
      <c r="Z1162" s="132"/>
      <c r="AA1162" s="132"/>
      <c r="AB1162" s="95"/>
      <c r="AC1162" s="126"/>
      <c r="AD1162" s="340"/>
      <c r="AE1162" s="132"/>
      <c r="AF1162" s="132"/>
      <c r="AG1162" s="132"/>
      <c r="AH1162" s="132"/>
      <c r="AI1162" s="132"/>
      <c r="AJ1162" s="95"/>
      <c r="AK1162" s="95"/>
      <c r="AL1162" s="95"/>
      <c r="AM1162" s="95"/>
      <c r="AN1162" s="132"/>
      <c r="AO1162" s="132"/>
      <c r="AP1162" s="95"/>
      <c r="AQ1162" s="132"/>
      <c r="AR1162" s="132"/>
    </row>
    <row r="1163" spans="25:44" s="82" customFormat="1" x14ac:dyDescent="0.2">
      <c r="Y1163" s="132"/>
      <c r="Z1163" s="132"/>
      <c r="AA1163" s="132"/>
      <c r="AB1163" s="95"/>
      <c r="AC1163" s="126"/>
      <c r="AD1163" s="340"/>
      <c r="AE1163" s="132"/>
      <c r="AF1163" s="132"/>
      <c r="AG1163" s="132"/>
      <c r="AH1163" s="132"/>
      <c r="AI1163" s="132"/>
      <c r="AJ1163" s="95"/>
      <c r="AK1163" s="95"/>
      <c r="AL1163" s="95"/>
      <c r="AM1163" s="95"/>
      <c r="AN1163" s="132"/>
      <c r="AO1163" s="132"/>
      <c r="AP1163" s="95"/>
      <c r="AQ1163" s="132"/>
      <c r="AR1163" s="132"/>
    </row>
    <row r="1164" spans="25:44" s="82" customFormat="1" x14ac:dyDescent="0.2">
      <c r="Y1164" s="132"/>
      <c r="Z1164" s="132"/>
      <c r="AA1164" s="132"/>
      <c r="AB1164" s="95"/>
      <c r="AC1164" s="126"/>
      <c r="AD1164" s="340"/>
      <c r="AE1164" s="132"/>
      <c r="AF1164" s="132"/>
      <c r="AG1164" s="132"/>
      <c r="AH1164" s="132"/>
      <c r="AI1164" s="132"/>
      <c r="AJ1164" s="95"/>
      <c r="AK1164" s="95"/>
      <c r="AL1164" s="95"/>
      <c r="AM1164" s="95"/>
      <c r="AN1164" s="132"/>
      <c r="AO1164" s="132"/>
      <c r="AP1164" s="95"/>
      <c r="AQ1164" s="132"/>
      <c r="AR1164" s="132"/>
    </row>
    <row r="1165" spans="25:44" s="82" customFormat="1" x14ac:dyDescent="0.2">
      <c r="Y1165" s="132"/>
      <c r="Z1165" s="132"/>
      <c r="AA1165" s="132"/>
      <c r="AB1165" s="95"/>
      <c r="AC1165" s="126"/>
      <c r="AD1165" s="340"/>
      <c r="AE1165" s="132"/>
      <c r="AF1165" s="132"/>
      <c r="AG1165" s="132"/>
      <c r="AH1165" s="132"/>
      <c r="AI1165" s="132"/>
      <c r="AJ1165" s="95"/>
      <c r="AK1165" s="95"/>
      <c r="AL1165" s="95"/>
      <c r="AM1165" s="95"/>
      <c r="AN1165" s="132"/>
      <c r="AO1165" s="132"/>
      <c r="AP1165" s="95"/>
      <c r="AQ1165" s="132"/>
      <c r="AR1165" s="132"/>
    </row>
    <row r="1166" spans="25:44" s="82" customFormat="1" x14ac:dyDescent="0.2">
      <c r="Y1166" s="132"/>
      <c r="Z1166" s="132"/>
      <c r="AA1166" s="132"/>
      <c r="AB1166" s="95"/>
      <c r="AC1166" s="126"/>
      <c r="AD1166" s="340"/>
      <c r="AE1166" s="132"/>
      <c r="AF1166" s="132"/>
      <c r="AG1166" s="132"/>
      <c r="AH1166" s="132"/>
      <c r="AI1166" s="132"/>
      <c r="AJ1166" s="95"/>
      <c r="AK1166" s="95"/>
      <c r="AL1166" s="95"/>
      <c r="AM1166" s="95"/>
      <c r="AN1166" s="132"/>
      <c r="AO1166" s="132"/>
      <c r="AP1166" s="95"/>
      <c r="AQ1166" s="132"/>
      <c r="AR1166" s="132"/>
    </row>
    <row r="1167" spans="25:44" s="82" customFormat="1" x14ac:dyDescent="0.2">
      <c r="Y1167" s="132"/>
      <c r="Z1167" s="132"/>
      <c r="AA1167" s="132"/>
      <c r="AB1167" s="95"/>
      <c r="AC1167" s="126"/>
      <c r="AD1167" s="340"/>
      <c r="AE1167" s="132"/>
      <c r="AF1167" s="132"/>
      <c r="AG1167" s="132"/>
      <c r="AH1167" s="132"/>
      <c r="AI1167" s="132"/>
      <c r="AJ1167" s="95"/>
      <c r="AK1167" s="95"/>
      <c r="AL1167" s="95"/>
      <c r="AM1167" s="95"/>
      <c r="AN1167" s="132"/>
      <c r="AO1167" s="132"/>
      <c r="AP1167" s="95"/>
      <c r="AQ1167" s="132"/>
      <c r="AR1167" s="132"/>
    </row>
    <row r="1168" spans="25:44" s="82" customFormat="1" x14ac:dyDescent="0.2">
      <c r="Y1168" s="132"/>
      <c r="Z1168" s="132"/>
      <c r="AA1168" s="132"/>
      <c r="AB1168" s="95"/>
      <c r="AC1168" s="126"/>
      <c r="AD1168" s="340"/>
      <c r="AE1168" s="132"/>
      <c r="AF1168" s="132"/>
      <c r="AG1168" s="132"/>
      <c r="AH1168" s="132"/>
      <c r="AI1168" s="132"/>
      <c r="AJ1168" s="95"/>
      <c r="AK1168" s="95"/>
      <c r="AL1168" s="95"/>
      <c r="AM1168" s="95"/>
      <c r="AN1168" s="132"/>
      <c r="AO1168" s="132"/>
      <c r="AP1168" s="95"/>
      <c r="AQ1168" s="132"/>
      <c r="AR1168" s="132"/>
    </row>
    <row r="1169" spans="25:44" s="82" customFormat="1" x14ac:dyDescent="0.2">
      <c r="Y1169" s="132"/>
      <c r="Z1169" s="132"/>
      <c r="AA1169" s="132"/>
      <c r="AB1169" s="95"/>
      <c r="AC1169" s="126"/>
      <c r="AD1169" s="340"/>
      <c r="AE1169" s="132"/>
      <c r="AF1169" s="132"/>
      <c r="AG1169" s="132"/>
      <c r="AH1169" s="132"/>
      <c r="AI1169" s="132"/>
      <c r="AJ1169" s="95"/>
      <c r="AK1169" s="95"/>
      <c r="AL1169" s="95"/>
      <c r="AM1169" s="95"/>
      <c r="AN1169" s="132"/>
      <c r="AO1169" s="132"/>
      <c r="AP1169" s="95"/>
      <c r="AQ1169" s="132"/>
      <c r="AR1169" s="132"/>
    </row>
    <row r="1170" spans="25:44" s="82" customFormat="1" x14ac:dyDescent="0.2">
      <c r="Y1170" s="132"/>
      <c r="Z1170" s="132"/>
      <c r="AA1170" s="132"/>
      <c r="AB1170" s="95"/>
      <c r="AC1170" s="126"/>
      <c r="AD1170" s="340"/>
      <c r="AE1170" s="132"/>
      <c r="AF1170" s="132"/>
      <c r="AG1170" s="132"/>
      <c r="AH1170" s="132"/>
      <c r="AI1170" s="132"/>
      <c r="AJ1170" s="95"/>
      <c r="AK1170" s="95"/>
      <c r="AL1170" s="95"/>
      <c r="AM1170" s="95"/>
      <c r="AN1170" s="132"/>
      <c r="AO1170" s="132"/>
      <c r="AP1170" s="95"/>
      <c r="AQ1170" s="132"/>
      <c r="AR1170" s="132"/>
    </row>
    <row r="1171" spans="25:44" s="82" customFormat="1" x14ac:dyDescent="0.2">
      <c r="Y1171" s="132"/>
      <c r="Z1171" s="132"/>
      <c r="AA1171" s="132"/>
      <c r="AB1171" s="95"/>
      <c r="AC1171" s="126"/>
      <c r="AD1171" s="340"/>
      <c r="AE1171" s="132"/>
      <c r="AF1171" s="132"/>
      <c r="AG1171" s="132"/>
      <c r="AH1171" s="132"/>
      <c r="AI1171" s="132"/>
      <c r="AJ1171" s="95"/>
      <c r="AK1171" s="95"/>
      <c r="AL1171" s="95"/>
      <c r="AM1171" s="95"/>
      <c r="AN1171" s="132"/>
      <c r="AO1171" s="132"/>
      <c r="AP1171" s="95"/>
      <c r="AQ1171" s="132"/>
      <c r="AR1171" s="132"/>
    </row>
    <row r="1172" spans="25:44" s="82" customFormat="1" x14ac:dyDescent="0.2">
      <c r="Y1172" s="132"/>
      <c r="Z1172" s="132"/>
      <c r="AA1172" s="132"/>
      <c r="AB1172" s="95"/>
      <c r="AC1172" s="126"/>
      <c r="AD1172" s="340"/>
      <c r="AE1172" s="132"/>
      <c r="AF1172" s="132"/>
      <c r="AG1172" s="132"/>
      <c r="AH1172" s="132"/>
      <c r="AI1172" s="132"/>
      <c r="AJ1172" s="95"/>
      <c r="AK1172" s="95"/>
      <c r="AL1172" s="95"/>
      <c r="AM1172" s="95"/>
      <c r="AN1172" s="132"/>
      <c r="AO1172" s="132"/>
      <c r="AP1172" s="95"/>
      <c r="AQ1172" s="132"/>
      <c r="AR1172" s="132"/>
    </row>
    <row r="1173" spans="25:44" s="82" customFormat="1" x14ac:dyDescent="0.2">
      <c r="Y1173" s="132"/>
      <c r="Z1173" s="132"/>
      <c r="AA1173" s="132"/>
      <c r="AB1173" s="95"/>
      <c r="AC1173" s="126"/>
      <c r="AD1173" s="340"/>
      <c r="AE1173" s="132"/>
      <c r="AF1173" s="132"/>
      <c r="AG1173" s="132"/>
      <c r="AH1173" s="132"/>
      <c r="AI1173" s="132"/>
      <c r="AJ1173" s="95"/>
      <c r="AK1173" s="95"/>
      <c r="AL1173" s="95"/>
      <c r="AM1173" s="95"/>
      <c r="AN1173" s="132"/>
      <c r="AO1173" s="132"/>
      <c r="AP1173" s="95"/>
      <c r="AQ1173" s="132"/>
      <c r="AR1173" s="132"/>
    </row>
    <row r="1174" spans="25:44" s="82" customFormat="1" x14ac:dyDescent="0.2">
      <c r="Y1174" s="132"/>
      <c r="Z1174" s="132"/>
      <c r="AA1174" s="132"/>
      <c r="AB1174" s="95"/>
      <c r="AC1174" s="126"/>
      <c r="AD1174" s="340"/>
      <c r="AE1174" s="132"/>
      <c r="AF1174" s="132"/>
      <c r="AG1174" s="132"/>
      <c r="AH1174" s="132"/>
      <c r="AI1174" s="132"/>
      <c r="AJ1174" s="95"/>
      <c r="AK1174" s="95"/>
      <c r="AL1174" s="95"/>
      <c r="AM1174" s="95"/>
      <c r="AN1174" s="132"/>
      <c r="AO1174" s="132"/>
      <c r="AP1174" s="95"/>
      <c r="AQ1174" s="132"/>
      <c r="AR1174" s="132"/>
    </row>
    <row r="1175" spans="25:44" s="82" customFormat="1" x14ac:dyDescent="0.2">
      <c r="Y1175" s="132"/>
      <c r="Z1175" s="132"/>
      <c r="AA1175" s="132"/>
      <c r="AB1175" s="95"/>
      <c r="AC1175" s="126"/>
      <c r="AD1175" s="340"/>
      <c r="AE1175" s="132"/>
      <c r="AF1175" s="132"/>
      <c r="AG1175" s="132"/>
      <c r="AH1175" s="132"/>
      <c r="AI1175" s="132"/>
      <c r="AJ1175" s="95"/>
      <c r="AK1175" s="95"/>
      <c r="AL1175" s="95"/>
      <c r="AM1175" s="95"/>
      <c r="AN1175" s="132"/>
      <c r="AO1175" s="132"/>
      <c r="AP1175" s="95"/>
      <c r="AQ1175" s="132"/>
      <c r="AR1175" s="132"/>
    </row>
    <row r="1176" spans="25:44" s="82" customFormat="1" x14ac:dyDescent="0.2">
      <c r="Y1176" s="132"/>
      <c r="Z1176" s="132"/>
      <c r="AA1176" s="132"/>
      <c r="AB1176" s="95"/>
      <c r="AC1176" s="126"/>
      <c r="AD1176" s="340"/>
      <c r="AE1176" s="132"/>
      <c r="AF1176" s="132"/>
      <c r="AG1176" s="132"/>
      <c r="AH1176" s="132"/>
      <c r="AI1176" s="132"/>
      <c r="AJ1176" s="95"/>
      <c r="AK1176" s="95"/>
      <c r="AL1176" s="95"/>
      <c r="AM1176" s="95"/>
      <c r="AN1176" s="132"/>
      <c r="AO1176" s="132"/>
      <c r="AP1176" s="95"/>
      <c r="AQ1176" s="132"/>
      <c r="AR1176" s="132"/>
    </row>
    <row r="1177" spans="25:44" s="82" customFormat="1" x14ac:dyDescent="0.2">
      <c r="Y1177" s="132"/>
      <c r="Z1177" s="132"/>
      <c r="AA1177" s="132"/>
      <c r="AB1177" s="95"/>
      <c r="AC1177" s="126"/>
      <c r="AD1177" s="340"/>
      <c r="AE1177" s="132"/>
      <c r="AF1177" s="132"/>
      <c r="AG1177" s="132"/>
      <c r="AH1177" s="132"/>
      <c r="AI1177" s="132"/>
      <c r="AJ1177" s="95"/>
      <c r="AK1177" s="95"/>
      <c r="AL1177" s="95"/>
      <c r="AM1177" s="95"/>
      <c r="AN1177" s="132"/>
      <c r="AO1177" s="132"/>
      <c r="AP1177" s="95"/>
      <c r="AQ1177" s="132"/>
      <c r="AR1177" s="132"/>
    </row>
    <row r="1178" spans="25:44" s="82" customFormat="1" x14ac:dyDescent="0.2">
      <c r="Y1178" s="132"/>
      <c r="Z1178" s="132"/>
      <c r="AA1178" s="132"/>
      <c r="AB1178" s="95"/>
      <c r="AC1178" s="126"/>
      <c r="AD1178" s="340"/>
      <c r="AE1178" s="132"/>
      <c r="AF1178" s="132"/>
      <c r="AG1178" s="132"/>
      <c r="AH1178" s="132"/>
      <c r="AI1178" s="132"/>
      <c r="AJ1178" s="95"/>
      <c r="AK1178" s="95"/>
      <c r="AL1178" s="95"/>
      <c r="AM1178" s="95"/>
      <c r="AN1178" s="132"/>
      <c r="AO1178" s="132"/>
      <c r="AP1178" s="95"/>
      <c r="AQ1178" s="132"/>
      <c r="AR1178" s="132"/>
    </row>
    <row r="1179" spans="25:44" s="82" customFormat="1" x14ac:dyDescent="0.2">
      <c r="Y1179" s="132"/>
      <c r="Z1179" s="132"/>
      <c r="AA1179" s="132"/>
      <c r="AB1179" s="95"/>
      <c r="AC1179" s="126"/>
      <c r="AD1179" s="340"/>
      <c r="AE1179" s="132"/>
      <c r="AF1179" s="132"/>
      <c r="AG1179" s="132"/>
      <c r="AH1179" s="132"/>
      <c r="AI1179" s="132"/>
      <c r="AJ1179" s="95"/>
      <c r="AK1179" s="95"/>
      <c r="AL1179" s="95"/>
      <c r="AM1179" s="95"/>
      <c r="AN1179" s="132"/>
      <c r="AO1179" s="132"/>
      <c r="AP1179" s="95"/>
      <c r="AQ1179" s="132"/>
      <c r="AR1179" s="132"/>
    </row>
    <row r="1180" spans="25:44" s="82" customFormat="1" x14ac:dyDescent="0.2">
      <c r="Y1180" s="132"/>
      <c r="Z1180" s="132"/>
      <c r="AA1180" s="132"/>
      <c r="AB1180" s="95"/>
      <c r="AC1180" s="126"/>
      <c r="AD1180" s="340"/>
      <c r="AE1180" s="132"/>
      <c r="AF1180" s="132"/>
      <c r="AG1180" s="132"/>
      <c r="AH1180" s="132"/>
      <c r="AI1180" s="132"/>
      <c r="AJ1180" s="95"/>
      <c r="AK1180" s="95"/>
      <c r="AL1180" s="95"/>
      <c r="AM1180" s="95"/>
      <c r="AN1180" s="132"/>
      <c r="AO1180" s="132"/>
      <c r="AP1180" s="95"/>
      <c r="AQ1180" s="132"/>
      <c r="AR1180" s="132"/>
    </row>
    <row r="1181" spans="25:44" s="82" customFormat="1" x14ac:dyDescent="0.2">
      <c r="Y1181" s="132"/>
      <c r="Z1181" s="132"/>
      <c r="AA1181" s="132"/>
      <c r="AB1181" s="95"/>
      <c r="AC1181" s="126"/>
      <c r="AD1181" s="340"/>
      <c r="AE1181" s="132"/>
      <c r="AF1181" s="132"/>
      <c r="AG1181" s="132"/>
      <c r="AH1181" s="132"/>
      <c r="AI1181" s="132"/>
      <c r="AJ1181" s="95"/>
      <c r="AK1181" s="95"/>
      <c r="AL1181" s="95"/>
      <c r="AM1181" s="95"/>
      <c r="AN1181" s="132"/>
      <c r="AO1181" s="132"/>
      <c r="AP1181" s="95"/>
      <c r="AQ1181" s="132"/>
      <c r="AR1181" s="132"/>
    </row>
    <row r="1182" spans="25:44" s="82" customFormat="1" x14ac:dyDescent="0.2">
      <c r="Y1182" s="132"/>
      <c r="Z1182" s="132"/>
      <c r="AA1182" s="132"/>
      <c r="AB1182" s="95"/>
      <c r="AC1182" s="126"/>
      <c r="AD1182" s="340"/>
      <c r="AE1182" s="132"/>
      <c r="AF1182" s="132"/>
      <c r="AG1182" s="132"/>
      <c r="AH1182" s="132"/>
      <c r="AI1182" s="132"/>
      <c r="AJ1182" s="95"/>
      <c r="AK1182" s="95"/>
      <c r="AL1182" s="95"/>
      <c r="AM1182" s="95"/>
      <c r="AN1182" s="132"/>
      <c r="AO1182" s="132"/>
      <c r="AP1182" s="95"/>
      <c r="AQ1182" s="132"/>
      <c r="AR1182" s="132"/>
    </row>
    <row r="1183" spans="25:44" s="82" customFormat="1" x14ac:dyDescent="0.2">
      <c r="Y1183" s="132"/>
      <c r="Z1183" s="132"/>
      <c r="AA1183" s="132"/>
      <c r="AB1183" s="95"/>
      <c r="AC1183" s="126"/>
      <c r="AD1183" s="340"/>
      <c r="AE1183" s="132"/>
      <c r="AF1183" s="132"/>
      <c r="AG1183" s="132"/>
      <c r="AH1183" s="132"/>
      <c r="AI1183" s="132"/>
      <c r="AJ1183" s="95"/>
      <c r="AK1183" s="95"/>
      <c r="AL1183" s="95"/>
      <c r="AM1183" s="95"/>
      <c r="AN1183" s="132"/>
      <c r="AO1183" s="132"/>
      <c r="AP1183" s="95"/>
      <c r="AQ1183" s="132"/>
      <c r="AR1183" s="132"/>
    </row>
    <row r="1184" spans="25:44" s="82" customFormat="1" x14ac:dyDescent="0.2">
      <c r="Y1184" s="132"/>
      <c r="Z1184" s="132"/>
      <c r="AA1184" s="132"/>
      <c r="AB1184" s="95"/>
      <c r="AC1184" s="126"/>
      <c r="AD1184" s="340"/>
      <c r="AE1184" s="132"/>
      <c r="AF1184" s="132"/>
      <c r="AG1184" s="132"/>
      <c r="AH1184" s="132"/>
      <c r="AI1184" s="132"/>
      <c r="AJ1184" s="95"/>
      <c r="AK1184" s="95"/>
      <c r="AL1184" s="95"/>
      <c r="AM1184" s="95"/>
      <c r="AN1184" s="132"/>
      <c r="AO1184" s="132"/>
      <c r="AP1184" s="95"/>
      <c r="AQ1184" s="132"/>
      <c r="AR1184" s="132"/>
    </row>
    <row r="1185" spans="25:44" s="82" customFormat="1" x14ac:dyDescent="0.2">
      <c r="Y1185" s="132"/>
      <c r="Z1185" s="132"/>
      <c r="AA1185" s="132"/>
      <c r="AB1185" s="95"/>
      <c r="AC1185" s="126"/>
      <c r="AD1185" s="340"/>
      <c r="AE1185" s="132"/>
      <c r="AF1185" s="132"/>
      <c r="AG1185" s="132"/>
      <c r="AH1185" s="132"/>
      <c r="AI1185" s="132"/>
      <c r="AJ1185" s="95"/>
      <c r="AK1185" s="95"/>
      <c r="AL1185" s="95"/>
      <c r="AM1185" s="95"/>
      <c r="AN1185" s="132"/>
      <c r="AO1185" s="132"/>
      <c r="AP1185" s="95"/>
      <c r="AQ1185" s="132"/>
      <c r="AR1185" s="132"/>
    </row>
    <row r="1186" spans="25:44" s="82" customFormat="1" x14ac:dyDescent="0.2">
      <c r="Y1186" s="132"/>
      <c r="Z1186" s="132"/>
      <c r="AA1186" s="132"/>
      <c r="AB1186" s="95"/>
      <c r="AC1186" s="126"/>
      <c r="AD1186" s="340"/>
      <c r="AE1186" s="132"/>
      <c r="AF1186" s="132"/>
      <c r="AG1186" s="132"/>
      <c r="AH1186" s="132"/>
      <c r="AI1186" s="132"/>
      <c r="AJ1186" s="95"/>
      <c r="AK1186" s="95"/>
      <c r="AL1186" s="95"/>
      <c r="AM1186" s="95"/>
      <c r="AN1186" s="132"/>
      <c r="AO1186" s="132"/>
      <c r="AP1186" s="95"/>
      <c r="AQ1186" s="132"/>
      <c r="AR1186" s="132"/>
    </row>
    <row r="1187" spans="25:44" s="82" customFormat="1" x14ac:dyDescent="0.2">
      <c r="Y1187" s="132"/>
      <c r="Z1187" s="132"/>
      <c r="AA1187" s="132"/>
      <c r="AB1187" s="95"/>
      <c r="AC1187" s="126"/>
      <c r="AD1187" s="340"/>
      <c r="AE1187" s="132"/>
      <c r="AF1187" s="132"/>
      <c r="AG1187" s="132"/>
      <c r="AH1187" s="132"/>
      <c r="AI1187" s="132"/>
      <c r="AJ1187" s="95"/>
      <c r="AK1187" s="95"/>
      <c r="AL1187" s="95"/>
      <c r="AM1187" s="95"/>
      <c r="AN1187" s="132"/>
      <c r="AO1187" s="132"/>
      <c r="AP1187" s="95"/>
      <c r="AQ1187" s="132"/>
      <c r="AR1187" s="132"/>
    </row>
    <row r="1188" spans="25:44" s="82" customFormat="1" x14ac:dyDescent="0.2">
      <c r="Y1188" s="132"/>
      <c r="Z1188" s="132"/>
      <c r="AA1188" s="132"/>
      <c r="AB1188" s="95"/>
      <c r="AC1188" s="126"/>
      <c r="AD1188" s="340"/>
      <c r="AE1188" s="132"/>
      <c r="AF1188" s="132"/>
      <c r="AG1188" s="132"/>
      <c r="AH1188" s="132"/>
      <c r="AI1188" s="132"/>
      <c r="AJ1188" s="95"/>
      <c r="AK1188" s="95"/>
      <c r="AL1188" s="95"/>
      <c r="AM1188" s="95"/>
      <c r="AN1188" s="132"/>
      <c r="AO1188" s="132"/>
      <c r="AP1188" s="95"/>
      <c r="AQ1188" s="132"/>
      <c r="AR1188" s="132"/>
    </row>
    <row r="1189" spans="25:44" s="82" customFormat="1" x14ac:dyDescent="0.2">
      <c r="Y1189" s="132"/>
      <c r="Z1189" s="132"/>
      <c r="AA1189" s="132"/>
      <c r="AB1189" s="95"/>
      <c r="AC1189" s="126"/>
      <c r="AD1189" s="340"/>
      <c r="AE1189" s="132"/>
      <c r="AF1189" s="132"/>
      <c r="AG1189" s="132"/>
      <c r="AH1189" s="132"/>
      <c r="AI1189" s="132"/>
      <c r="AJ1189" s="95"/>
      <c r="AK1189" s="95"/>
      <c r="AL1189" s="95"/>
      <c r="AM1189" s="95"/>
      <c r="AN1189" s="132"/>
      <c r="AO1189" s="132"/>
      <c r="AP1189" s="95"/>
      <c r="AQ1189" s="132"/>
      <c r="AR1189" s="132"/>
    </row>
    <row r="1190" spans="25:44" s="82" customFormat="1" x14ac:dyDescent="0.2">
      <c r="Y1190" s="132"/>
      <c r="Z1190" s="132"/>
      <c r="AA1190" s="132"/>
      <c r="AB1190" s="95"/>
      <c r="AC1190" s="126"/>
      <c r="AD1190" s="340"/>
      <c r="AE1190" s="132"/>
      <c r="AF1190" s="132"/>
      <c r="AG1190" s="132"/>
      <c r="AH1190" s="132"/>
      <c r="AI1190" s="132"/>
      <c r="AJ1190" s="95"/>
      <c r="AK1190" s="95"/>
      <c r="AL1190" s="95"/>
      <c r="AM1190" s="95"/>
      <c r="AN1190" s="132"/>
      <c r="AO1190" s="132"/>
      <c r="AP1190" s="95"/>
      <c r="AQ1190" s="132"/>
      <c r="AR1190" s="132"/>
    </row>
    <row r="1191" spans="25:44" s="82" customFormat="1" x14ac:dyDescent="0.2">
      <c r="Y1191" s="132"/>
      <c r="Z1191" s="132"/>
      <c r="AA1191" s="132"/>
      <c r="AB1191" s="95"/>
      <c r="AC1191" s="126"/>
      <c r="AD1191" s="340"/>
      <c r="AE1191" s="132"/>
      <c r="AF1191" s="132"/>
      <c r="AG1191" s="132"/>
      <c r="AH1191" s="132"/>
      <c r="AI1191" s="132"/>
      <c r="AJ1191" s="95"/>
      <c r="AK1191" s="95"/>
      <c r="AL1191" s="95"/>
      <c r="AM1191" s="95"/>
      <c r="AN1191" s="132"/>
      <c r="AO1191" s="132"/>
      <c r="AP1191" s="95"/>
      <c r="AQ1191" s="132"/>
      <c r="AR1191" s="132"/>
    </row>
    <row r="1192" spans="25:44" s="82" customFormat="1" x14ac:dyDescent="0.2">
      <c r="Y1192" s="132"/>
      <c r="Z1192" s="132"/>
      <c r="AA1192" s="132"/>
      <c r="AB1192" s="95"/>
      <c r="AC1192" s="126"/>
      <c r="AD1192" s="340"/>
      <c r="AE1192" s="132"/>
      <c r="AF1192" s="132"/>
      <c r="AG1192" s="132"/>
      <c r="AH1192" s="132"/>
      <c r="AI1192" s="132"/>
      <c r="AJ1192" s="95"/>
      <c r="AK1192" s="95"/>
      <c r="AL1192" s="95"/>
      <c r="AM1192" s="95"/>
      <c r="AN1192" s="132"/>
      <c r="AO1192" s="132"/>
      <c r="AP1192" s="95"/>
      <c r="AQ1192" s="132"/>
      <c r="AR1192" s="132"/>
    </row>
    <row r="1193" spans="25:44" s="82" customFormat="1" x14ac:dyDescent="0.2">
      <c r="Y1193" s="132"/>
      <c r="Z1193" s="132"/>
      <c r="AA1193" s="132"/>
      <c r="AB1193" s="95"/>
      <c r="AC1193" s="126"/>
      <c r="AD1193" s="340"/>
      <c r="AE1193" s="132"/>
      <c r="AF1193" s="132"/>
      <c r="AG1193" s="132"/>
      <c r="AH1193" s="132"/>
      <c r="AI1193" s="132"/>
      <c r="AJ1193" s="95"/>
      <c r="AK1193" s="95"/>
      <c r="AL1193" s="95"/>
      <c r="AM1193" s="95"/>
      <c r="AN1193" s="132"/>
      <c r="AO1193" s="132"/>
      <c r="AP1193" s="95"/>
      <c r="AQ1193" s="132"/>
      <c r="AR1193" s="132"/>
    </row>
    <row r="1194" spans="25:44" s="82" customFormat="1" x14ac:dyDescent="0.2">
      <c r="Y1194" s="132"/>
      <c r="Z1194" s="132"/>
      <c r="AA1194" s="132"/>
      <c r="AB1194" s="95"/>
      <c r="AC1194" s="126"/>
      <c r="AD1194" s="340"/>
      <c r="AE1194" s="132"/>
      <c r="AF1194" s="132"/>
      <c r="AG1194" s="132"/>
      <c r="AH1194" s="132"/>
      <c r="AI1194" s="132"/>
      <c r="AJ1194" s="95"/>
      <c r="AK1194" s="95"/>
      <c r="AL1194" s="95"/>
      <c r="AM1194" s="95"/>
      <c r="AN1194" s="132"/>
      <c r="AO1194" s="132"/>
      <c r="AP1194" s="95"/>
      <c r="AQ1194" s="132"/>
      <c r="AR1194" s="132"/>
    </row>
    <row r="1195" spans="25:44" s="82" customFormat="1" x14ac:dyDescent="0.2">
      <c r="Y1195" s="132"/>
      <c r="Z1195" s="132"/>
      <c r="AA1195" s="132"/>
      <c r="AB1195" s="95"/>
      <c r="AC1195" s="126"/>
      <c r="AD1195" s="340"/>
      <c r="AE1195" s="132"/>
      <c r="AF1195" s="132"/>
      <c r="AG1195" s="132"/>
      <c r="AH1195" s="132"/>
      <c r="AI1195" s="132"/>
      <c r="AJ1195" s="95"/>
      <c r="AK1195" s="95"/>
      <c r="AL1195" s="95"/>
      <c r="AM1195" s="95"/>
      <c r="AN1195" s="132"/>
      <c r="AO1195" s="132"/>
      <c r="AP1195" s="95"/>
      <c r="AQ1195" s="132"/>
      <c r="AR1195" s="132"/>
    </row>
    <row r="1196" spans="25:44" s="82" customFormat="1" x14ac:dyDescent="0.2">
      <c r="Y1196" s="132"/>
      <c r="Z1196" s="132"/>
      <c r="AA1196" s="132"/>
      <c r="AB1196" s="95"/>
      <c r="AC1196" s="126"/>
      <c r="AD1196" s="340"/>
      <c r="AE1196" s="132"/>
      <c r="AF1196" s="132"/>
      <c r="AG1196" s="132"/>
      <c r="AH1196" s="132"/>
      <c r="AI1196" s="132"/>
      <c r="AJ1196" s="95"/>
      <c r="AK1196" s="95"/>
      <c r="AL1196" s="95"/>
      <c r="AM1196" s="95"/>
      <c r="AN1196" s="132"/>
      <c r="AO1196" s="132"/>
      <c r="AP1196" s="95"/>
      <c r="AQ1196" s="132"/>
      <c r="AR1196" s="132"/>
    </row>
    <row r="1197" spans="25:44" s="82" customFormat="1" x14ac:dyDescent="0.2">
      <c r="Y1197" s="132"/>
      <c r="Z1197" s="132"/>
      <c r="AA1197" s="132"/>
      <c r="AB1197" s="95"/>
      <c r="AC1197" s="126"/>
      <c r="AD1197" s="340"/>
      <c r="AE1197" s="132"/>
      <c r="AF1197" s="132"/>
      <c r="AG1197" s="132"/>
      <c r="AH1197" s="132"/>
      <c r="AI1197" s="132"/>
      <c r="AJ1197" s="95"/>
      <c r="AK1197" s="95"/>
      <c r="AL1197" s="95"/>
      <c r="AM1197" s="95"/>
      <c r="AN1197" s="132"/>
      <c r="AO1197" s="132"/>
      <c r="AP1197" s="95"/>
      <c r="AQ1197" s="132"/>
      <c r="AR1197" s="132"/>
    </row>
    <row r="1198" spans="25:44" s="82" customFormat="1" x14ac:dyDescent="0.2">
      <c r="Y1198" s="132"/>
      <c r="Z1198" s="132"/>
      <c r="AA1198" s="132"/>
      <c r="AB1198" s="95"/>
      <c r="AC1198" s="126"/>
      <c r="AD1198" s="340"/>
      <c r="AE1198" s="132"/>
      <c r="AF1198" s="132"/>
      <c r="AG1198" s="132"/>
      <c r="AH1198" s="132"/>
      <c r="AI1198" s="132"/>
      <c r="AJ1198" s="95"/>
      <c r="AK1198" s="95"/>
      <c r="AL1198" s="95"/>
      <c r="AM1198" s="95"/>
      <c r="AN1198" s="132"/>
      <c r="AO1198" s="132"/>
      <c r="AP1198" s="95"/>
      <c r="AQ1198" s="132"/>
      <c r="AR1198" s="132"/>
    </row>
    <row r="1199" spans="25:44" s="82" customFormat="1" x14ac:dyDescent="0.2">
      <c r="Y1199" s="132"/>
      <c r="Z1199" s="132"/>
      <c r="AA1199" s="132"/>
      <c r="AB1199" s="95"/>
      <c r="AC1199" s="126"/>
      <c r="AD1199" s="340"/>
      <c r="AE1199" s="132"/>
      <c r="AF1199" s="132"/>
      <c r="AG1199" s="132"/>
      <c r="AH1199" s="132"/>
      <c r="AI1199" s="132"/>
      <c r="AJ1199" s="95"/>
      <c r="AK1199" s="95"/>
      <c r="AL1199" s="95"/>
      <c r="AM1199" s="95"/>
      <c r="AN1199" s="132"/>
      <c r="AO1199" s="132"/>
      <c r="AP1199" s="95"/>
      <c r="AQ1199" s="132"/>
      <c r="AR1199" s="132"/>
    </row>
    <row r="1200" spans="25:44" s="82" customFormat="1" x14ac:dyDescent="0.2">
      <c r="Y1200" s="132"/>
      <c r="Z1200" s="132"/>
      <c r="AA1200" s="132"/>
      <c r="AB1200" s="95"/>
      <c r="AC1200" s="126"/>
      <c r="AD1200" s="340"/>
      <c r="AE1200" s="132"/>
      <c r="AF1200" s="132"/>
      <c r="AG1200" s="132"/>
      <c r="AH1200" s="132"/>
      <c r="AI1200" s="132"/>
      <c r="AJ1200" s="95"/>
      <c r="AK1200" s="95"/>
      <c r="AL1200" s="95"/>
      <c r="AM1200" s="95"/>
      <c r="AN1200" s="132"/>
      <c r="AO1200" s="132"/>
      <c r="AP1200" s="95"/>
      <c r="AQ1200" s="132"/>
      <c r="AR1200" s="132"/>
    </row>
    <row r="1201" spans="25:44" s="82" customFormat="1" x14ac:dyDescent="0.2">
      <c r="Y1201" s="132"/>
      <c r="Z1201" s="132"/>
      <c r="AA1201" s="132"/>
      <c r="AB1201" s="95"/>
      <c r="AC1201" s="126"/>
      <c r="AD1201" s="340"/>
      <c r="AE1201" s="132"/>
      <c r="AF1201" s="132"/>
      <c r="AG1201" s="132"/>
      <c r="AH1201" s="132"/>
      <c r="AI1201" s="132"/>
      <c r="AJ1201" s="95"/>
      <c r="AK1201" s="95"/>
      <c r="AL1201" s="95"/>
      <c r="AM1201" s="95"/>
      <c r="AN1201" s="132"/>
      <c r="AO1201" s="132"/>
      <c r="AP1201" s="95"/>
      <c r="AQ1201" s="132"/>
      <c r="AR1201" s="132"/>
    </row>
    <row r="1202" spans="25:44" s="82" customFormat="1" x14ac:dyDescent="0.2">
      <c r="Y1202" s="132"/>
      <c r="Z1202" s="132"/>
      <c r="AA1202" s="132"/>
      <c r="AB1202" s="95"/>
      <c r="AC1202" s="126"/>
      <c r="AD1202" s="340"/>
      <c r="AE1202" s="132"/>
      <c r="AF1202" s="132"/>
      <c r="AG1202" s="132"/>
      <c r="AH1202" s="132"/>
      <c r="AI1202" s="132"/>
      <c r="AJ1202" s="95"/>
      <c r="AK1202" s="95"/>
      <c r="AL1202" s="95"/>
      <c r="AM1202" s="95"/>
      <c r="AN1202" s="132"/>
      <c r="AO1202" s="132"/>
      <c r="AP1202" s="95"/>
      <c r="AQ1202" s="132"/>
      <c r="AR1202" s="132"/>
    </row>
    <row r="1203" spans="25:44" s="82" customFormat="1" x14ac:dyDescent="0.2">
      <c r="Y1203" s="132"/>
      <c r="Z1203" s="132"/>
      <c r="AA1203" s="132"/>
      <c r="AB1203" s="95"/>
      <c r="AC1203" s="126"/>
      <c r="AD1203" s="340"/>
      <c r="AE1203" s="132"/>
      <c r="AF1203" s="132"/>
      <c r="AG1203" s="132"/>
      <c r="AH1203" s="132"/>
      <c r="AI1203" s="132"/>
      <c r="AJ1203" s="95"/>
      <c r="AK1203" s="95"/>
      <c r="AL1203" s="95"/>
      <c r="AM1203" s="95"/>
      <c r="AN1203" s="132"/>
      <c r="AO1203" s="132"/>
      <c r="AP1203" s="95"/>
      <c r="AQ1203" s="132"/>
      <c r="AR1203" s="132"/>
    </row>
    <row r="1204" spans="25:44" s="82" customFormat="1" x14ac:dyDescent="0.2">
      <c r="Y1204" s="132"/>
      <c r="Z1204" s="132"/>
      <c r="AA1204" s="132"/>
      <c r="AB1204" s="95"/>
      <c r="AC1204" s="126"/>
      <c r="AD1204" s="340"/>
      <c r="AE1204" s="132"/>
      <c r="AF1204" s="132"/>
      <c r="AG1204" s="132"/>
      <c r="AH1204" s="132"/>
      <c r="AI1204" s="132"/>
      <c r="AJ1204" s="95"/>
      <c r="AK1204" s="95"/>
      <c r="AL1204" s="95"/>
      <c r="AM1204" s="95"/>
      <c r="AN1204" s="132"/>
      <c r="AO1204" s="132"/>
      <c r="AP1204" s="95"/>
      <c r="AQ1204" s="132"/>
      <c r="AR1204" s="132"/>
    </row>
    <row r="1205" spans="25:44" s="82" customFormat="1" x14ac:dyDescent="0.2">
      <c r="Y1205" s="132"/>
      <c r="Z1205" s="132"/>
      <c r="AA1205" s="132"/>
      <c r="AB1205" s="95"/>
      <c r="AC1205" s="126"/>
      <c r="AD1205" s="340"/>
      <c r="AE1205" s="132"/>
      <c r="AF1205" s="132"/>
      <c r="AG1205" s="132"/>
      <c r="AH1205" s="132"/>
      <c r="AI1205" s="132"/>
      <c r="AJ1205" s="95"/>
      <c r="AK1205" s="95"/>
      <c r="AL1205" s="95"/>
      <c r="AM1205" s="95"/>
      <c r="AN1205" s="132"/>
      <c r="AO1205" s="132"/>
      <c r="AP1205" s="95"/>
      <c r="AQ1205" s="132"/>
      <c r="AR1205" s="132"/>
    </row>
    <row r="1206" spans="25:44" s="82" customFormat="1" x14ac:dyDescent="0.2">
      <c r="Y1206" s="132"/>
      <c r="Z1206" s="132"/>
      <c r="AA1206" s="132"/>
      <c r="AB1206" s="95"/>
      <c r="AC1206" s="126"/>
      <c r="AD1206" s="340"/>
      <c r="AE1206" s="132"/>
      <c r="AF1206" s="132"/>
      <c r="AG1206" s="132"/>
      <c r="AH1206" s="132"/>
      <c r="AI1206" s="132"/>
      <c r="AJ1206" s="95"/>
      <c r="AK1206" s="95"/>
      <c r="AL1206" s="95"/>
      <c r="AM1206" s="95"/>
      <c r="AN1206" s="132"/>
      <c r="AO1206" s="132"/>
      <c r="AP1206" s="95"/>
      <c r="AQ1206" s="132"/>
      <c r="AR1206" s="132"/>
    </row>
    <row r="1207" spans="25:44" s="82" customFormat="1" x14ac:dyDescent="0.2">
      <c r="Y1207" s="132"/>
      <c r="Z1207" s="132"/>
      <c r="AA1207" s="132"/>
      <c r="AB1207" s="95"/>
      <c r="AC1207" s="126"/>
      <c r="AD1207" s="340"/>
      <c r="AE1207" s="132"/>
      <c r="AF1207" s="132"/>
      <c r="AG1207" s="132"/>
      <c r="AH1207" s="132"/>
      <c r="AI1207" s="132"/>
      <c r="AJ1207" s="95"/>
      <c r="AK1207" s="95"/>
      <c r="AL1207" s="95"/>
      <c r="AM1207" s="95"/>
      <c r="AN1207" s="132"/>
      <c r="AO1207" s="132"/>
      <c r="AP1207" s="95"/>
      <c r="AQ1207" s="132"/>
      <c r="AR1207" s="132"/>
    </row>
    <row r="1208" spans="25:44" s="82" customFormat="1" x14ac:dyDescent="0.2">
      <c r="Y1208" s="132"/>
      <c r="Z1208" s="132"/>
      <c r="AA1208" s="132"/>
      <c r="AB1208" s="95"/>
      <c r="AC1208" s="126"/>
      <c r="AD1208" s="340"/>
      <c r="AE1208" s="132"/>
      <c r="AF1208" s="132"/>
      <c r="AG1208" s="132"/>
      <c r="AH1208" s="132"/>
      <c r="AI1208" s="132"/>
      <c r="AJ1208" s="95"/>
      <c r="AK1208" s="95"/>
      <c r="AL1208" s="95"/>
      <c r="AM1208" s="95"/>
      <c r="AN1208" s="132"/>
      <c r="AO1208" s="132"/>
      <c r="AP1208" s="95"/>
      <c r="AQ1208" s="132"/>
      <c r="AR1208" s="132"/>
    </row>
    <row r="1209" spans="25:44" s="82" customFormat="1" x14ac:dyDescent="0.2">
      <c r="Y1209" s="132"/>
      <c r="Z1209" s="132"/>
      <c r="AA1209" s="132"/>
      <c r="AB1209" s="95"/>
      <c r="AC1209" s="126"/>
      <c r="AD1209" s="340"/>
      <c r="AE1209" s="132"/>
      <c r="AF1209" s="132"/>
      <c r="AG1209" s="132"/>
      <c r="AH1209" s="132"/>
      <c r="AI1209" s="132"/>
      <c r="AJ1209" s="95"/>
      <c r="AK1209" s="95"/>
      <c r="AL1209" s="95"/>
      <c r="AM1209" s="95"/>
      <c r="AN1209" s="132"/>
      <c r="AO1209" s="132"/>
      <c r="AP1209" s="95"/>
      <c r="AQ1209" s="132"/>
      <c r="AR1209" s="132"/>
    </row>
    <row r="1210" spans="25:44" s="82" customFormat="1" x14ac:dyDescent="0.2">
      <c r="Y1210" s="132"/>
      <c r="Z1210" s="132"/>
      <c r="AA1210" s="132"/>
      <c r="AB1210" s="95"/>
      <c r="AC1210" s="126"/>
      <c r="AD1210" s="340"/>
      <c r="AE1210" s="132"/>
      <c r="AF1210" s="132"/>
      <c r="AG1210" s="132"/>
      <c r="AH1210" s="132"/>
      <c r="AI1210" s="132"/>
      <c r="AJ1210" s="95"/>
      <c r="AK1210" s="95"/>
      <c r="AL1210" s="95"/>
      <c r="AM1210" s="95"/>
      <c r="AN1210" s="132"/>
      <c r="AO1210" s="132"/>
      <c r="AP1210" s="95"/>
      <c r="AQ1210" s="132"/>
      <c r="AR1210" s="132"/>
    </row>
    <row r="1211" spans="25:44" s="82" customFormat="1" x14ac:dyDescent="0.2">
      <c r="Y1211" s="132"/>
      <c r="Z1211" s="132"/>
      <c r="AA1211" s="132"/>
      <c r="AB1211" s="95"/>
      <c r="AC1211" s="126"/>
      <c r="AD1211" s="340"/>
      <c r="AE1211" s="132"/>
      <c r="AF1211" s="132"/>
      <c r="AG1211" s="132"/>
      <c r="AH1211" s="132"/>
      <c r="AI1211" s="132"/>
      <c r="AJ1211" s="95"/>
      <c r="AK1211" s="95"/>
      <c r="AL1211" s="95"/>
      <c r="AM1211" s="95"/>
      <c r="AN1211" s="132"/>
      <c r="AO1211" s="132"/>
      <c r="AP1211" s="95"/>
      <c r="AQ1211" s="132"/>
      <c r="AR1211" s="132"/>
    </row>
    <row r="1212" spans="25:44" s="82" customFormat="1" x14ac:dyDescent="0.2">
      <c r="Y1212" s="132"/>
      <c r="Z1212" s="132"/>
      <c r="AA1212" s="132"/>
      <c r="AB1212" s="95"/>
      <c r="AC1212" s="126"/>
      <c r="AD1212" s="340"/>
      <c r="AE1212" s="132"/>
      <c r="AF1212" s="132"/>
      <c r="AG1212" s="132"/>
      <c r="AH1212" s="132"/>
      <c r="AI1212" s="132"/>
      <c r="AJ1212" s="95"/>
      <c r="AK1212" s="95"/>
      <c r="AL1212" s="95"/>
      <c r="AM1212" s="95"/>
      <c r="AN1212" s="132"/>
      <c r="AO1212" s="132"/>
      <c r="AP1212" s="95"/>
      <c r="AQ1212" s="132"/>
      <c r="AR1212" s="132"/>
    </row>
    <row r="1213" spans="25:44" s="82" customFormat="1" x14ac:dyDescent="0.2">
      <c r="Y1213" s="132"/>
      <c r="Z1213" s="132"/>
      <c r="AA1213" s="132"/>
      <c r="AB1213" s="95"/>
      <c r="AC1213" s="126"/>
      <c r="AD1213" s="340"/>
      <c r="AE1213" s="132"/>
      <c r="AF1213" s="132"/>
      <c r="AG1213" s="132"/>
      <c r="AH1213" s="132"/>
      <c r="AI1213" s="132"/>
      <c r="AJ1213" s="95"/>
      <c r="AK1213" s="95"/>
      <c r="AL1213" s="95"/>
      <c r="AM1213" s="95"/>
      <c r="AN1213" s="132"/>
      <c r="AO1213" s="132"/>
      <c r="AP1213" s="95"/>
      <c r="AQ1213" s="132"/>
      <c r="AR1213" s="132"/>
    </row>
    <row r="1214" spans="25:44" s="82" customFormat="1" x14ac:dyDescent="0.2">
      <c r="Y1214" s="132"/>
      <c r="Z1214" s="132"/>
      <c r="AA1214" s="132"/>
      <c r="AB1214" s="95"/>
      <c r="AC1214" s="126"/>
      <c r="AD1214" s="340"/>
      <c r="AE1214" s="132"/>
      <c r="AF1214" s="132"/>
      <c r="AG1214" s="132"/>
      <c r="AH1214" s="132"/>
      <c r="AI1214" s="132"/>
      <c r="AJ1214" s="95"/>
      <c r="AK1214" s="95"/>
      <c r="AL1214" s="95"/>
      <c r="AM1214" s="95"/>
      <c r="AN1214" s="132"/>
      <c r="AO1214" s="132"/>
      <c r="AP1214" s="95"/>
      <c r="AQ1214" s="132"/>
      <c r="AR1214" s="132"/>
    </row>
    <row r="1215" spans="25:44" s="82" customFormat="1" x14ac:dyDescent="0.2">
      <c r="Y1215" s="132"/>
      <c r="Z1215" s="132"/>
      <c r="AA1215" s="132"/>
      <c r="AB1215" s="95"/>
      <c r="AC1215" s="126"/>
      <c r="AD1215" s="340"/>
      <c r="AE1215" s="132"/>
      <c r="AF1215" s="132"/>
      <c r="AG1215" s="132"/>
      <c r="AH1215" s="132"/>
      <c r="AI1215" s="132"/>
      <c r="AJ1215" s="95"/>
      <c r="AK1215" s="95"/>
      <c r="AL1215" s="95"/>
      <c r="AM1215" s="95"/>
      <c r="AN1215" s="132"/>
      <c r="AO1215" s="132"/>
      <c r="AP1215" s="95"/>
      <c r="AQ1215" s="132"/>
      <c r="AR1215" s="132"/>
    </row>
    <row r="1216" spans="25:44" s="82" customFormat="1" x14ac:dyDescent="0.2">
      <c r="Y1216" s="132"/>
      <c r="Z1216" s="132"/>
      <c r="AA1216" s="132"/>
      <c r="AB1216" s="95"/>
      <c r="AC1216" s="126"/>
      <c r="AD1216" s="340"/>
      <c r="AE1216" s="132"/>
      <c r="AF1216" s="132"/>
      <c r="AG1216" s="132"/>
      <c r="AH1216" s="132"/>
      <c r="AI1216" s="132"/>
      <c r="AJ1216" s="95"/>
      <c r="AK1216" s="95"/>
      <c r="AL1216" s="95"/>
      <c r="AM1216" s="95"/>
      <c r="AN1216" s="132"/>
      <c r="AO1216" s="132"/>
      <c r="AP1216" s="95"/>
      <c r="AQ1216" s="132"/>
      <c r="AR1216" s="132"/>
    </row>
    <row r="1217" spans="25:44" s="82" customFormat="1" x14ac:dyDescent="0.2">
      <c r="Y1217" s="132"/>
      <c r="Z1217" s="132"/>
      <c r="AA1217" s="132"/>
      <c r="AB1217" s="95"/>
      <c r="AC1217" s="126"/>
      <c r="AD1217" s="340"/>
      <c r="AE1217" s="132"/>
      <c r="AF1217" s="132"/>
      <c r="AG1217" s="132"/>
      <c r="AH1217" s="132"/>
      <c r="AI1217" s="132"/>
      <c r="AJ1217" s="95"/>
      <c r="AK1217" s="95"/>
      <c r="AL1217" s="95"/>
      <c r="AM1217" s="95"/>
      <c r="AN1217" s="132"/>
      <c r="AO1217" s="132"/>
      <c r="AP1217" s="95"/>
      <c r="AQ1217" s="132"/>
      <c r="AR1217" s="132"/>
    </row>
    <row r="1218" spans="25:44" s="82" customFormat="1" x14ac:dyDescent="0.2">
      <c r="Y1218" s="132"/>
      <c r="Z1218" s="132"/>
      <c r="AA1218" s="132"/>
      <c r="AB1218" s="95"/>
      <c r="AC1218" s="126"/>
      <c r="AD1218" s="340"/>
      <c r="AE1218" s="132"/>
      <c r="AF1218" s="132"/>
      <c r="AG1218" s="132"/>
      <c r="AH1218" s="132"/>
      <c r="AI1218" s="132"/>
      <c r="AJ1218" s="95"/>
      <c r="AK1218" s="95"/>
      <c r="AL1218" s="95"/>
      <c r="AM1218" s="95"/>
      <c r="AN1218" s="132"/>
      <c r="AO1218" s="132"/>
      <c r="AP1218" s="95"/>
      <c r="AQ1218" s="132"/>
      <c r="AR1218" s="132"/>
    </row>
    <row r="1219" spans="25:44" s="82" customFormat="1" x14ac:dyDescent="0.2">
      <c r="Y1219" s="132"/>
      <c r="Z1219" s="132"/>
      <c r="AA1219" s="132"/>
      <c r="AB1219" s="95"/>
      <c r="AC1219" s="126"/>
      <c r="AD1219" s="340"/>
      <c r="AE1219" s="132"/>
      <c r="AF1219" s="132"/>
      <c r="AG1219" s="132"/>
      <c r="AH1219" s="132"/>
      <c r="AI1219" s="132"/>
      <c r="AJ1219" s="95"/>
      <c r="AK1219" s="95"/>
      <c r="AL1219" s="95"/>
      <c r="AM1219" s="95"/>
      <c r="AN1219" s="132"/>
      <c r="AO1219" s="132"/>
      <c r="AP1219" s="95"/>
      <c r="AQ1219" s="132"/>
      <c r="AR1219" s="132"/>
    </row>
    <row r="1220" spans="25:44" s="82" customFormat="1" x14ac:dyDescent="0.2">
      <c r="Y1220" s="132"/>
      <c r="Z1220" s="132"/>
      <c r="AA1220" s="132"/>
      <c r="AB1220" s="95"/>
      <c r="AC1220" s="126"/>
      <c r="AD1220" s="340"/>
      <c r="AE1220" s="132"/>
      <c r="AF1220" s="132"/>
      <c r="AG1220" s="132"/>
      <c r="AH1220" s="132"/>
      <c r="AI1220" s="132"/>
      <c r="AJ1220" s="95"/>
      <c r="AK1220" s="95"/>
      <c r="AL1220" s="95"/>
      <c r="AM1220" s="95"/>
      <c r="AN1220" s="132"/>
      <c r="AO1220" s="132"/>
      <c r="AP1220" s="95"/>
      <c r="AQ1220" s="132"/>
      <c r="AR1220" s="132"/>
    </row>
    <row r="1221" spans="25:44" s="82" customFormat="1" x14ac:dyDescent="0.2">
      <c r="Y1221" s="132"/>
      <c r="Z1221" s="132"/>
      <c r="AA1221" s="132"/>
      <c r="AB1221" s="95"/>
      <c r="AC1221" s="126"/>
      <c r="AD1221" s="340"/>
      <c r="AE1221" s="132"/>
      <c r="AF1221" s="132"/>
      <c r="AG1221" s="132"/>
      <c r="AH1221" s="132"/>
      <c r="AI1221" s="132"/>
      <c r="AJ1221" s="95"/>
      <c r="AK1221" s="95"/>
      <c r="AL1221" s="95"/>
      <c r="AM1221" s="95"/>
      <c r="AN1221" s="132"/>
      <c r="AO1221" s="132"/>
      <c r="AP1221" s="95"/>
      <c r="AQ1221" s="132"/>
      <c r="AR1221" s="132"/>
    </row>
    <row r="1222" spans="25:44" s="82" customFormat="1" x14ac:dyDescent="0.2">
      <c r="Y1222" s="132"/>
      <c r="Z1222" s="132"/>
      <c r="AA1222" s="132"/>
      <c r="AB1222" s="95"/>
      <c r="AC1222" s="126"/>
      <c r="AD1222" s="340"/>
      <c r="AE1222" s="132"/>
      <c r="AF1222" s="132"/>
      <c r="AG1222" s="132"/>
      <c r="AH1222" s="132"/>
      <c r="AI1222" s="132"/>
      <c r="AJ1222" s="95"/>
      <c r="AK1222" s="95"/>
      <c r="AL1222" s="95"/>
      <c r="AM1222" s="95"/>
      <c r="AN1222" s="132"/>
      <c r="AO1222" s="132"/>
      <c r="AP1222" s="95"/>
      <c r="AQ1222" s="132"/>
      <c r="AR1222" s="132"/>
    </row>
    <row r="1223" spans="25:44" s="82" customFormat="1" x14ac:dyDescent="0.2">
      <c r="Y1223" s="132"/>
      <c r="Z1223" s="132"/>
      <c r="AA1223" s="132"/>
      <c r="AB1223" s="95"/>
      <c r="AC1223" s="126"/>
      <c r="AD1223" s="340"/>
      <c r="AE1223" s="132"/>
      <c r="AF1223" s="132"/>
      <c r="AG1223" s="132"/>
      <c r="AH1223" s="132"/>
      <c r="AI1223" s="132"/>
      <c r="AJ1223" s="95"/>
      <c r="AK1223" s="95"/>
      <c r="AL1223" s="95"/>
      <c r="AM1223" s="95"/>
      <c r="AN1223" s="132"/>
      <c r="AO1223" s="132"/>
      <c r="AP1223" s="95"/>
      <c r="AQ1223" s="132"/>
      <c r="AR1223" s="132"/>
    </row>
    <row r="1224" spans="25:44" s="82" customFormat="1" x14ac:dyDescent="0.2">
      <c r="Y1224" s="132"/>
      <c r="Z1224" s="132"/>
      <c r="AA1224" s="132"/>
      <c r="AB1224" s="95"/>
      <c r="AC1224" s="126"/>
      <c r="AD1224" s="340"/>
      <c r="AE1224" s="132"/>
      <c r="AF1224" s="132"/>
      <c r="AG1224" s="132"/>
      <c r="AH1224" s="132"/>
      <c r="AI1224" s="132"/>
      <c r="AJ1224" s="95"/>
      <c r="AK1224" s="95"/>
      <c r="AL1224" s="95"/>
      <c r="AM1224" s="95"/>
      <c r="AN1224" s="132"/>
      <c r="AO1224" s="132"/>
      <c r="AP1224" s="95"/>
      <c r="AQ1224" s="132"/>
      <c r="AR1224" s="132"/>
    </row>
    <row r="1225" spans="25:44" s="82" customFormat="1" x14ac:dyDescent="0.2">
      <c r="Y1225" s="132"/>
      <c r="Z1225" s="132"/>
      <c r="AA1225" s="132"/>
      <c r="AB1225" s="95"/>
      <c r="AC1225" s="126"/>
      <c r="AD1225" s="340"/>
      <c r="AE1225" s="132"/>
      <c r="AF1225" s="132"/>
      <c r="AG1225" s="132"/>
      <c r="AH1225" s="132"/>
      <c r="AI1225" s="132"/>
      <c r="AJ1225" s="95"/>
      <c r="AK1225" s="95"/>
      <c r="AL1225" s="95"/>
      <c r="AM1225" s="95"/>
      <c r="AN1225" s="132"/>
      <c r="AO1225" s="132"/>
      <c r="AP1225" s="95"/>
      <c r="AQ1225" s="132"/>
      <c r="AR1225" s="132"/>
    </row>
    <row r="1226" spans="25:44" s="82" customFormat="1" x14ac:dyDescent="0.2">
      <c r="Y1226" s="132"/>
      <c r="Z1226" s="132"/>
      <c r="AA1226" s="132"/>
      <c r="AB1226" s="95"/>
      <c r="AC1226" s="126"/>
      <c r="AD1226" s="340"/>
      <c r="AE1226" s="132"/>
      <c r="AF1226" s="132"/>
      <c r="AG1226" s="132"/>
      <c r="AH1226" s="132"/>
      <c r="AI1226" s="132"/>
      <c r="AJ1226" s="95"/>
      <c r="AK1226" s="95"/>
      <c r="AL1226" s="95"/>
      <c r="AM1226" s="95"/>
      <c r="AN1226" s="132"/>
      <c r="AO1226" s="132"/>
      <c r="AP1226" s="95"/>
      <c r="AQ1226" s="132"/>
      <c r="AR1226" s="132"/>
    </row>
    <row r="1227" spans="25:44" s="82" customFormat="1" x14ac:dyDescent="0.2">
      <c r="Y1227" s="132"/>
      <c r="Z1227" s="132"/>
      <c r="AA1227" s="132"/>
      <c r="AB1227" s="95"/>
      <c r="AC1227" s="126"/>
      <c r="AD1227" s="340"/>
      <c r="AE1227" s="132"/>
      <c r="AF1227" s="132"/>
      <c r="AG1227" s="132"/>
      <c r="AH1227" s="132"/>
      <c r="AI1227" s="132"/>
      <c r="AJ1227" s="95"/>
      <c r="AK1227" s="95"/>
      <c r="AL1227" s="95"/>
      <c r="AM1227" s="95"/>
      <c r="AN1227" s="132"/>
      <c r="AO1227" s="132"/>
      <c r="AP1227" s="95"/>
      <c r="AQ1227" s="132"/>
      <c r="AR1227" s="132"/>
    </row>
    <row r="1228" spans="25:44" s="82" customFormat="1" x14ac:dyDescent="0.2">
      <c r="Y1228" s="132"/>
      <c r="Z1228" s="132"/>
      <c r="AA1228" s="132"/>
      <c r="AB1228" s="95"/>
      <c r="AC1228" s="126"/>
      <c r="AD1228" s="340"/>
      <c r="AE1228" s="132"/>
      <c r="AF1228" s="132"/>
      <c r="AG1228" s="132"/>
      <c r="AH1228" s="132"/>
      <c r="AI1228" s="132"/>
      <c r="AJ1228" s="95"/>
      <c r="AK1228" s="95"/>
      <c r="AL1228" s="95"/>
      <c r="AM1228" s="95"/>
      <c r="AN1228" s="132"/>
      <c r="AO1228" s="132"/>
      <c r="AP1228" s="95"/>
      <c r="AQ1228" s="132"/>
      <c r="AR1228" s="132"/>
    </row>
    <row r="1229" spans="25:44" s="82" customFormat="1" x14ac:dyDescent="0.2">
      <c r="Y1229" s="132"/>
      <c r="Z1229" s="132"/>
      <c r="AA1229" s="132"/>
      <c r="AB1229" s="95"/>
      <c r="AC1229" s="126"/>
      <c r="AD1229" s="340"/>
      <c r="AE1229" s="132"/>
      <c r="AF1229" s="132"/>
      <c r="AG1229" s="132"/>
      <c r="AH1229" s="132"/>
      <c r="AI1229" s="132"/>
      <c r="AJ1229" s="95"/>
      <c r="AK1229" s="95"/>
      <c r="AL1229" s="95"/>
      <c r="AM1229" s="95"/>
      <c r="AN1229" s="132"/>
      <c r="AO1229" s="132"/>
      <c r="AP1229" s="95"/>
      <c r="AQ1229" s="132"/>
      <c r="AR1229" s="132"/>
    </row>
    <row r="1230" spans="25:44" s="82" customFormat="1" x14ac:dyDescent="0.2">
      <c r="Y1230" s="132"/>
      <c r="Z1230" s="132"/>
      <c r="AA1230" s="132"/>
      <c r="AB1230" s="95"/>
      <c r="AC1230" s="126"/>
      <c r="AD1230" s="340"/>
      <c r="AE1230" s="132"/>
      <c r="AF1230" s="132"/>
      <c r="AG1230" s="132"/>
      <c r="AH1230" s="132"/>
      <c r="AI1230" s="132"/>
      <c r="AJ1230" s="95"/>
      <c r="AK1230" s="95"/>
      <c r="AL1230" s="95"/>
      <c r="AM1230" s="95"/>
      <c r="AN1230" s="132"/>
      <c r="AO1230" s="132"/>
      <c r="AP1230" s="95"/>
      <c r="AQ1230" s="132"/>
      <c r="AR1230" s="132"/>
    </row>
    <row r="1231" spans="25:44" s="82" customFormat="1" x14ac:dyDescent="0.2">
      <c r="Y1231" s="132"/>
      <c r="Z1231" s="132"/>
      <c r="AA1231" s="132"/>
      <c r="AB1231" s="95"/>
      <c r="AC1231" s="126"/>
      <c r="AD1231" s="340"/>
      <c r="AE1231" s="132"/>
      <c r="AF1231" s="132"/>
      <c r="AG1231" s="132"/>
      <c r="AH1231" s="132"/>
      <c r="AI1231" s="132"/>
      <c r="AJ1231" s="95"/>
      <c r="AK1231" s="95"/>
      <c r="AL1231" s="95"/>
      <c r="AM1231" s="95"/>
      <c r="AN1231" s="132"/>
      <c r="AO1231" s="132"/>
      <c r="AP1231" s="95"/>
      <c r="AQ1231" s="132"/>
      <c r="AR1231" s="132"/>
    </row>
    <row r="1232" spans="25:44" s="82" customFormat="1" x14ac:dyDescent="0.2">
      <c r="Y1232" s="132"/>
      <c r="Z1232" s="132"/>
      <c r="AA1232" s="132"/>
      <c r="AB1232" s="95"/>
      <c r="AC1232" s="126"/>
      <c r="AD1232" s="340"/>
      <c r="AE1232" s="132"/>
      <c r="AF1232" s="132"/>
      <c r="AG1232" s="132"/>
      <c r="AH1232" s="132"/>
      <c r="AI1232" s="132"/>
      <c r="AJ1232" s="95"/>
      <c r="AK1232" s="95"/>
      <c r="AL1232" s="95"/>
      <c r="AM1232" s="95"/>
      <c r="AN1232" s="132"/>
      <c r="AO1232" s="132"/>
      <c r="AP1232" s="95"/>
      <c r="AQ1232" s="132"/>
      <c r="AR1232" s="132"/>
    </row>
    <row r="1233" spans="25:44" s="82" customFormat="1" x14ac:dyDescent="0.2">
      <c r="Y1233" s="132"/>
      <c r="Z1233" s="132"/>
      <c r="AA1233" s="132"/>
      <c r="AB1233" s="95"/>
      <c r="AC1233" s="126"/>
      <c r="AD1233" s="340"/>
      <c r="AE1233" s="132"/>
      <c r="AF1233" s="132"/>
      <c r="AG1233" s="132"/>
      <c r="AH1233" s="132"/>
      <c r="AI1233" s="132"/>
      <c r="AJ1233" s="95"/>
      <c r="AK1233" s="95"/>
      <c r="AL1233" s="95"/>
      <c r="AM1233" s="95"/>
      <c r="AN1233" s="132"/>
      <c r="AO1233" s="132"/>
      <c r="AP1233" s="95"/>
      <c r="AQ1233" s="132"/>
      <c r="AR1233" s="132"/>
    </row>
    <row r="1234" spans="25:44" s="82" customFormat="1" x14ac:dyDescent="0.2">
      <c r="Y1234" s="132"/>
      <c r="Z1234" s="132"/>
      <c r="AA1234" s="132"/>
      <c r="AB1234" s="95"/>
      <c r="AC1234" s="126"/>
      <c r="AD1234" s="340"/>
      <c r="AE1234" s="132"/>
      <c r="AF1234" s="132"/>
      <c r="AG1234" s="132"/>
      <c r="AH1234" s="132"/>
      <c r="AI1234" s="132"/>
      <c r="AJ1234" s="95"/>
      <c r="AK1234" s="95"/>
      <c r="AL1234" s="95"/>
      <c r="AM1234" s="95"/>
      <c r="AN1234" s="132"/>
      <c r="AO1234" s="132"/>
      <c r="AP1234" s="95"/>
      <c r="AQ1234" s="132"/>
      <c r="AR1234" s="132"/>
    </row>
    <row r="1235" spans="25:44" s="82" customFormat="1" x14ac:dyDescent="0.2">
      <c r="Y1235" s="132"/>
      <c r="Z1235" s="132"/>
      <c r="AA1235" s="132"/>
      <c r="AB1235" s="95"/>
      <c r="AC1235" s="126"/>
      <c r="AD1235" s="340"/>
      <c r="AE1235" s="132"/>
      <c r="AF1235" s="132"/>
      <c r="AG1235" s="132"/>
      <c r="AH1235" s="132"/>
      <c r="AI1235" s="132"/>
      <c r="AJ1235" s="95"/>
      <c r="AK1235" s="95"/>
      <c r="AL1235" s="95"/>
      <c r="AM1235" s="95"/>
      <c r="AN1235" s="132"/>
      <c r="AO1235" s="132"/>
      <c r="AP1235" s="95"/>
      <c r="AQ1235" s="132"/>
      <c r="AR1235" s="132"/>
    </row>
    <row r="1236" spans="25:44" s="82" customFormat="1" x14ac:dyDescent="0.2">
      <c r="Y1236" s="132"/>
      <c r="Z1236" s="132"/>
      <c r="AA1236" s="132"/>
      <c r="AB1236" s="95"/>
      <c r="AC1236" s="126"/>
      <c r="AD1236" s="340"/>
      <c r="AE1236" s="132"/>
      <c r="AF1236" s="132"/>
      <c r="AG1236" s="132"/>
      <c r="AH1236" s="132"/>
      <c r="AI1236" s="132"/>
      <c r="AJ1236" s="95"/>
      <c r="AK1236" s="95"/>
      <c r="AL1236" s="95"/>
      <c r="AM1236" s="95"/>
      <c r="AN1236" s="132"/>
      <c r="AO1236" s="132"/>
      <c r="AP1236" s="95"/>
      <c r="AQ1236" s="132"/>
      <c r="AR1236" s="132"/>
    </row>
    <row r="1237" spans="25:44" s="82" customFormat="1" x14ac:dyDescent="0.2">
      <c r="Y1237" s="132"/>
      <c r="Z1237" s="132"/>
      <c r="AA1237" s="132"/>
      <c r="AB1237" s="95"/>
      <c r="AC1237" s="126"/>
      <c r="AD1237" s="340"/>
      <c r="AE1237" s="132"/>
      <c r="AF1237" s="132"/>
      <c r="AG1237" s="132"/>
      <c r="AH1237" s="132"/>
      <c r="AI1237" s="132"/>
      <c r="AJ1237" s="95"/>
      <c r="AK1237" s="95"/>
      <c r="AL1237" s="95"/>
      <c r="AM1237" s="95"/>
      <c r="AN1237" s="132"/>
      <c r="AO1237" s="132"/>
      <c r="AP1237" s="95"/>
      <c r="AQ1237" s="132"/>
      <c r="AR1237" s="132"/>
    </row>
    <row r="1238" spans="25:44" s="82" customFormat="1" x14ac:dyDescent="0.2">
      <c r="Y1238" s="132"/>
      <c r="Z1238" s="132"/>
      <c r="AA1238" s="132"/>
      <c r="AB1238" s="95"/>
      <c r="AC1238" s="126"/>
      <c r="AD1238" s="340"/>
      <c r="AE1238" s="132"/>
      <c r="AF1238" s="132"/>
      <c r="AG1238" s="132"/>
      <c r="AH1238" s="132"/>
      <c r="AI1238" s="132"/>
      <c r="AJ1238" s="95"/>
      <c r="AK1238" s="95"/>
      <c r="AL1238" s="95"/>
      <c r="AM1238" s="95"/>
      <c r="AN1238" s="132"/>
      <c r="AO1238" s="132"/>
      <c r="AP1238" s="95"/>
      <c r="AQ1238" s="132"/>
      <c r="AR1238" s="132"/>
    </row>
    <row r="1239" spans="25:44" s="82" customFormat="1" x14ac:dyDescent="0.2">
      <c r="Y1239" s="132"/>
      <c r="Z1239" s="132"/>
      <c r="AA1239" s="132"/>
      <c r="AB1239" s="95"/>
      <c r="AC1239" s="126"/>
      <c r="AD1239" s="340"/>
      <c r="AE1239" s="132"/>
      <c r="AF1239" s="132"/>
      <c r="AG1239" s="132"/>
      <c r="AH1239" s="132"/>
      <c r="AI1239" s="132"/>
      <c r="AJ1239" s="95"/>
      <c r="AK1239" s="95"/>
      <c r="AL1239" s="95"/>
      <c r="AM1239" s="95"/>
      <c r="AN1239" s="132"/>
      <c r="AO1239" s="132"/>
      <c r="AP1239" s="95"/>
      <c r="AQ1239" s="132"/>
      <c r="AR1239" s="132"/>
    </row>
    <row r="1240" spans="25:44" s="82" customFormat="1" x14ac:dyDescent="0.2">
      <c r="Y1240" s="132"/>
      <c r="Z1240" s="132"/>
      <c r="AA1240" s="132"/>
      <c r="AB1240" s="95"/>
      <c r="AC1240" s="126"/>
      <c r="AD1240" s="340"/>
      <c r="AE1240" s="132"/>
      <c r="AF1240" s="132"/>
      <c r="AG1240" s="132"/>
      <c r="AH1240" s="132"/>
      <c r="AI1240" s="132"/>
      <c r="AJ1240" s="95"/>
      <c r="AK1240" s="95"/>
      <c r="AL1240" s="95"/>
      <c r="AM1240" s="95"/>
      <c r="AN1240" s="132"/>
      <c r="AO1240" s="132"/>
      <c r="AP1240" s="95"/>
      <c r="AQ1240" s="132"/>
      <c r="AR1240" s="132"/>
    </row>
    <row r="1241" spans="25:44" s="82" customFormat="1" x14ac:dyDescent="0.2">
      <c r="Y1241" s="132"/>
      <c r="Z1241" s="132"/>
      <c r="AA1241" s="132"/>
      <c r="AB1241" s="95"/>
      <c r="AC1241" s="126"/>
      <c r="AD1241" s="340"/>
      <c r="AE1241" s="132"/>
      <c r="AF1241" s="132"/>
      <c r="AG1241" s="132"/>
      <c r="AH1241" s="132"/>
      <c r="AI1241" s="132"/>
      <c r="AJ1241" s="95"/>
      <c r="AK1241" s="95"/>
      <c r="AL1241" s="95"/>
      <c r="AM1241" s="95"/>
      <c r="AN1241" s="132"/>
      <c r="AO1241" s="132"/>
      <c r="AP1241" s="95"/>
      <c r="AQ1241" s="132"/>
      <c r="AR1241" s="132"/>
    </row>
    <row r="1242" spans="25:44" s="82" customFormat="1" x14ac:dyDescent="0.2">
      <c r="Y1242" s="132"/>
      <c r="Z1242" s="132"/>
      <c r="AA1242" s="132"/>
      <c r="AB1242" s="95"/>
      <c r="AC1242" s="126"/>
      <c r="AD1242" s="340"/>
      <c r="AE1242" s="132"/>
      <c r="AF1242" s="132"/>
      <c r="AG1242" s="132"/>
      <c r="AH1242" s="132"/>
      <c r="AI1242" s="132"/>
      <c r="AJ1242" s="95"/>
      <c r="AK1242" s="95"/>
      <c r="AL1242" s="95"/>
      <c r="AM1242" s="95"/>
      <c r="AN1242" s="132"/>
      <c r="AO1242" s="132"/>
      <c r="AP1242" s="95"/>
      <c r="AQ1242" s="132"/>
      <c r="AR1242" s="132"/>
    </row>
    <row r="1243" spans="25:44" s="82" customFormat="1" x14ac:dyDescent="0.2">
      <c r="Y1243" s="132"/>
      <c r="Z1243" s="132"/>
      <c r="AA1243" s="132"/>
      <c r="AB1243" s="95"/>
      <c r="AC1243" s="126"/>
      <c r="AD1243" s="340"/>
      <c r="AE1243" s="132"/>
      <c r="AF1243" s="132"/>
      <c r="AG1243" s="132"/>
      <c r="AH1243" s="132"/>
      <c r="AI1243" s="132"/>
      <c r="AJ1243" s="95"/>
      <c r="AK1243" s="95"/>
      <c r="AL1243" s="95"/>
      <c r="AM1243" s="95"/>
      <c r="AN1243" s="132"/>
      <c r="AO1243" s="132"/>
      <c r="AP1243" s="95"/>
      <c r="AQ1243" s="132"/>
      <c r="AR1243" s="132"/>
    </row>
    <row r="1244" spans="25:44" s="82" customFormat="1" x14ac:dyDescent="0.2">
      <c r="Y1244" s="132"/>
      <c r="Z1244" s="132"/>
      <c r="AA1244" s="132"/>
      <c r="AB1244" s="95"/>
      <c r="AC1244" s="126"/>
      <c r="AD1244" s="340"/>
      <c r="AE1244" s="132"/>
      <c r="AF1244" s="132"/>
      <c r="AG1244" s="132"/>
      <c r="AH1244" s="132"/>
      <c r="AI1244" s="132"/>
      <c r="AJ1244" s="95"/>
      <c r="AK1244" s="95"/>
      <c r="AL1244" s="95"/>
      <c r="AM1244" s="95"/>
      <c r="AN1244" s="132"/>
      <c r="AO1244" s="132"/>
      <c r="AP1244" s="95"/>
      <c r="AQ1244" s="132"/>
      <c r="AR1244" s="132"/>
    </row>
    <row r="1245" spans="25:44" s="82" customFormat="1" x14ac:dyDescent="0.2">
      <c r="Y1245" s="132"/>
      <c r="Z1245" s="132"/>
      <c r="AA1245" s="132"/>
      <c r="AB1245" s="95"/>
      <c r="AC1245" s="126"/>
      <c r="AD1245" s="340"/>
      <c r="AE1245" s="132"/>
      <c r="AF1245" s="132"/>
      <c r="AG1245" s="132"/>
      <c r="AH1245" s="132"/>
      <c r="AI1245" s="132"/>
      <c r="AJ1245" s="95"/>
      <c r="AK1245" s="95"/>
      <c r="AL1245" s="95"/>
      <c r="AM1245" s="95"/>
      <c r="AN1245" s="132"/>
      <c r="AO1245" s="132"/>
      <c r="AP1245" s="95"/>
      <c r="AQ1245" s="132"/>
      <c r="AR1245" s="132"/>
    </row>
    <row r="1246" spans="25:44" s="82" customFormat="1" x14ac:dyDescent="0.2">
      <c r="Y1246" s="132"/>
      <c r="Z1246" s="132"/>
      <c r="AA1246" s="132"/>
      <c r="AB1246" s="95"/>
      <c r="AC1246" s="126"/>
      <c r="AD1246" s="340"/>
      <c r="AE1246" s="132"/>
      <c r="AF1246" s="132"/>
      <c r="AG1246" s="132"/>
      <c r="AH1246" s="132"/>
      <c r="AI1246" s="132"/>
      <c r="AJ1246" s="95"/>
      <c r="AK1246" s="95"/>
      <c r="AL1246" s="95"/>
      <c r="AM1246" s="95"/>
      <c r="AN1246" s="132"/>
      <c r="AO1246" s="132"/>
      <c r="AP1246" s="95"/>
      <c r="AQ1246" s="132"/>
      <c r="AR1246" s="132"/>
    </row>
    <row r="1247" spans="25:44" s="82" customFormat="1" x14ac:dyDescent="0.2">
      <c r="Y1247" s="132"/>
      <c r="Z1247" s="132"/>
      <c r="AA1247" s="132"/>
      <c r="AB1247" s="95"/>
      <c r="AC1247" s="126"/>
      <c r="AD1247" s="340"/>
      <c r="AE1247" s="132"/>
      <c r="AF1247" s="132"/>
      <c r="AG1247" s="132"/>
      <c r="AH1247" s="132"/>
      <c r="AI1247" s="132"/>
      <c r="AJ1247" s="95"/>
      <c r="AK1247" s="95"/>
      <c r="AL1247" s="95"/>
      <c r="AM1247" s="95"/>
      <c r="AN1247" s="132"/>
      <c r="AO1247" s="132"/>
      <c r="AP1247" s="95"/>
      <c r="AQ1247" s="132"/>
      <c r="AR1247" s="132"/>
    </row>
    <row r="1248" spans="25:44" s="82" customFormat="1" x14ac:dyDescent="0.2">
      <c r="Y1248" s="132"/>
      <c r="Z1248" s="132"/>
      <c r="AA1248" s="132"/>
      <c r="AB1248" s="95"/>
      <c r="AC1248" s="126"/>
      <c r="AD1248" s="340"/>
      <c r="AE1248" s="132"/>
      <c r="AF1248" s="132"/>
      <c r="AG1248" s="132"/>
      <c r="AH1248" s="132"/>
      <c r="AI1248" s="132"/>
      <c r="AJ1248" s="95"/>
      <c r="AK1248" s="95"/>
      <c r="AL1248" s="95"/>
      <c r="AM1248" s="95"/>
      <c r="AN1248" s="132"/>
      <c r="AO1248" s="132"/>
      <c r="AP1248" s="95"/>
      <c r="AQ1248" s="132"/>
      <c r="AR1248" s="132"/>
    </row>
    <row r="1249" spans="25:44" s="82" customFormat="1" x14ac:dyDescent="0.2">
      <c r="Y1249" s="132"/>
      <c r="Z1249" s="132"/>
      <c r="AA1249" s="132"/>
      <c r="AB1249" s="95"/>
      <c r="AC1249" s="126"/>
      <c r="AD1249" s="340"/>
      <c r="AE1249" s="132"/>
      <c r="AF1249" s="132"/>
      <c r="AG1249" s="132"/>
      <c r="AH1249" s="132"/>
      <c r="AI1249" s="132"/>
      <c r="AJ1249" s="95"/>
      <c r="AK1249" s="95"/>
      <c r="AL1249" s="95"/>
      <c r="AM1249" s="95"/>
      <c r="AN1249" s="132"/>
      <c r="AO1249" s="132"/>
      <c r="AP1249" s="95"/>
      <c r="AQ1249" s="132"/>
      <c r="AR1249" s="132"/>
    </row>
    <row r="1250" spans="25:44" s="82" customFormat="1" x14ac:dyDescent="0.2">
      <c r="Y1250" s="132"/>
      <c r="Z1250" s="132"/>
      <c r="AA1250" s="132"/>
      <c r="AB1250" s="95"/>
      <c r="AC1250" s="126"/>
      <c r="AD1250" s="340"/>
      <c r="AE1250" s="132"/>
      <c r="AF1250" s="132"/>
      <c r="AG1250" s="132"/>
      <c r="AH1250" s="132"/>
      <c r="AI1250" s="132"/>
      <c r="AJ1250" s="95"/>
      <c r="AK1250" s="95"/>
      <c r="AL1250" s="95"/>
      <c r="AM1250" s="95"/>
      <c r="AN1250" s="132"/>
      <c r="AO1250" s="132"/>
      <c r="AP1250" s="95"/>
      <c r="AQ1250" s="132"/>
      <c r="AR1250" s="132"/>
    </row>
    <row r="1251" spans="25:44" s="82" customFormat="1" x14ac:dyDescent="0.2">
      <c r="Y1251" s="132"/>
      <c r="Z1251" s="132"/>
      <c r="AA1251" s="132"/>
      <c r="AB1251" s="95"/>
      <c r="AC1251" s="126"/>
      <c r="AD1251" s="340"/>
      <c r="AE1251" s="132"/>
      <c r="AF1251" s="132"/>
      <c r="AG1251" s="132"/>
      <c r="AH1251" s="132"/>
      <c r="AI1251" s="132"/>
      <c r="AJ1251" s="95"/>
      <c r="AK1251" s="95"/>
      <c r="AL1251" s="95"/>
      <c r="AM1251" s="95"/>
      <c r="AN1251" s="132"/>
      <c r="AO1251" s="132"/>
      <c r="AP1251" s="95"/>
      <c r="AQ1251" s="132"/>
      <c r="AR1251" s="132"/>
    </row>
    <row r="1252" spans="25:44" s="82" customFormat="1" x14ac:dyDescent="0.2">
      <c r="Y1252" s="132"/>
      <c r="Z1252" s="132"/>
      <c r="AA1252" s="132"/>
      <c r="AB1252" s="95"/>
      <c r="AC1252" s="126"/>
      <c r="AD1252" s="340"/>
      <c r="AE1252" s="132"/>
      <c r="AF1252" s="132"/>
      <c r="AG1252" s="132"/>
      <c r="AH1252" s="132"/>
      <c r="AI1252" s="132"/>
      <c r="AJ1252" s="95"/>
      <c r="AK1252" s="95"/>
      <c r="AL1252" s="95"/>
      <c r="AM1252" s="95"/>
      <c r="AN1252" s="132"/>
      <c r="AO1252" s="132"/>
      <c r="AP1252" s="95"/>
      <c r="AQ1252" s="132"/>
      <c r="AR1252" s="132"/>
    </row>
    <row r="1253" spans="25:44" s="82" customFormat="1" x14ac:dyDescent="0.2">
      <c r="Y1253" s="132"/>
      <c r="Z1253" s="132"/>
      <c r="AA1253" s="132"/>
      <c r="AB1253" s="95"/>
      <c r="AC1253" s="126"/>
      <c r="AD1253" s="340"/>
      <c r="AE1253" s="132"/>
      <c r="AF1253" s="132"/>
      <c r="AG1253" s="132"/>
      <c r="AH1253" s="132"/>
      <c r="AI1253" s="132"/>
      <c r="AJ1253" s="95"/>
      <c r="AK1253" s="95"/>
      <c r="AL1253" s="95"/>
      <c r="AM1253" s="95"/>
      <c r="AN1253" s="132"/>
      <c r="AO1253" s="132"/>
      <c r="AP1253" s="95"/>
      <c r="AQ1253" s="132"/>
      <c r="AR1253" s="132"/>
    </row>
    <row r="1254" spans="25:44" s="82" customFormat="1" x14ac:dyDescent="0.2">
      <c r="Y1254" s="132"/>
      <c r="Z1254" s="132"/>
      <c r="AA1254" s="132"/>
      <c r="AB1254" s="95"/>
      <c r="AC1254" s="126"/>
      <c r="AD1254" s="340"/>
      <c r="AE1254" s="132"/>
      <c r="AF1254" s="132"/>
      <c r="AG1254" s="132"/>
      <c r="AH1254" s="132"/>
      <c r="AI1254" s="132"/>
      <c r="AJ1254" s="95"/>
      <c r="AK1254" s="95"/>
      <c r="AL1254" s="95"/>
      <c r="AM1254" s="95"/>
      <c r="AN1254" s="132"/>
      <c r="AO1254" s="132"/>
      <c r="AP1254" s="95"/>
      <c r="AQ1254" s="132"/>
      <c r="AR1254" s="132"/>
    </row>
    <row r="1255" spans="25:44" s="82" customFormat="1" x14ac:dyDescent="0.2">
      <c r="Y1255" s="132"/>
      <c r="Z1255" s="132"/>
      <c r="AA1255" s="132"/>
      <c r="AB1255" s="95"/>
      <c r="AC1255" s="126"/>
      <c r="AD1255" s="340"/>
      <c r="AE1255" s="132"/>
      <c r="AF1255" s="132"/>
      <c r="AG1255" s="132"/>
      <c r="AH1255" s="132"/>
      <c r="AI1255" s="132"/>
      <c r="AJ1255" s="95"/>
      <c r="AK1255" s="95"/>
      <c r="AL1255" s="95"/>
      <c r="AM1255" s="95"/>
      <c r="AN1255" s="132"/>
      <c r="AO1255" s="132"/>
      <c r="AP1255" s="95"/>
      <c r="AQ1255" s="132"/>
      <c r="AR1255" s="132"/>
    </row>
    <row r="1256" spans="25:44" s="82" customFormat="1" x14ac:dyDescent="0.2">
      <c r="Y1256" s="132"/>
      <c r="Z1256" s="132"/>
      <c r="AA1256" s="132"/>
      <c r="AB1256" s="95"/>
      <c r="AC1256" s="126"/>
      <c r="AD1256" s="340"/>
      <c r="AE1256" s="132"/>
      <c r="AF1256" s="132"/>
      <c r="AG1256" s="132"/>
      <c r="AH1256" s="132"/>
      <c r="AI1256" s="132"/>
      <c r="AJ1256" s="95"/>
      <c r="AK1256" s="95"/>
      <c r="AL1256" s="95"/>
      <c r="AM1256" s="95"/>
      <c r="AN1256" s="132"/>
      <c r="AO1256" s="132"/>
      <c r="AP1256" s="95"/>
      <c r="AQ1256" s="132"/>
      <c r="AR1256" s="132"/>
    </row>
    <row r="1257" spans="25:44" s="82" customFormat="1" x14ac:dyDescent="0.2">
      <c r="Y1257" s="132"/>
      <c r="Z1257" s="132"/>
      <c r="AA1257" s="132"/>
      <c r="AB1257" s="95"/>
      <c r="AC1257" s="126"/>
      <c r="AD1257" s="340"/>
      <c r="AE1257" s="132"/>
      <c r="AF1257" s="132"/>
      <c r="AG1257" s="132"/>
      <c r="AH1257" s="132"/>
      <c r="AI1257" s="132"/>
      <c r="AJ1257" s="95"/>
      <c r="AK1257" s="95"/>
      <c r="AL1257" s="95"/>
      <c r="AM1257" s="95"/>
      <c r="AN1257" s="132"/>
      <c r="AO1257" s="132"/>
      <c r="AP1257" s="95"/>
      <c r="AQ1257" s="132"/>
      <c r="AR1257" s="132"/>
    </row>
    <row r="1258" spans="25:44" s="82" customFormat="1" x14ac:dyDescent="0.2">
      <c r="Y1258" s="132"/>
      <c r="Z1258" s="132"/>
      <c r="AA1258" s="132"/>
      <c r="AB1258" s="95"/>
      <c r="AC1258" s="126"/>
      <c r="AD1258" s="340"/>
      <c r="AE1258" s="132"/>
      <c r="AF1258" s="132"/>
      <c r="AG1258" s="132"/>
      <c r="AH1258" s="132"/>
      <c r="AI1258" s="132"/>
      <c r="AJ1258" s="95"/>
      <c r="AK1258" s="95"/>
      <c r="AL1258" s="95"/>
      <c r="AM1258" s="95"/>
      <c r="AN1258" s="132"/>
      <c r="AO1258" s="132"/>
      <c r="AP1258" s="95"/>
      <c r="AQ1258" s="132"/>
      <c r="AR1258" s="132"/>
    </row>
    <row r="1259" spans="25:44" s="82" customFormat="1" x14ac:dyDescent="0.2">
      <c r="Y1259" s="132"/>
      <c r="Z1259" s="132"/>
      <c r="AA1259" s="132"/>
      <c r="AB1259" s="95"/>
      <c r="AC1259" s="126"/>
      <c r="AD1259" s="340"/>
      <c r="AE1259" s="132"/>
      <c r="AF1259" s="132"/>
      <c r="AG1259" s="132"/>
      <c r="AH1259" s="132"/>
      <c r="AI1259" s="132"/>
      <c r="AJ1259" s="95"/>
      <c r="AK1259" s="95"/>
      <c r="AL1259" s="95"/>
      <c r="AM1259" s="95"/>
      <c r="AN1259" s="132"/>
      <c r="AO1259" s="132"/>
      <c r="AP1259" s="95"/>
      <c r="AQ1259" s="132"/>
      <c r="AR1259" s="132"/>
    </row>
    <row r="1260" spans="25:44" s="82" customFormat="1" x14ac:dyDescent="0.2">
      <c r="Y1260" s="132"/>
      <c r="Z1260" s="132"/>
      <c r="AA1260" s="132"/>
      <c r="AB1260" s="95"/>
      <c r="AC1260" s="126"/>
      <c r="AD1260" s="340"/>
      <c r="AE1260" s="132"/>
      <c r="AF1260" s="132"/>
      <c r="AG1260" s="132"/>
      <c r="AH1260" s="132"/>
      <c r="AI1260" s="132"/>
      <c r="AJ1260" s="95"/>
      <c r="AK1260" s="95"/>
      <c r="AL1260" s="95"/>
      <c r="AM1260" s="95"/>
      <c r="AN1260" s="132"/>
      <c r="AO1260" s="132"/>
      <c r="AP1260" s="95"/>
      <c r="AQ1260" s="132"/>
      <c r="AR1260" s="132"/>
    </row>
    <row r="1261" spans="25:44" s="82" customFormat="1" x14ac:dyDescent="0.2">
      <c r="Y1261" s="132"/>
      <c r="Z1261" s="132"/>
      <c r="AA1261" s="132"/>
      <c r="AB1261" s="95"/>
      <c r="AC1261" s="126"/>
      <c r="AD1261" s="340"/>
      <c r="AE1261" s="132"/>
      <c r="AF1261" s="132"/>
      <c r="AG1261" s="132"/>
      <c r="AH1261" s="132"/>
      <c r="AI1261" s="132"/>
      <c r="AJ1261" s="95"/>
      <c r="AK1261" s="95"/>
      <c r="AL1261" s="95"/>
      <c r="AM1261" s="95"/>
      <c r="AN1261" s="132"/>
      <c r="AO1261" s="132"/>
      <c r="AP1261" s="95"/>
      <c r="AQ1261" s="132"/>
      <c r="AR1261" s="132"/>
    </row>
    <row r="1262" spans="25:44" s="82" customFormat="1" x14ac:dyDescent="0.2">
      <c r="Y1262" s="132"/>
      <c r="Z1262" s="132"/>
      <c r="AA1262" s="132"/>
      <c r="AB1262" s="95"/>
      <c r="AC1262" s="126"/>
      <c r="AD1262" s="340"/>
      <c r="AE1262" s="132"/>
      <c r="AF1262" s="132"/>
      <c r="AG1262" s="132"/>
      <c r="AH1262" s="132"/>
      <c r="AI1262" s="132"/>
      <c r="AJ1262" s="95"/>
      <c r="AK1262" s="95"/>
      <c r="AL1262" s="95"/>
      <c r="AM1262" s="95"/>
      <c r="AN1262" s="132"/>
      <c r="AO1262" s="132"/>
      <c r="AP1262" s="95"/>
      <c r="AQ1262" s="132"/>
      <c r="AR1262" s="132"/>
    </row>
    <row r="1263" spans="25:44" s="82" customFormat="1" x14ac:dyDescent="0.2">
      <c r="Y1263" s="132"/>
      <c r="Z1263" s="132"/>
      <c r="AA1263" s="132"/>
      <c r="AB1263" s="95"/>
      <c r="AC1263" s="126"/>
      <c r="AD1263" s="340"/>
      <c r="AE1263" s="132"/>
      <c r="AF1263" s="132"/>
      <c r="AG1263" s="132"/>
      <c r="AH1263" s="132"/>
      <c r="AI1263" s="132"/>
      <c r="AJ1263" s="95"/>
      <c r="AK1263" s="95"/>
      <c r="AL1263" s="95"/>
      <c r="AM1263" s="95"/>
      <c r="AN1263" s="132"/>
      <c r="AO1263" s="132"/>
      <c r="AP1263" s="95"/>
      <c r="AQ1263" s="132"/>
      <c r="AR1263" s="132"/>
    </row>
    <row r="1264" spans="25:44" s="82" customFormat="1" x14ac:dyDescent="0.2">
      <c r="Y1264" s="132"/>
      <c r="Z1264" s="132"/>
      <c r="AA1264" s="132"/>
      <c r="AB1264" s="95"/>
      <c r="AC1264" s="126"/>
      <c r="AD1264" s="340"/>
      <c r="AE1264" s="132"/>
      <c r="AF1264" s="132"/>
      <c r="AG1264" s="132"/>
      <c r="AH1264" s="132"/>
      <c r="AI1264" s="132"/>
      <c r="AJ1264" s="95"/>
      <c r="AK1264" s="95"/>
      <c r="AL1264" s="95"/>
      <c r="AM1264" s="95"/>
      <c r="AN1264" s="132"/>
      <c r="AO1264" s="132"/>
      <c r="AP1264" s="95"/>
      <c r="AQ1264" s="132"/>
      <c r="AR1264" s="132"/>
    </row>
    <row r="1265" spans="25:44" s="82" customFormat="1" x14ac:dyDescent="0.2">
      <c r="Y1265" s="132"/>
      <c r="Z1265" s="132"/>
      <c r="AA1265" s="132"/>
      <c r="AB1265" s="95"/>
      <c r="AC1265" s="126"/>
      <c r="AD1265" s="340"/>
      <c r="AE1265" s="132"/>
      <c r="AF1265" s="132"/>
      <c r="AG1265" s="132"/>
      <c r="AH1265" s="132"/>
      <c r="AI1265" s="132"/>
      <c r="AJ1265" s="95"/>
      <c r="AK1265" s="95"/>
      <c r="AL1265" s="95"/>
      <c r="AM1265" s="95"/>
      <c r="AN1265" s="132"/>
      <c r="AO1265" s="132"/>
      <c r="AP1265" s="95"/>
      <c r="AQ1265" s="132"/>
      <c r="AR1265" s="132"/>
    </row>
    <row r="1266" spans="25:44" s="82" customFormat="1" x14ac:dyDescent="0.2">
      <c r="Y1266" s="132"/>
      <c r="Z1266" s="132"/>
      <c r="AA1266" s="132"/>
      <c r="AB1266" s="95"/>
      <c r="AC1266" s="126"/>
      <c r="AD1266" s="340"/>
      <c r="AE1266" s="132"/>
      <c r="AF1266" s="132"/>
      <c r="AG1266" s="132"/>
      <c r="AH1266" s="132"/>
      <c r="AI1266" s="132"/>
      <c r="AJ1266" s="95"/>
      <c r="AK1266" s="95"/>
      <c r="AL1266" s="95"/>
      <c r="AM1266" s="95"/>
      <c r="AN1266" s="132"/>
      <c r="AO1266" s="132"/>
      <c r="AP1266" s="95"/>
      <c r="AQ1266" s="132"/>
      <c r="AR1266" s="132"/>
    </row>
    <row r="1267" spans="25:44" s="82" customFormat="1" x14ac:dyDescent="0.2">
      <c r="Y1267" s="132"/>
      <c r="Z1267" s="132"/>
      <c r="AA1267" s="132"/>
      <c r="AB1267" s="95"/>
      <c r="AC1267" s="126"/>
      <c r="AD1267" s="340"/>
      <c r="AE1267" s="132"/>
      <c r="AF1267" s="132"/>
      <c r="AG1267" s="132"/>
      <c r="AH1267" s="132"/>
      <c r="AI1267" s="132"/>
      <c r="AJ1267" s="95"/>
      <c r="AK1267" s="95"/>
      <c r="AL1267" s="95"/>
      <c r="AM1267" s="95"/>
      <c r="AN1267" s="132"/>
      <c r="AO1267" s="132"/>
      <c r="AP1267" s="95"/>
      <c r="AQ1267" s="132"/>
      <c r="AR1267" s="132"/>
    </row>
    <row r="1268" spans="25:44" s="82" customFormat="1" x14ac:dyDescent="0.2">
      <c r="Y1268" s="132"/>
      <c r="Z1268" s="132"/>
      <c r="AA1268" s="132"/>
      <c r="AB1268" s="95"/>
      <c r="AC1268" s="126"/>
      <c r="AD1268" s="340"/>
      <c r="AE1268" s="132"/>
      <c r="AF1268" s="132"/>
      <c r="AG1268" s="132"/>
      <c r="AH1268" s="132"/>
      <c r="AI1268" s="132"/>
      <c r="AJ1268" s="95"/>
      <c r="AK1268" s="95"/>
      <c r="AL1268" s="95"/>
      <c r="AM1268" s="95"/>
      <c r="AN1268" s="132"/>
      <c r="AO1268" s="132"/>
      <c r="AP1268" s="95"/>
      <c r="AQ1268" s="132"/>
      <c r="AR1268" s="132"/>
    </row>
    <row r="1269" spans="25:44" s="82" customFormat="1" x14ac:dyDescent="0.2">
      <c r="Y1269" s="132"/>
      <c r="Z1269" s="132"/>
      <c r="AA1269" s="132"/>
      <c r="AB1269" s="95"/>
      <c r="AC1269" s="126"/>
      <c r="AD1269" s="340"/>
      <c r="AE1269" s="132"/>
      <c r="AF1269" s="132"/>
      <c r="AG1269" s="132"/>
      <c r="AH1269" s="132"/>
      <c r="AI1269" s="132"/>
      <c r="AJ1269" s="95"/>
      <c r="AK1269" s="95"/>
      <c r="AL1269" s="95"/>
      <c r="AM1269" s="95"/>
      <c r="AN1269" s="132"/>
      <c r="AO1269" s="132"/>
      <c r="AP1269" s="95"/>
      <c r="AQ1269" s="132"/>
      <c r="AR1269" s="132"/>
    </row>
    <row r="1270" spans="25:44" s="82" customFormat="1" x14ac:dyDescent="0.2">
      <c r="Y1270" s="132"/>
      <c r="Z1270" s="132"/>
      <c r="AA1270" s="132"/>
      <c r="AB1270" s="95"/>
      <c r="AC1270" s="126"/>
      <c r="AD1270" s="340"/>
      <c r="AE1270" s="132"/>
      <c r="AF1270" s="132"/>
      <c r="AG1270" s="132"/>
      <c r="AH1270" s="132"/>
      <c r="AI1270" s="132"/>
      <c r="AJ1270" s="95"/>
      <c r="AK1270" s="95"/>
      <c r="AL1270" s="95"/>
      <c r="AM1270" s="95"/>
      <c r="AN1270" s="132"/>
      <c r="AO1270" s="132"/>
      <c r="AP1270" s="95"/>
      <c r="AQ1270" s="132"/>
      <c r="AR1270" s="132"/>
    </row>
    <row r="1271" spans="25:44" s="82" customFormat="1" x14ac:dyDescent="0.2">
      <c r="Y1271" s="132"/>
      <c r="Z1271" s="132"/>
      <c r="AA1271" s="132"/>
      <c r="AB1271" s="95"/>
      <c r="AC1271" s="126"/>
      <c r="AD1271" s="340"/>
      <c r="AE1271" s="132"/>
      <c r="AF1271" s="132"/>
      <c r="AG1271" s="132"/>
      <c r="AH1271" s="132"/>
      <c r="AI1271" s="132"/>
      <c r="AJ1271" s="95"/>
      <c r="AK1271" s="95"/>
      <c r="AL1271" s="95"/>
      <c r="AM1271" s="95"/>
      <c r="AN1271" s="132"/>
      <c r="AO1271" s="132"/>
      <c r="AP1271" s="95"/>
      <c r="AQ1271" s="132"/>
      <c r="AR1271" s="132"/>
    </row>
    <row r="1272" spans="25:44" s="82" customFormat="1" x14ac:dyDescent="0.2">
      <c r="Y1272" s="132"/>
      <c r="Z1272" s="132"/>
      <c r="AA1272" s="132"/>
      <c r="AB1272" s="95"/>
      <c r="AC1272" s="126"/>
      <c r="AD1272" s="340"/>
      <c r="AE1272" s="132"/>
      <c r="AF1272" s="132"/>
      <c r="AG1272" s="132"/>
      <c r="AH1272" s="132"/>
      <c r="AI1272" s="132"/>
      <c r="AJ1272" s="95"/>
      <c r="AK1272" s="95"/>
      <c r="AL1272" s="95"/>
      <c r="AM1272" s="95"/>
      <c r="AN1272" s="132"/>
      <c r="AO1272" s="132"/>
      <c r="AP1272" s="95"/>
      <c r="AQ1272" s="132"/>
      <c r="AR1272" s="132"/>
    </row>
    <row r="1273" spans="25:44" s="82" customFormat="1" x14ac:dyDescent="0.2">
      <c r="Y1273" s="132"/>
      <c r="Z1273" s="132"/>
      <c r="AA1273" s="132"/>
      <c r="AB1273" s="95"/>
      <c r="AC1273" s="126"/>
      <c r="AD1273" s="340"/>
      <c r="AE1273" s="132"/>
      <c r="AF1273" s="132"/>
      <c r="AG1273" s="132"/>
      <c r="AH1273" s="132"/>
      <c r="AI1273" s="132"/>
      <c r="AJ1273" s="95"/>
      <c r="AK1273" s="95"/>
      <c r="AL1273" s="95"/>
      <c r="AM1273" s="95"/>
      <c r="AN1273" s="132"/>
      <c r="AO1273" s="132"/>
      <c r="AP1273" s="95"/>
      <c r="AQ1273" s="132"/>
      <c r="AR1273" s="132"/>
    </row>
    <row r="1274" spans="25:44" s="82" customFormat="1" x14ac:dyDescent="0.2">
      <c r="Y1274" s="132"/>
      <c r="Z1274" s="132"/>
      <c r="AA1274" s="132"/>
      <c r="AB1274" s="95"/>
      <c r="AC1274" s="126"/>
      <c r="AD1274" s="340"/>
      <c r="AE1274" s="132"/>
      <c r="AF1274" s="132"/>
      <c r="AG1274" s="132"/>
      <c r="AH1274" s="132"/>
      <c r="AI1274" s="132"/>
      <c r="AJ1274" s="95"/>
      <c r="AK1274" s="95"/>
      <c r="AL1274" s="95"/>
      <c r="AM1274" s="95"/>
      <c r="AN1274" s="132"/>
      <c r="AO1274" s="132"/>
      <c r="AP1274" s="95"/>
      <c r="AQ1274" s="132"/>
      <c r="AR1274" s="132"/>
    </row>
    <row r="1275" spans="25:44" s="82" customFormat="1" x14ac:dyDescent="0.2">
      <c r="Y1275" s="132"/>
      <c r="Z1275" s="132"/>
      <c r="AA1275" s="132"/>
      <c r="AB1275" s="95"/>
      <c r="AC1275" s="126"/>
      <c r="AD1275" s="340"/>
      <c r="AE1275" s="132"/>
      <c r="AF1275" s="132"/>
      <c r="AG1275" s="132"/>
      <c r="AH1275" s="132"/>
      <c r="AI1275" s="132"/>
      <c r="AJ1275" s="95"/>
      <c r="AK1275" s="95"/>
      <c r="AL1275" s="95"/>
      <c r="AM1275" s="95"/>
      <c r="AN1275" s="132"/>
      <c r="AO1275" s="132"/>
      <c r="AP1275" s="95"/>
      <c r="AQ1275" s="132"/>
      <c r="AR1275" s="132"/>
    </row>
    <row r="1276" spans="25:44" s="82" customFormat="1" x14ac:dyDescent="0.2">
      <c r="Y1276" s="132"/>
      <c r="Z1276" s="132"/>
      <c r="AA1276" s="132"/>
      <c r="AB1276" s="95"/>
      <c r="AC1276" s="126"/>
      <c r="AD1276" s="340"/>
      <c r="AE1276" s="132"/>
      <c r="AF1276" s="132"/>
      <c r="AG1276" s="132"/>
      <c r="AH1276" s="132"/>
      <c r="AI1276" s="132"/>
      <c r="AJ1276" s="95"/>
      <c r="AK1276" s="95"/>
      <c r="AL1276" s="95"/>
      <c r="AM1276" s="95"/>
      <c r="AN1276" s="132"/>
      <c r="AO1276" s="132"/>
      <c r="AP1276" s="95"/>
      <c r="AQ1276" s="132"/>
      <c r="AR1276" s="132"/>
    </row>
    <row r="1277" spans="25:44" s="82" customFormat="1" x14ac:dyDescent="0.2">
      <c r="Y1277" s="132"/>
      <c r="Z1277" s="132"/>
      <c r="AA1277" s="132"/>
      <c r="AB1277" s="95"/>
      <c r="AC1277" s="126"/>
      <c r="AD1277" s="340"/>
      <c r="AE1277" s="132"/>
      <c r="AF1277" s="132"/>
      <c r="AG1277" s="132"/>
      <c r="AH1277" s="132"/>
      <c r="AI1277" s="132"/>
      <c r="AJ1277" s="95"/>
      <c r="AK1277" s="95"/>
      <c r="AL1277" s="95"/>
      <c r="AM1277" s="95"/>
      <c r="AN1277" s="132"/>
      <c r="AO1277" s="132"/>
      <c r="AP1277" s="95"/>
      <c r="AQ1277" s="132"/>
      <c r="AR1277" s="132"/>
    </row>
    <row r="1278" spans="25:44" s="82" customFormat="1" x14ac:dyDescent="0.2">
      <c r="Y1278" s="132"/>
      <c r="Z1278" s="132"/>
      <c r="AA1278" s="132"/>
      <c r="AB1278" s="95"/>
      <c r="AC1278" s="126"/>
      <c r="AD1278" s="340"/>
      <c r="AE1278" s="132"/>
      <c r="AF1278" s="132"/>
      <c r="AG1278" s="132"/>
      <c r="AH1278" s="132"/>
      <c r="AI1278" s="132"/>
      <c r="AJ1278" s="95"/>
      <c r="AK1278" s="95"/>
      <c r="AL1278" s="95"/>
      <c r="AM1278" s="95"/>
      <c r="AN1278" s="132"/>
      <c r="AO1278" s="132"/>
      <c r="AP1278" s="95"/>
      <c r="AQ1278" s="132"/>
      <c r="AR1278" s="132"/>
    </row>
    <row r="1279" spans="25:44" s="82" customFormat="1" x14ac:dyDescent="0.2">
      <c r="Y1279" s="132"/>
      <c r="Z1279" s="132"/>
      <c r="AA1279" s="132"/>
      <c r="AB1279" s="95"/>
      <c r="AC1279" s="126"/>
      <c r="AD1279" s="340"/>
      <c r="AE1279" s="132"/>
      <c r="AF1279" s="132"/>
      <c r="AG1279" s="132"/>
      <c r="AH1279" s="132"/>
      <c r="AI1279" s="132"/>
      <c r="AJ1279" s="95"/>
      <c r="AK1279" s="95"/>
      <c r="AL1279" s="95"/>
      <c r="AM1279" s="95"/>
      <c r="AN1279" s="132"/>
      <c r="AO1279" s="132"/>
      <c r="AP1279" s="95"/>
      <c r="AQ1279" s="132"/>
      <c r="AR1279" s="132"/>
    </row>
    <row r="1280" spans="25:44" s="82" customFormat="1" x14ac:dyDescent="0.2">
      <c r="Y1280" s="132"/>
      <c r="Z1280" s="132"/>
      <c r="AA1280" s="132"/>
      <c r="AB1280" s="95"/>
      <c r="AC1280" s="126"/>
      <c r="AD1280" s="340"/>
      <c r="AE1280" s="132"/>
      <c r="AF1280" s="132"/>
      <c r="AG1280" s="132"/>
      <c r="AH1280" s="132"/>
      <c r="AI1280" s="132"/>
      <c r="AJ1280" s="95"/>
      <c r="AK1280" s="95"/>
      <c r="AL1280" s="95"/>
      <c r="AM1280" s="95"/>
      <c r="AN1280" s="132"/>
      <c r="AO1280" s="132"/>
      <c r="AP1280" s="95"/>
      <c r="AQ1280" s="132"/>
      <c r="AR1280" s="132"/>
    </row>
    <row r="1281" spans="25:44" s="82" customFormat="1" x14ac:dyDescent="0.2">
      <c r="Y1281" s="132"/>
      <c r="Z1281" s="132"/>
      <c r="AA1281" s="132"/>
      <c r="AB1281" s="95"/>
      <c r="AC1281" s="126"/>
      <c r="AD1281" s="340"/>
      <c r="AE1281" s="132"/>
      <c r="AF1281" s="132"/>
      <c r="AG1281" s="132"/>
      <c r="AH1281" s="132"/>
      <c r="AI1281" s="132"/>
      <c r="AJ1281" s="95"/>
      <c r="AK1281" s="95"/>
      <c r="AL1281" s="95"/>
      <c r="AM1281" s="95"/>
      <c r="AN1281" s="132"/>
      <c r="AO1281" s="132"/>
      <c r="AP1281" s="95"/>
      <c r="AQ1281" s="132"/>
      <c r="AR1281" s="132"/>
    </row>
    <row r="1282" spans="25:44" s="82" customFormat="1" x14ac:dyDescent="0.2">
      <c r="Y1282" s="132"/>
      <c r="Z1282" s="132"/>
      <c r="AA1282" s="132"/>
      <c r="AB1282" s="95"/>
      <c r="AC1282" s="126"/>
      <c r="AD1282" s="340"/>
      <c r="AE1282" s="132"/>
      <c r="AF1282" s="132"/>
      <c r="AG1282" s="132"/>
      <c r="AH1282" s="132"/>
      <c r="AI1282" s="132"/>
      <c r="AJ1282" s="95"/>
      <c r="AK1282" s="95"/>
      <c r="AL1282" s="95"/>
      <c r="AM1282" s="95"/>
      <c r="AN1282" s="132"/>
      <c r="AO1282" s="132"/>
      <c r="AP1282" s="95"/>
      <c r="AQ1282" s="132"/>
      <c r="AR1282" s="132"/>
    </row>
    <row r="1283" spans="25:44" s="82" customFormat="1" x14ac:dyDescent="0.2">
      <c r="Y1283" s="132"/>
      <c r="Z1283" s="132"/>
      <c r="AA1283" s="132"/>
      <c r="AB1283" s="95"/>
      <c r="AC1283" s="126"/>
      <c r="AD1283" s="340"/>
      <c r="AE1283" s="132"/>
      <c r="AF1283" s="132"/>
      <c r="AG1283" s="132"/>
      <c r="AH1283" s="132"/>
      <c r="AI1283" s="132"/>
      <c r="AJ1283" s="95"/>
      <c r="AK1283" s="95"/>
      <c r="AL1283" s="95"/>
      <c r="AM1283" s="95"/>
      <c r="AN1283" s="132"/>
      <c r="AO1283" s="132"/>
      <c r="AP1283" s="95"/>
      <c r="AQ1283" s="132"/>
      <c r="AR1283" s="132"/>
    </row>
    <row r="1284" spans="25:44" s="82" customFormat="1" x14ac:dyDescent="0.2">
      <c r="Y1284" s="132"/>
      <c r="Z1284" s="132"/>
      <c r="AA1284" s="132"/>
      <c r="AB1284" s="95"/>
      <c r="AC1284" s="126"/>
      <c r="AD1284" s="340"/>
      <c r="AE1284" s="132"/>
      <c r="AF1284" s="132"/>
      <c r="AG1284" s="132"/>
      <c r="AH1284" s="132"/>
      <c r="AI1284" s="132"/>
      <c r="AJ1284" s="95"/>
      <c r="AK1284" s="95"/>
      <c r="AL1284" s="95"/>
      <c r="AM1284" s="95"/>
      <c r="AN1284" s="132"/>
      <c r="AO1284" s="132"/>
      <c r="AP1284" s="95"/>
      <c r="AQ1284" s="132"/>
      <c r="AR1284" s="132"/>
    </row>
    <row r="1285" spans="25:44" s="82" customFormat="1" x14ac:dyDescent="0.2">
      <c r="Y1285" s="132"/>
      <c r="Z1285" s="132"/>
      <c r="AA1285" s="132"/>
      <c r="AB1285" s="95"/>
      <c r="AC1285" s="126"/>
      <c r="AD1285" s="340"/>
      <c r="AE1285" s="132"/>
      <c r="AF1285" s="132"/>
      <c r="AG1285" s="132"/>
      <c r="AH1285" s="132"/>
      <c r="AI1285" s="132"/>
      <c r="AJ1285" s="95"/>
      <c r="AK1285" s="95"/>
      <c r="AL1285" s="95"/>
      <c r="AM1285" s="95"/>
      <c r="AN1285" s="132"/>
      <c r="AO1285" s="132"/>
      <c r="AP1285" s="95"/>
      <c r="AQ1285" s="132"/>
      <c r="AR1285" s="132"/>
    </row>
    <row r="1286" spans="25:44" s="82" customFormat="1" x14ac:dyDescent="0.2">
      <c r="Y1286" s="132"/>
      <c r="Z1286" s="132"/>
      <c r="AA1286" s="132"/>
      <c r="AB1286" s="95"/>
      <c r="AC1286" s="126"/>
      <c r="AD1286" s="340"/>
      <c r="AE1286" s="132"/>
      <c r="AF1286" s="132"/>
      <c r="AG1286" s="132"/>
      <c r="AH1286" s="132"/>
      <c r="AI1286" s="132"/>
      <c r="AJ1286" s="95"/>
      <c r="AK1286" s="95"/>
      <c r="AL1286" s="95"/>
      <c r="AM1286" s="95"/>
      <c r="AN1286" s="132"/>
      <c r="AO1286" s="132"/>
      <c r="AP1286" s="95"/>
      <c r="AQ1286" s="132"/>
      <c r="AR1286" s="132"/>
    </row>
    <row r="1287" spans="25:44" s="82" customFormat="1" x14ac:dyDescent="0.2">
      <c r="Y1287" s="132"/>
      <c r="Z1287" s="132"/>
      <c r="AA1287" s="132"/>
      <c r="AB1287" s="95"/>
      <c r="AC1287" s="126"/>
      <c r="AD1287" s="340"/>
      <c r="AE1287" s="132"/>
      <c r="AF1287" s="132"/>
      <c r="AG1287" s="132"/>
      <c r="AH1287" s="132"/>
      <c r="AI1287" s="132"/>
      <c r="AJ1287" s="95"/>
      <c r="AK1287" s="95"/>
      <c r="AL1287" s="95"/>
      <c r="AM1287" s="95"/>
      <c r="AN1287" s="132"/>
      <c r="AO1287" s="132"/>
      <c r="AP1287" s="95"/>
      <c r="AQ1287" s="132"/>
      <c r="AR1287" s="132"/>
    </row>
    <row r="1288" spans="25:44" s="82" customFormat="1" x14ac:dyDescent="0.2">
      <c r="Y1288" s="132"/>
      <c r="Z1288" s="132"/>
      <c r="AA1288" s="132"/>
      <c r="AB1288" s="95"/>
      <c r="AC1288" s="126"/>
      <c r="AD1288" s="340"/>
      <c r="AE1288" s="132"/>
      <c r="AF1288" s="132"/>
      <c r="AG1288" s="132"/>
      <c r="AH1288" s="132"/>
      <c r="AI1288" s="132"/>
      <c r="AJ1288" s="95"/>
      <c r="AK1288" s="95"/>
      <c r="AL1288" s="95"/>
      <c r="AM1288" s="95"/>
      <c r="AN1288" s="132"/>
      <c r="AO1288" s="132"/>
      <c r="AP1288" s="95"/>
      <c r="AQ1288" s="132"/>
      <c r="AR1288" s="132"/>
    </row>
    <row r="1289" spans="25:44" s="82" customFormat="1" x14ac:dyDescent="0.2">
      <c r="Y1289" s="132"/>
      <c r="Z1289" s="132"/>
      <c r="AA1289" s="132"/>
      <c r="AB1289" s="95"/>
      <c r="AC1289" s="126"/>
      <c r="AD1289" s="340"/>
      <c r="AE1289" s="132"/>
      <c r="AF1289" s="132"/>
      <c r="AG1289" s="132"/>
      <c r="AH1289" s="132"/>
      <c r="AI1289" s="132"/>
      <c r="AJ1289" s="95"/>
      <c r="AK1289" s="95"/>
      <c r="AL1289" s="95"/>
      <c r="AM1289" s="95"/>
      <c r="AN1289" s="132"/>
      <c r="AO1289" s="132"/>
      <c r="AP1289" s="95"/>
      <c r="AQ1289" s="132"/>
      <c r="AR1289" s="132"/>
    </row>
    <row r="1290" spans="25:44" s="82" customFormat="1" x14ac:dyDescent="0.2">
      <c r="Y1290" s="132"/>
      <c r="Z1290" s="132"/>
      <c r="AA1290" s="132"/>
      <c r="AB1290" s="95"/>
      <c r="AC1290" s="126"/>
      <c r="AD1290" s="340"/>
      <c r="AE1290" s="132"/>
      <c r="AF1290" s="132"/>
      <c r="AG1290" s="132"/>
      <c r="AH1290" s="132"/>
      <c r="AI1290" s="132"/>
      <c r="AJ1290" s="95"/>
      <c r="AK1290" s="95"/>
      <c r="AL1290" s="95"/>
      <c r="AM1290" s="95"/>
      <c r="AN1290" s="132"/>
      <c r="AO1290" s="132"/>
      <c r="AP1290" s="95"/>
      <c r="AQ1290" s="132"/>
      <c r="AR1290" s="132"/>
    </row>
    <row r="1291" spans="25:44" s="82" customFormat="1" x14ac:dyDescent="0.2">
      <c r="Y1291" s="132"/>
      <c r="Z1291" s="132"/>
      <c r="AA1291" s="132"/>
      <c r="AB1291" s="95"/>
      <c r="AC1291" s="126"/>
      <c r="AD1291" s="340"/>
      <c r="AE1291" s="132"/>
      <c r="AF1291" s="132"/>
      <c r="AG1291" s="132"/>
      <c r="AH1291" s="132"/>
      <c r="AI1291" s="132"/>
      <c r="AJ1291" s="95"/>
      <c r="AK1291" s="95"/>
      <c r="AL1291" s="95"/>
      <c r="AM1291" s="95"/>
      <c r="AN1291" s="132"/>
      <c r="AO1291" s="132"/>
      <c r="AP1291" s="95"/>
      <c r="AQ1291" s="132"/>
      <c r="AR1291" s="132"/>
    </row>
    <row r="1292" spans="25:44" s="82" customFormat="1" x14ac:dyDescent="0.2">
      <c r="Y1292" s="132"/>
      <c r="Z1292" s="132"/>
      <c r="AA1292" s="132"/>
      <c r="AB1292" s="95"/>
      <c r="AC1292" s="126"/>
      <c r="AD1292" s="340"/>
      <c r="AE1292" s="132"/>
      <c r="AF1292" s="132"/>
      <c r="AG1292" s="132"/>
      <c r="AH1292" s="132"/>
      <c r="AI1292" s="132"/>
      <c r="AJ1292" s="95"/>
      <c r="AK1292" s="95"/>
      <c r="AL1292" s="95"/>
      <c r="AM1292" s="95"/>
      <c r="AN1292" s="132"/>
      <c r="AO1292" s="132"/>
      <c r="AP1292" s="95"/>
      <c r="AQ1292" s="132"/>
      <c r="AR1292" s="132"/>
    </row>
    <row r="1293" spans="25:44" s="82" customFormat="1" x14ac:dyDescent="0.2">
      <c r="Y1293" s="132"/>
      <c r="Z1293" s="132"/>
      <c r="AA1293" s="132"/>
      <c r="AB1293" s="95"/>
      <c r="AC1293" s="126"/>
      <c r="AD1293" s="340"/>
      <c r="AE1293" s="132"/>
      <c r="AF1293" s="132"/>
      <c r="AG1293" s="132"/>
      <c r="AH1293" s="132"/>
      <c r="AI1293" s="132"/>
      <c r="AJ1293" s="95"/>
      <c r="AK1293" s="95"/>
      <c r="AL1293" s="95"/>
      <c r="AM1293" s="95"/>
      <c r="AN1293" s="132"/>
      <c r="AO1293" s="132"/>
      <c r="AP1293" s="95"/>
      <c r="AQ1293" s="132"/>
      <c r="AR1293" s="132"/>
    </row>
    <row r="1294" spans="25:44" s="82" customFormat="1" x14ac:dyDescent="0.2">
      <c r="Y1294" s="132"/>
      <c r="Z1294" s="132"/>
      <c r="AA1294" s="132"/>
      <c r="AB1294" s="95"/>
      <c r="AC1294" s="126"/>
      <c r="AD1294" s="340"/>
      <c r="AE1294" s="132"/>
      <c r="AF1294" s="132"/>
      <c r="AG1294" s="132"/>
      <c r="AH1294" s="132"/>
      <c r="AI1294" s="132"/>
      <c r="AJ1294" s="95"/>
      <c r="AK1294" s="95"/>
      <c r="AL1294" s="95"/>
      <c r="AM1294" s="95"/>
      <c r="AN1294" s="132"/>
      <c r="AO1294" s="132"/>
      <c r="AP1294" s="95"/>
      <c r="AQ1294" s="132"/>
      <c r="AR1294" s="132"/>
    </row>
    <row r="1295" spans="25:44" s="82" customFormat="1" x14ac:dyDescent="0.2">
      <c r="Y1295" s="132"/>
      <c r="Z1295" s="132"/>
      <c r="AA1295" s="132"/>
      <c r="AB1295" s="95"/>
      <c r="AC1295" s="126"/>
      <c r="AD1295" s="340"/>
      <c r="AE1295" s="132"/>
      <c r="AF1295" s="132"/>
      <c r="AG1295" s="132"/>
      <c r="AH1295" s="132"/>
      <c r="AI1295" s="132"/>
      <c r="AJ1295" s="95"/>
      <c r="AK1295" s="95"/>
      <c r="AL1295" s="95"/>
      <c r="AM1295" s="95"/>
      <c r="AN1295" s="132"/>
      <c r="AO1295" s="132"/>
      <c r="AP1295" s="95"/>
      <c r="AQ1295" s="132"/>
      <c r="AR1295" s="132"/>
    </row>
    <row r="1296" spans="25:44" s="82" customFormat="1" x14ac:dyDescent="0.2">
      <c r="Y1296" s="132"/>
      <c r="Z1296" s="132"/>
      <c r="AA1296" s="132"/>
      <c r="AB1296" s="95"/>
      <c r="AC1296" s="126"/>
      <c r="AD1296" s="340"/>
      <c r="AE1296" s="132"/>
      <c r="AF1296" s="132"/>
      <c r="AG1296" s="132"/>
      <c r="AH1296" s="132"/>
      <c r="AI1296" s="132"/>
      <c r="AJ1296" s="95"/>
      <c r="AK1296" s="95"/>
      <c r="AL1296" s="95"/>
      <c r="AM1296" s="95"/>
      <c r="AN1296" s="132"/>
      <c r="AO1296" s="132"/>
      <c r="AP1296" s="95"/>
      <c r="AQ1296" s="132"/>
      <c r="AR1296" s="132"/>
    </row>
    <row r="1297" spans="25:44" s="82" customFormat="1" x14ac:dyDescent="0.2">
      <c r="Y1297" s="132"/>
      <c r="Z1297" s="132"/>
      <c r="AA1297" s="132"/>
      <c r="AB1297" s="95"/>
      <c r="AC1297" s="126"/>
      <c r="AD1297" s="340"/>
      <c r="AE1297" s="132"/>
      <c r="AF1297" s="132"/>
      <c r="AG1297" s="132"/>
      <c r="AH1297" s="132"/>
      <c r="AI1297" s="132"/>
      <c r="AJ1297" s="95"/>
      <c r="AK1297" s="95"/>
      <c r="AL1297" s="95"/>
      <c r="AM1297" s="95"/>
      <c r="AN1297" s="132"/>
      <c r="AO1297" s="132"/>
      <c r="AP1297" s="95"/>
      <c r="AQ1297" s="132"/>
      <c r="AR1297" s="132"/>
    </row>
    <row r="1298" spans="25:44" s="82" customFormat="1" x14ac:dyDescent="0.2">
      <c r="Y1298" s="132"/>
      <c r="Z1298" s="132"/>
      <c r="AA1298" s="132"/>
      <c r="AB1298" s="95"/>
      <c r="AC1298" s="126"/>
      <c r="AD1298" s="340"/>
      <c r="AE1298" s="132"/>
      <c r="AF1298" s="132"/>
      <c r="AG1298" s="132"/>
      <c r="AH1298" s="132"/>
      <c r="AI1298" s="132"/>
      <c r="AJ1298" s="95"/>
      <c r="AK1298" s="95"/>
      <c r="AL1298" s="95"/>
      <c r="AM1298" s="95"/>
      <c r="AN1298" s="132"/>
      <c r="AO1298" s="132"/>
      <c r="AP1298" s="95"/>
      <c r="AQ1298" s="132"/>
      <c r="AR1298" s="132"/>
    </row>
    <row r="1299" spans="25:44" s="82" customFormat="1" x14ac:dyDescent="0.2">
      <c r="Y1299" s="132"/>
      <c r="Z1299" s="132"/>
      <c r="AA1299" s="132"/>
      <c r="AB1299" s="95"/>
      <c r="AC1299" s="126"/>
      <c r="AD1299" s="340"/>
      <c r="AE1299" s="132"/>
      <c r="AF1299" s="132"/>
      <c r="AG1299" s="132"/>
      <c r="AH1299" s="132"/>
      <c r="AI1299" s="132"/>
      <c r="AJ1299" s="95"/>
      <c r="AK1299" s="95"/>
      <c r="AL1299" s="95"/>
      <c r="AM1299" s="95"/>
      <c r="AN1299" s="132"/>
      <c r="AO1299" s="132"/>
      <c r="AP1299" s="95"/>
      <c r="AQ1299" s="132"/>
      <c r="AR1299" s="132"/>
    </row>
    <row r="1300" spans="25:44" s="82" customFormat="1" x14ac:dyDescent="0.2">
      <c r="Y1300" s="132"/>
      <c r="Z1300" s="132"/>
      <c r="AA1300" s="132"/>
      <c r="AB1300" s="95"/>
      <c r="AC1300" s="126"/>
      <c r="AD1300" s="340"/>
      <c r="AE1300" s="132"/>
      <c r="AF1300" s="132"/>
      <c r="AG1300" s="132"/>
      <c r="AH1300" s="132"/>
      <c r="AI1300" s="132"/>
      <c r="AJ1300" s="95"/>
      <c r="AK1300" s="95"/>
      <c r="AL1300" s="95"/>
      <c r="AM1300" s="95"/>
      <c r="AN1300" s="132"/>
      <c r="AO1300" s="132"/>
      <c r="AP1300" s="95"/>
      <c r="AQ1300" s="132"/>
      <c r="AR1300" s="132"/>
    </row>
    <row r="1301" spans="25:44" s="82" customFormat="1" x14ac:dyDescent="0.2">
      <c r="Y1301" s="132"/>
      <c r="Z1301" s="132"/>
      <c r="AA1301" s="132"/>
      <c r="AB1301" s="95"/>
      <c r="AC1301" s="126"/>
      <c r="AD1301" s="340"/>
      <c r="AE1301" s="132"/>
      <c r="AF1301" s="132"/>
      <c r="AG1301" s="132"/>
      <c r="AH1301" s="132"/>
      <c r="AI1301" s="132"/>
      <c r="AJ1301" s="95"/>
      <c r="AK1301" s="95"/>
      <c r="AL1301" s="95"/>
      <c r="AM1301" s="95"/>
      <c r="AN1301" s="132"/>
      <c r="AO1301" s="132"/>
      <c r="AP1301" s="95"/>
      <c r="AQ1301" s="132"/>
      <c r="AR1301" s="132"/>
    </row>
    <row r="1302" spans="25:44" s="82" customFormat="1" x14ac:dyDescent="0.2">
      <c r="Y1302" s="132"/>
      <c r="Z1302" s="132"/>
      <c r="AA1302" s="132"/>
      <c r="AB1302" s="95"/>
      <c r="AC1302" s="126"/>
      <c r="AD1302" s="340"/>
      <c r="AE1302" s="132"/>
      <c r="AF1302" s="132"/>
      <c r="AG1302" s="132"/>
      <c r="AH1302" s="132"/>
      <c r="AI1302" s="132"/>
      <c r="AJ1302" s="95"/>
      <c r="AK1302" s="95"/>
      <c r="AL1302" s="95"/>
      <c r="AM1302" s="95"/>
      <c r="AN1302" s="132"/>
      <c r="AO1302" s="132"/>
      <c r="AP1302" s="95"/>
      <c r="AQ1302" s="132"/>
      <c r="AR1302" s="132"/>
    </row>
    <row r="1303" spans="25:44" s="82" customFormat="1" x14ac:dyDescent="0.2">
      <c r="Y1303" s="132"/>
      <c r="Z1303" s="132"/>
      <c r="AA1303" s="132"/>
      <c r="AB1303" s="95"/>
      <c r="AC1303" s="126"/>
      <c r="AD1303" s="340"/>
      <c r="AE1303" s="132"/>
      <c r="AF1303" s="132"/>
      <c r="AG1303" s="132"/>
      <c r="AH1303" s="132"/>
      <c r="AI1303" s="132"/>
      <c r="AJ1303" s="95"/>
      <c r="AK1303" s="95"/>
      <c r="AL1303" s="95"/>
      <c r="AM1303" s="95"/>
      <c r="AN1303" s="132"/>
      <c r="AO1303" s="132"/>
      <c r="AP1303" s="95"/>
      <c r="AQ1303" s="132"/>
      <c r="AR1303" s="132"/>
    </row>
    <row r="1304" spans="25:44" s="82" customFormat="1" x14ac:dyDescent="0.2">
      <c r="Y1304" s="132"/>
      <c r="Z1304" s="132"/>
      <c r="AA1304" s="132"/>
      <c r="AB1304" s="95"/>
      <c r="AC1304" s="126"/>
      <c r="AD1304" s="340"/>
      <c r="AE1304" s="132"/>
      <c r="AF1304" s="132"/>
      <c r="AG1304" s="132"/>
      <c r="AH1304" s="132"/>
      <c r="AI1304" s="132"/>
      <c r="AJ1304" s="95"/>
      <c r="AK1304" s="95"/>
      <c r="AL1304" s="95"/>
      <c r="AM1304" s="95"/>
      <c r="AN1304" s="132"/>
      <c r="AO1304" s="132"/>
      <c r="AP1304" s="95"/>
      <c r="AQ1304" s="132"/>
      <c r="AR1304" s="132"/>
    </row>
    <row r="1305" spans="25:44" s="82" customFormat="1" x14ac:dyDescent="0.2">
      <c r="Y1305" s="132"/>
      <c r="Z1305" s="132"/>
      <c r="AA1305" s="132"/>
      <c r="AB1305" s="95"/>
      <c r="AC1305" s="126"/>
      <c r="AD1305" s="340"/>
      <c r="AE1305" s="132"/>
      <c r="AF1305" s="132"/>
      <c r="AG1305" s="132"/>
      <c r="AH1305" s="132"/>
      <c r="AI1305" s="132"/>
      <c r="AJ1305" s="95"/>
      <c r="AK1305" s="95"/>
      <c r="AL1305" s="95"/>
      <c r="AM1305" s="95"/>
      <c r="AN1305" s="132"/>
      <c r="AO1305" s="132"/>
      <c r="AP1305" s="95"/>
      <c r="AQ1305" s="132"/>
      <c r="AR1305" s="132"/>
    </row>
    <row r="1306" spans="25:44" s="82" customFormat="1" x14ac:dyDescent="0.2">
      <c r="Y1306" s="132"/>
      <c r="Z1306" s="132"/>
      <c r="AA1306" s="132"/>
      <c r="AB1306" s="95"/>
      <c r="AC1306" s="126"/>
      <c r="AD1306" s="340"/>
      <c r="AE1306" s="132"/>
      <c r="AF1306" s="132"/>
      <c r="AG1306" s="132"/>
      <c r="AH1306" s="132"/>
      <c r="AI1306" s="132"/>
      <c r="AJ1306" s="95"/>
      <c r="AK1306" s="95"/>
      <c r="AL1306" s="95"/>
      <c r="AM1306" s="95"/>
      <c r="AN1306" s="132"/>
      <c r="AO1306" s="132"/>
      <c r="AP1306" s="95"/>
      <c r="AQ1306" s="132"/>
      <c r="AR1306" s="132"/>
    </row>
    <row r="1307" spans="25:44" s="82" customFormat="1" x14ac:dyDescent="0.2">
      <c r="Y1307" s="132"/>
      <c r="Z1307" s="132"/>
      <c r="AA1307" s="132"/>
      <c r="AB1307" s="95"/>
      <c r="AC1307" s="126"/>
      <c r="AD1307" s="340"/>
      <c r="AE1307" s="132"/>
      <c r="AF1307" s="132"/>
      <c r="AG1307" s="132"/>
      <c r="AH1307" s="132"/>
      <c r="AI1307" s="132"/>
      <c r="AJ1307" s="95"/>
      <c r="AK1307" s="95"/>
      <c r="AL1307" s="95"/>
      <c r="AM1307" s="95"/>
      <c r="AN1307" s="132"/>
      <c r="AO1307" s="132"/>
      <c r="AP1307" s="95"/>
      <c r="AQ1307" s="132"/>
      <c r="AR1307" s="132"/>
    </row>
    <row r="1308" spans="25:44" s="82" customFormat="1" x14ac:dyDescent="0.2">
      <c r="Y1308" s="132"/>
      <c r="Z1308" s="132"/>
      <c r="AA1308" s="132"/>
      <c r="AB1308" s="95"/>
      <c r="AC1308" s="126"/>
      <c r="AD1308" s="340"/>
      <c r="AE1308" s="132"/>
      <c r="AF1308" s="132"/>
      <c r="AG1308" s="132"/>
      <c r="AH1308" s="132"/>
      <c r="AI1308" s="132"/>
      <c r="AJ1308" s="95"/>
      <c r="AK1308" s="95"/>
      <c r="AL1308" s="95"/>
      <c r="AM1308" s="95"/>
      <c r="AN1308" s="132"/>
      <c r="AO1308" s="132"/>
      <c r="AP1308" s="95"/>
      <c r="AQ1308" s="132"/>
      <c r="AR1308" s="132"/>
    </row>
    <row r="1309" spans="25:44" s="82" customFormat="1" x14ac:dyDescent="0.2">
      <c r="Y1309" s="132"/>
      <c r="Z1309" s="132"/>
      <c r="AA1309" s="132"/>
      <c r="AB1309" s="95"/>
      <c r="AC1309" s="126"/>
      <c r="AD1309" s="340"/>
      <c r="AE1309" s="132"/>
      <c r="AF1309" s="132"/>
      <c r="AG1309" s="132"/>
      <c r="AH1309" s="132"/>
      <c r="AI1309" s="132"/>
      <c r="AJ1309" s="95"/>
      <c r="AK1309" s="95"/>
      <c r="AL1309" s="95"/>
      <c r="AM1309" s="95"/>
      <c r="AN1309" s="132"/>
      <c r="AO1309" s="132"/>
      <c r="AP1309" s="95"/>
      <c r="AQ1309" s="132"/>
      <c r="AR1309" s="132"/>
    </row>
    <row r="1310" spans="25:44" s="82" customFormat="1" x14ac:dyDescent="0.2">
      <c r="Y1310" s="132"/>
      <c r="Z1310" s="132"/>
      <c r="AA1310" s="132"/>
      <c r="AB1310" s="95"/>
      <c r="AC1310" s="126"/>
      <c r="AD1310" s="340"/>
      <c r="AE1310" s="132"/>
      <c r="AF1310" s="132"/>
      <c r="AG1310" s="132"/>
      <c r="AH1310" s="132"/>
      <c r="AI1310" s="132"/>
      <c r="AJ1310" s="95"/>
      <c r="AK1310" s="95"/>
      <c r="AL1310" s="95"/>
      <c r="AM1310" s="95"/>
      <c r="AN1310" s="132"/>
      <c r="AO1310" s="132"/>
      <c r="AP1310" s="95"/>
      <c r="AQ1310" s="132"/>
      <c r="AR1310" s="132"/>
    </row>
    <row r="1311" spans="25:44" s="82" customFormat="1" x14ac:dyDescent="0.2">
      <c r="Y1311" s="132"/>
      <c r="Z1311" s="132"/>
      <c r="AA1311" s="132"/>
      <c r="AB1311" s="95"/>
      <c r="AC1311" s="126"/>
      <c r="AD1311" s="340"/>
      <c r="AE1311" s="132"/>
      <c r="AF1311" s="132"/>
      <c r="AG1311" s="132"/>
      <c r="AH1311" s="132"/>
      <c r="AI1311" s="132"/>
      <c r="AJ1311" s="95"/>
      <c r="AK1311" s="95"/>
      <c r="AL1311" s="95"/>
      <c r="AM1311" s="95"/>
      <c r="AN1311" s="132"/>
      <c r="AO1311" s="132"/>
      <c r="AP1311" s="95"/>
      <c r="AQ1311" s="132"/>
      <c r="AR1311" s="132"/>
    </row>
    <row r="1312" spans="25:44" s="82" customFormat="1" x14ac:dyDescent="0.2">
      <c r="Y1312" s="132"/>
      <c r="Z1312" s="132"/>
      <c r="AA1312" s="132"/>
      <c r="AB1312" s="95"/>
      <c r="AC1312" s="126"/>
      <c r="AD1312" s="340"/>
      <c r="AE1312" s="132"/>
      <c r="AF1312" s="132"/>
      <c r="AG1312" s="132"/>
      <c r="AH1312" s="132"/>
      <c r="AI1312" s="132"/>
      <c r="AJ1312" s="95"/>
      <c r="AK1312" s="95"/>
      <c r="AL1312" s="95"/>
      <c r="AM1312" s="95"/>
      <c r="AN1312" s="132"/>
      <c r="AO1312" s="132"/>
      <c r="AP1312" s="95"/>
      <c r="AQ1312" s="132"/>
      <c r="AR1312" s="132"/>
    </row>
    <row r="1313" spans="25:44" s="82" customFormat="1" x14ac:dyDescent="0.2">
      <c r="Y1313" s="132"/>
      <c r="Z1313" s="132"/>
      <c r="AA1313" s="132"/>
      <c r="AB1313" s="95"/>
      <c r="AC1313" s="126"/>
      <c r="AD1313" s="340"/>
      <c r="AE1313" s="132"/>
      <c r="AF1313" s="132"/>
      <c r="AG1313" s="132"/>
      <c r="AH1313" s="132"/>
      <c r="AI1313" s="132"/>
      <c r="AJ1313" s="95"/>
      <c r="AK1313" s="95"/>
      <c r="AL1313" s="95"/>
      <c r="AM1313" s="95"/>
      <c r="AN1313" s="132"/>
      <c r="AO1313" s="132"/>
      <c r="AP1313" s="95"/>
      <c r="AQ1313" s="132"/>
      <c r="AR1313" s="132"/>
    </row>
    <row r="1314" spans="25:44" s="82" customFormat="1" x14ac:dyDescent="0.2">
      <c r="Y1314" s="132"/>
      <c r="Z1314" s="132"/>
      <c r="AA1314" s="132"/>
      <c r="AB1314" s="95"/>
      <c r="AC1314" s="126"/>
      <c r="AD1314" s="340"/>
      <c r="AE1314" s="132"/>
      <c r="AF1314" s="132"/>
      <c r="AG1314" s="132"/>
      <c r="AH1314" s="132"/>
      <c r="AI1314" s="132"/>
      <c r="AJ1314" s="95"/>
      <c r="AK1314" s="95"/>
      <c r="AL1314" s="95"/>
      <c r="AM1314" s="95"/>
      <c r="AN1314" s="132"/>
      <c r="AO1314" s="132"/>
      <c r="AP1314" s="95"/>
      <c r="AQ1314" s="132"/>
      <c r="AR1314" s="132"/>
    </row>
    <row r="1315" spans="25:44" s="82" customFormat="1" x14ac:dyDescent="0.2">
      <c r="Y1315" s="132"/>
      <c r="Z1315" s="132"/>
      <c r="AA1315" s="132"/>
      <c r="AB1315" s="95"/>
      <c r="AC1315" s="126"/>
      <c r="AD1315" s="340"/>
      <c r="AE1315" s="132"/>
      <c r="AF1315" s="132"/>
      <c r="AG1315" s="132"/>
      <c r="AH1315" s="132"/>
      <c r="AI1315" s="132"/>
      <c r="AJ1315" s="95"/>
      <c r="AK1315" s="95"/>
      <c r="AL1315" s="95"/>
      <c r="AM1315" s="95"/>
      <c r="AN1315" s="132"/>
      <c r="AO1315" s="132"/>
      <c r="AP1315" s="95"/>
      <c r="AQ1315" s="132"/>
      <c r="AR1315" s="132"/>
    </row>
    <row r="1316" spans="25:44" s="82" customFormat="1" x14ac:dyDescent="0.2">
      <c r="Y1316" s="132"/>
      <c r="Z1316" s="132"/>
      <c r="AA1316" s="132"/>
      <c r="AB1316" s="95"/>
      <c r="AC1316" s="126"/>
      <c r="AD1316" s="340"/>
      <c r="AE1316" s="132"/>
      <c r="AF1316" s="132"/>
      <c r="AG1316" s="132"/>
      <c r="AH1316" s="132"/>
      <c r="AI1316" s="132"/>
      <c r="AJ1316" s="95"/>
      <c r="AK1316" s="95"/>
      <c r="AL1316" s="95"/>
      <c r="AM1316" s="95"/>
      <c r="AN1316" s="132"/>
      <c r="AO1316" s="132"/>
      <c r="AP1316" s="95"/>
      <c r="AQ1316" s="132"/>
      <c r="AR1316" s="132"/>
    </row>
    <row r="1317" spans="25:44" s="82" customFormat="1" x14ac:dyDescent="0.2">
      <c r="Y1317" s="132"/>
      <c r="Z1317" s="132"/>
      <c r="AA1317" s="132"/>
      <c r="AB1317" s="95"/>
      <c r="AC1317" s="126"/>
      <c r="AD1317" s="340"/>
      <c r="AE1317" s="132"/>
      <c r="AF1317" s="132"/>
      <c r="AG1317" s="132"/>
      <c r="AH1317" s="132"/>
      <c r="AI1317" s="132"/>
      <c r="AJ1317" s="95"/>
      <c r="AK1317" s="95"/>
      <c r="AL1317" s="95"/>
      <c r="AM1317" s="95"/>
      <c r="AN1317" s="132"/>
      <c r="AO1317" s="132"/>
      <c r="AP1317" s="95"/>
      <c r="AQ1317" s="132"/>
      <c r="AR1317" s="132"/>
    </row>
    <row r="1318" spans="25:44" s="82" customFormat="1" x14ac:dyDescent="0.2">
      <c r="Y1318" s="132"/>
      <c r="Z1318" s="132"/>
      <c r="AA1318" s="132"/>
      <c r="AB1318" s="95"/>
      <c r="AC1318" s="126"/>
      <c r="AD1318" s="340"/>
      <c r="AE1318" s="132"/>
      <c r="AF1318" s="132"/>
      <c r="AG1318" s="132"/>
      <c r="AH1318" s="132"/>
      <c r="AI1318" s="132"/>
      <c r="AJ1318" s="95"/>
      <c r="AK1318" s="95"/>
      <c r="AL1318" s="95"/>
      <c r="AM1318" s="95"/>
      <c r="AN1318" s="132"/>
      <c r="AO1318" s="132"/>
      <c r="AP1318" s="95"/>
      <c r="AQ1318" s="132"/>
      <c r="AR1318" s="132"/>
    </row>
    <row r="1319" spans="25:44" s="82" customFormat="1" x14ac:dyDescent="0.2">
      <c r="Y1319" s="132"/>
      <c r="Z1319" s="132"/>
      <c r="AA1319" s="132"/>
      <c r="AB1319" s="95"/>
      <c r="AC1319" s="126"/>
      <c r="AD1319" s="340"/>
      <c r="AE1319" s="132"/>
      <c r="AF1319" s="132"/>
      <c r="AG1319" s="132"/>
      <c r="AH1319" s="132"/>
      <c r="AI1319" s="132"/>
      <c r="AJ1319" s="95"/>
      <c r="AK1319" s="95"/>
      <c r="AL1319" s="95"/>
      <c r="AM1319" s="95"/>
      <c r="AN1319" s="132"/>
      <c r="AO1319" s="132"/>
      <c r="AP1319" s="95"/>
      <c r="AQ1319" s="132"/>
      <c r="AR1319" s="132"/>
    </row>
    <row r="1320" spans="25:44" s="82" customFormat="1" x14ac:dyDescent="0.2">
      <c r="Y1320" s="132"/>
      <c r="Z1320" s="132"/>
      <c r="AA1320" s="132"/>
      <c r="AB1320" s="95"/>
      <c r="AC1320" s="126"/>
      <c r="AD1320" s="340"/>
      <c r="AE1320" s="132"/>
      <c r="AF1320" s="132"/>
      <c r="AG1320" s="132"/>
      <c r="AH1320" s="132"/>
      <c r="AI1320" s="132"/>
      <c r="AJ1320" s="95"/>
      <c r="AK1320" s="95"/>
      <c r="AL1320" s="95"/>
      <c r="AM1320" s="95"/>
      <c r="AN1320" s="132"/>
      <c r="AO1320" s="132"/>
      <c r="AP1320" s="95"/>
      <c r="AQ1320" s="132"/>
      <c r="AR1320" s="132"/>
    </row>
    <row r="1321" spans="25:44" s="82" customFormat="1" x14ac:dyDescent="0.2">
      <c r="Y1321" s="132"/>
      <c r="Z1321" s="132"/>
      <c r="AA1321" s="132"/>
      <c r="AB1321" s="95"/>
      <c r="AC1321" s="126"/>
      <c r="AD1321" s="340"/>
      <c r="AE1321" s="132"/>
      <c r="AF1321" s="132"/>
      <c r="AG1321" s="132"/>
      <c r="AH1321" s="132"/>
      <c r="AI1321" s="132"/>
      <c r="AJ1321" s="95"/>
      <c r="AK1321" s="95"/>
      <c r="AL1321" s="95"/>
      <c r="AM1321" s="95"/>
      <c r="AN1321" s="132"/>
      <c r="AO1321" s="132"/>
      <c r="AP1321" s="95"/>
      <c r="AQ1321" s="132"/>
      <c r="AR1321" s="132"/>
    </row>
    <row r="1322" spans="25:44" s="82" customFormat="1" x14ac:dyDescent="0.2">
      <c r="Y1322" s="132"/>
      <c r="Z1322" s="132"/>
      <c r="AA1322" s="132"/>
      <c r="AB1322" s="95"/>
      <c r="AC1322" s="126"/>
      <c r="AD1322" s="340"/>
      <c r="AE1322" s="132"/>
      <c r="AF1322" s="132"/>
      <c r="AG1322" s="132"/>
      <c r="AH1322" s="132"/>
      <c r="AI1322" s="132"/>
      <c r="AJ1322" s="95"/>
      <c r="AK1322" s="95"/>
      <c r="AL1322" s="95"/>
      <c r="AM1322" s="95"/>
      <c r="AN1322" s="132"/>
      <c r="AO1322" s="132"/>
      <c r="AP1322" s="95"/>
      <c r="AQ1322" s="132"/>
      <c r="AR1322" s="132"/>
    </row>
    <row r="1323" spans="25:44" s="82" customFormat="1" x14ac:dyDescent="0.2">
      <c r="Y1323" s="132"/>
      <c r="Z1323" s="132"/>
      <c r="AA1323" s="132"/>
      <c r="AB1323" s="95"/>
      <c r="AC1323" s="126"/>
      <c r="AD1323" s="340"/>
      <c r="AE1323" s="132"/>
      <c r="AF1323" s="132"/>
      <c r="AG1323" s="132"/>
      <c r="AH1323" s="132"/>
      <c r="AI1323" s="132"/>
      <c r="AJ1323" s="95"/>
      <c r="AK1323" s="95"/>
      <c r="AL1323" s="95"/>
      <c r="AM1323" s="95"/>
      <c r="AN1323" s="132"/>
      <c r="AO1323" s="132"/>
      <c r="AP1323" s="95"/>
      <c r="AQ1323" s="132"/>
      <c r="AR1323" s="132"/>
    </row>
    <row r="1324" spans="25:44" s="82" customFormat="1" x14ac:dyDescent="0.2">
      <c r="Y1324" s="132"/>
      <c r="Z1324" s="132"/>
      <c r="AA1324" s="132"/>
      <c r="AB1324" s="95"/>
      <c r="AC1324" s="126"/>
      <c r="AD1324" s="340"/>
      <c r="AE1324" s="132"/>
      <c r="AF1324" s="132"/>
      <c r="AG1324" s="132"/>
      <c r="AH1324" s="132"/>
      <c r="AI1324" s="132"/>
      <c r="AJ1324" s="95"/>
      <c r="AK1324" s="95"/>
      <c r="AL1324" s="95"/>
      <c r="AM1324" s="95"/>
      <c r="AN1324" s="132"/>
      <c r="AO1324" s="132"/>
      <c r="AP1324" s="95"/>
      <c r="AQ1324" s="132"/>
      <c r="AR1324" s="132"/>
    </row>
    <row r="1325" spans="25:44" s="82" customFormat="1" x14ac:dyDescent="0.2">
      <c r="Y1325" s="132"/>
      <c r="Z1325" s="132"/>
      <c r="AA1325" s="132"/>
      <c r="AB1325" s="95"/>
      <c r="AC1325" s="126"/>
      <c r="AD1325" s="340"/>
      <c r="AE1325" s="132"/>
      <c r="AF1325" s="132"/>
      <c r="AG1325" s="132"/>
      <c r="AH1325" s="132"/>
      <c r="AI1325" s="132"/>
      <c r="AJ1325" s="95"/>
      <c r="AK1325" s="95"/>
      <c r="AL1325" s="95"/>
      <c r="AM1325" s="95"/>
      <c r="AN1325" s="132"/>
      <c r="AO1325" s="132"/>
      <c r="AP1325" s="95"/>
      <c r="AQ1325" s="132"/>
      <c r="AR1325" s="132"/>
    </row>
    <row r="1326" spans="25:44" s="82" customFormat="1" x14ac:dyDescent="0.2">
      <c r="Y1326" s="132"/>
      <c r="Z1326" s="132"/>
      <c r="AA1326" s="132"/>
      <c r="AB1326" s="95"/>
      <c r="AC1326" s="126"/>
      <c r="AD1326" s="340"/>
      <c r="AE1326" s="132"/>
      <c r="AF1326" s="132"/>
      <c r="AG1326" s="132"/>
      <c r="AH1326" s="132"/>
      <c r="AI1326" s="132"/>
      <c r="AJ1326" s="95"/>
      <c r="AK1326" s="95"/>
      <c r="AL1326" s="95"/>
      <c r="AM1326" s="95"/>
      <c r="AN1326" s="132"/>
      <c r="AO1326" s="132"/>
      <c r="AP1326" s="95"/>
      <c r="AQ1326" s="132"/>
      <c r="AR1326" s="132"/>
    </row>
    <row r="1327" spans="25:44" s="82" customFormat="1" x14ac:dyDescent="0.2">
      <c r="Y1327" s="132"/>
      <c r="Z1327" s="132"/>
      <c r="AA1327" s="132"/>
      <c r="AB1327" s="95"/>
      <c r="AC1327" s="126"/>
      <c r="AD1327" s="340"/>
      <c r="AE1327" s="132"/>
      <c r="AF1327" s="132"/>
      <c r="AG1327" s="132"/>
      <c r="AH1327" s="132"/>
      <c r="AI1327" s="132"/>
      <c r="AJ1327" s="95"/>
      <c r="AK1327" s="95"/>
      <c r="AL1327" s="95"/>
      <c r="AM1327" s="95"/>
      <c r="AN1327" s="132"/>
      <c r="AO1327" s="132"/>
      <c r="AP1327" s="95"/>
      <c r="AQ1327" s="132"/>
      <c r="AR1327" s="132"/>
    </row>
    <row r="1328" spans="25:44" s="82" customFormat="1" x14ac:dyDescent="0.2">
      <c r="Y1328" s="132"/>
      <c r="Z1328" s="132"/>
      <c r="AA1328" s="132"/>
      <c r="AB1328" s="95"/>
      <c r="AC1328" s="126"/>
      <c r="AD1328" s="340"/>
      <c r="AE1328" s="132"/>
      <c r="AF1328" s="132"/>
      <c r="AG1328" s="132"/>
      <c r="AH1328" s="132"/>
      <c r="AI1328" s="132"/>
      <c r="AJ1328" s="95"/>
      <c r="AK1328" s="95"/>
      <c r="AL1328" s="95"/>
      <c r="AM1328" s="95"/>
      <c r="AN1328" s="132"/>
      <c r="AO1328" s="132"/>
      <c r="AP1328" s="95"/>
      <c r="AQ1328" s="132"/>
      <c r="AR1328" s="132"/>
    </row>
    <row r="1329" spans="25:44" s="82" customFormat="1" x14ac:dyDescent="0.2">
      <c r="Y1329" s="132"/>
      <c r="Z1329" s="132"/>
      <c r="AA1329" s="132"/>
      <c r="AB1329" s="95"/>
      <c r="AC1329" s="126"/>
      <c r="AD1329" s="340"/>
      <c r="AE1329" s="132"/>
      <c r="AF1329" s="132"/>
      <c r="AG1329" s="132"/>
      <c r="AH1329" s="132"/>
      <c r="AI1329" s="132"/>
      <c r="AJ1329" s="95"/>
      <c r="AK1329" s="95"/>
      <c r="AL1329" s="95"/>
      <c r="AM1329" s="95"/>
      <c r="AN1329" s="132"/>
      <c r="AO1329" s="132"/>
      <c r="AP1329" s="95"/>
      <c r="AQ1329" s="132"/>
      <c r="AR1329" s="132"/>
    </row>
    <row r="1330" spans="25:44" s="82" customFormat="1" x14ac:dyDescent="0.2">
      <c r="Y1330" s="132"/>
      <c r="Z1330" s="132"/>
      <c r="AA1330" s="132"/>
      <c r="AB1330" s="95"/>
      <c r="AC1330" s="126"/>
      <c r="AD1330" s="340"/>
      <c r="AE1330" s="132"/>
      <c r="AF1330" s="132"/>
      <c r="AG1330" s="132"/>
      <c r="AH1330" s="132"/>
      <c r="AI1330" s="132"/>
      <c r="AJ1330" s="95"/>
      <c r="AK1330" s="95"/>
      <c r="AL1330" s="95"/>
      <c r="AM1330" s="95"/>
      <c r="AN1330" s="132"/>
      <c r="AO1330" s="132"/>
      <c r="AP1330" s="95"/>
      <c r="AQ1330" s="132"/>
      <c r="AR1330" s="132"/>
    </row>
    <row r="1331" spans="25:44" s="82" customFormat="1" x14ac:dyDescent="0.2">
      <c r="Y1331" s="132"/>
      <c r="Z1331" s="132"/>
      <c r="AA1331" s="132"/>
      <c r="AB1331" s="95"/>
      <c r="AC1331" s="126"/>
      <c r="AD1331" s="340"/>
      <c r="AE1331" s="132"/>
      <c r="AF1331" s="132"/>
      <c r="AG1331" s="132"/>
      <c r="AH1331" s="132"/>
      <c r="AI1331" s="132"/>
      <c r="AJ1331" s="95"/>
      <c r="AK1331" s="95"/>
      <c r="AL1331" s="95"/>
      <c r="AM1331" s="95"/>
      <c r="AN1331" s="132"/>
      <c r="AO1331" s="132"/>
      <c r="AP1331" s="95"/>
      <c r="AQ1331" s="132"/>
      <c r="AR1331" s="132"/>
    </row>
    <row r="1332" spans="25:44" s="82" customFormat="1" x14ac:dyDescent="0.2">
      <c r="Y1332" s="132"/>
      <c r="Z1332" s="132"/>
      <c r="AA1332" s="132"/>
      <c r="AB1332" s="95"/>
      <c r="AC1332" s="126"/>
      <c r="AD1332" s="340"/>
      <c r="AE1332" s="132"/>
      <c r="AF1332" s="132"/>
      <c r="AG1332" s="132"/>
      <c r="AH1332" s="132"/>
      <c r="AI1332" s="132"/>
      <c r="AJ1332" s="95"/>
      <c r="AK1332" s="95"/>
      <c r="AL1332" s="95"/>
      <c r="AM1332" s="95"/>
      <c r="AN1332" s="132"/>
      <c r="AO1332" s="132"/>
      <c r="AP1332" s="95"/>
      <c r="AQ1332" s="132"/>
      <c r="AR1332" s="132"/>
    </row>
    <row r="1333" spans="25:44" s="82" customFormat="1" x14ac:dyDescent="0.2">
      <c r="Y1333" s="132"/>
      <c r="Z1333" s="132"/>
      <c r="AA1333" s="132"/>
      <c r="AB1333" s="95"/>
      <c r="AC1333" s="126"/>
      <c r="AD1333" s="340"/>
      <c r="AE1333" s="132"/>
      <c r="AF1333" s="132"/>
      <c r="AG1333" s="132"/>
      <c r="AH1333" s="132"/>
      <c r="AI1333" s="132"/>
      <c r="AJ1333" s="95"/>
      <c r="AK1333" s="95"/>
      <c r="AL1333" s="95"/>
      <c r="AM1333" s="95"/>
      <c r="AN1333" s="132"/>
      <c r="AO1333" s="132"/>
      <c r="AP1333" s="95"/>
      <c r="AQ1333" s="132"/>
      <c r="AR1333" s="132"/>
    </row>
    <row r="1334" spans="25:44" s="82" customFormat="1" x14ac:dyDescent="0.2">
      <c r="Y1334" s="132"/>
      <c r="Z1334" s="132"/>
      <c r="AA1334" s="132"/>
      <c r="AB1334" s="95"/>
      <c r="AC1334" s="126"/>
      <c r="AD1334" s="340"/>
      <c r="AE1334" s="132"/>
      <c r="AF1334" s="132"/>
      <c r="AG1334" s="132"/>
      <c r="AH1334" s="132"/>
      <c r="AI1334" s="132"/>
      <c r="AJ1334" s="95"/>
      <c r="AK1334" s="95"/>
      <c r="AL1334" s="95"/>
      <c r="AM1334" s="95"/>
      <c r="AN1334" s="132"/>
      <c r="AO1334" s="132"/>
      <c r="AP1334" s="95"/>
      <c r="AQ1334" s="132"/>
      <c r="AR1334" s="132"/>
    </row>
    <row r="1335" spans="25:44" s="82" customFormat="1" x14ac:dyDescent="0.2">
      <c r="Y1335" s="132"/>
      <c r="Z1335" s="132"/>
      <c r="AA1335" s="132"/>
      <c r="AB1335" s="95"/>
      <c r="AC1335" s="126"/>
      <c r="AD1335" s="340"/>
      <c r="AE1335" s="132"/>
      <c r="AF1335" s="132"/>
      <c r="AG1335" s="132"/>
      <c r="AH1335" s="132"/>
      <c r="AI1335" s="132"/>
      <c r="AJ1335" s="95"/>
      <c r="AK1335" s="95"/>
      <c r="AL1335" s="95"/>
      <c r="AM1335" s="95"/>
      <c r="AN1335" s="132"/>
      <c r="AO1335" s="132"/>
      <c r="AP1335" s="95"/>
      <c r="AQ1335" s="132"/>
      <c r="AR1335" s="132"/>
    </row>
    <row r="1336" spans="25:44" s="82" customFormat="1" x14ac:dyDescent="0.2">
      <c r="Y1336" s="132"/>
      <c r="Z1336" s="132"/>
      <c r="AA1336" s="132"/>
      <c r="AB1336" s="95"/>
      <c r="AC1336" s="126"/>
      <c r="AD1336" s="340"/>
      <c r="AE1336" s="132"/>
      <c r="AF1336" s="132"/>
      <c r="AG1336" s="132"/>
      <c r="AH1336" s="132"/>
      <c r="AI1336" s="132"/>
      <c r="AJ1336" s="95"/>
      <c r="AK1336" s="95"/>
      <c r="AL1336" s="95"/>
      <c r="AM1336" s="95"/>
      <c r="AN1336" s="132"/>
      <c r="AO1336" s="132"/>
      <c r="AP1336" s="95"/>
      <c r="AQ1336" s="132"/>
      <c r="AR1336" s="132"/>
    </row>
    <row r="1337" spans="25:44" s="82" customFormat="1" x14ac:dyDescent="0.2">
      <c r="Y1337" s="132"/>
      <c r="Z1337" s="132"/>
      <c r="AA1337" s="132"/>
      <c r="AB1337" s="95"/>
      <c r="AC1337" s="126"/>
      <c r="AD1337" s="340"/>
      <c r="AE1337" s="132"/>
      <c r="AF1337" s="132"/>
      <c r="AG1337" s="132"/>
      <c r="AH1337" s="132"/>
      <c r="AI1337" s="132"/>
      <c r="AJ1337" s="95"/>
      <c r="AK1337" s="95"/>
      <c r="AL1337" s="95"/>
      <c r="AM1337" s="95"/>
      <c r="AN1337" s="132"/>
      <c r="AO1337" s="132"/>
      <c r="AP1337" s="95"/>
      <c r="AQ1337" s="132"/>
      <c r="AR1337" s="132"/>
    </row>
    <row r="1338" spans="25:44" s="82" customFormat="1" x14ac:dyDescent="0.2">
      <c r="Y1338" s="132"/>
      <c r="Z1338" s="132"/>
      <c r="AA1338" s="132"/>
      <c r="AB1338" s="95"/>
      <c r="AC1338" s="126"/>
      <c r="AD1338" s="340"/>
      <c r="AE1338" s="132"/>
      <c r="AF1338" s="132"/>
      <c r="AG1338" s="132"/>
      <c r="AH1338" s="132"/>
      <c r="AI1338" s="132"/>
      <c r="AJ1338" s="95"/>
      <c r="AK1338" s="95"/>
      <c r="AL1338" s="95"/>
      <c r="AM1338" s="95"/>
      <c r="AN1338" s="132"/>
      <c r="AO1338" s="132"/>
      <c r="AP1338" s="95"/>
      <c r="AQ1338" s="132"/>
      <c r="AR1338" s="132"/>
    </row>
    <row r="1339" spans="25:44" s="82" customFormat="1" x14ac:dyDescent="0.2">
      <c r="Y1339" s="132"/>
      <c r="Z1339" s="132"/>
      <c r="AA1339" s="132"/>
      <c r="AB1339" s="95"/>
      <c r="AC1339" s="126"/>
      <c r="AD1339" s="340"/>
      <c r="AE1339" s="132"/>
      <c r="AF1339" s="132"/>
      <c r="AG1339" s="132"/>
      <c r="AH1339" s="132"/>
      <c r="AI1339" s="132"/>
      <c r="AJ1339" s="95"/>
      <c r="AK1339" s="95"/>
      <c r="AL1339" s="95"/>
      <c r="AM1339" s="95"/>
      <c r="AN1339" s="132"/>
      <c r="AO1339" s="132"/>
      <c r="AP1339" s="95"/>
      <c r="AQ1339" s="132"/>
      <c r="AR1339" s="132"/>
    </row>
    <row r="1340" spans="25:44" s="82" customFormat="1" x14ac:dyDescent="0.2">
      <c r="Y1340" s="132"/>
      <c r="Z1340" s="132"/>
      <c r="AA1340" s="132"/>
      <c r="AB1340" s="95"/>
      <c r="AC1340" s="126"/>
      <c r="AD1340" s="340"/>
      <c r="AE1340" s="132"/>
      <c r="AF1340" s="132"/>
      <c r="AG1340" s="132"/>
      <c r="AH1340" s="132"/>
      <c r="AI1340" s="132"/>
      <c r="AJ1340" s="95"/>
      <c r="AK1340" s="95"/>
      <c r="AL1340" s="95"/>
      <c r="AM1340" s="95"/>
      <c r="AN1340" s="132"/>
      <c r="AO1340" s="132"/>
      <c r="AP1340" s="95"/>
      <c r="AQ1340" s="132"/>
      <c r="AR1340" s="132"/>
    </row>
    <row r="1341" spans="25:44" s="82" customFormat="1" x14ac:dyDescent="0.2">
      <c r="Y1341" s="132"/>
      <c r="Z1341" s="132"/>
      <c r="AA1341" s="132"/>
      <c r="AB1341" s="95"/>
      <c r="AC1341" s="126"/>
      <c r="AD1341" s="340"/>
      <c r="AE1341" s="132"/>
      <c r="AF1341" s="132"/>
      <c r="AG1341" s="132"/>
      <c r="AH1341" s="132"/>
      <c r="AI1341" s="132"/>
      <c r="AJ1341" s="95"/>
      <c r="AK1341" s="95"/>
      <c r="AL1341" s="95"/>
      <c r="AM1341" s="95"/>
      <c r="AN1341" s="132"/>
      <c r="AO1341" s="132"/>
      <c r="AP1341" s="95"/>
      <c r="AQ1341" s="132"/>
      <c r="AR1341" s="132"/>
    </row>
    <row r="1342" spans="25:44" s="82" customFormat="1" x14ac:dyDescent="0.2">
      <c r="Y1342" s="132"/>
      <c r="Z1342" s="132"/>
      <c r="AA1342" s="132"/>
      <c r="AB1342" s="95"/>
      <c r="AC1342" s="126"/>
      <c r="AD1342" s="340"/>
      <c r="AE1342" s="132"/>
      <c r="AF1342" s="132"/>
      <c r="AG1342" s="132"/>
      <c r="AH1342" s="132"/>
      <c r="AI1342" s="132"/>
      <c r="AJ1342" s="95"/>
      <c r="AK1342" s="95"/>
      <c r="AL1342" s="95"/>
      <c r="AM1342" s="95"/>
      <c r="AN1342" s="132"/>
      <c r="AO1342" s="132"/>
      <c r="AP1342" s="95"/>
      <c r="AQ1342" s="132"/>
      <c r="AR1342" s="132"/>
    </row>
    <row r="1343" spans="25:44" s="82" customFormat="1" x14ac:dyDescent="0.2">
      <c r="Y1343" s="132"/>
      <c r="Z1343" s="132"/>
      <c r="AA1343" s="132"/>
      <c r="AB1343" s="95"/>
      <c r="AC1343" s="126"/>
      <c r="AD1343" s="340"/>
      <c r="AE1343" s="132"/>
      <c r="AF1343" s="132"/>
      <c r="AG1343" s="132"/>
      <c r="AH1343" s="132"/>
      <c r="AI1343" s="132"/>
      <c r="AJ1343" s="95"/>
      <c r="AK1343" s="95"/>
      <c r="AL1343" s="95"/>
      <c r="AM1343" s="95"/>
      <c r="AN1343" s="132"/>
      <c r="AO1343" s="132"/>
      <c r="AP1343" s="95"/>
      <c r="AQ1343" s="132"/>
      <c r="AR1343" s="132"/>
    </row>
    <row r="1344" spans="25:44" s="82" customFormat="1" x14ac:dyDescent="0.2">
      <c r="Y1344" s="132"/>
      <c r="Z1344" s="132"/>
      <c r="AA1344" s="132"/>
      <c r="AB1344" s="95"/>
      <c r="AC1344" s="126"/>
      <c r="AD1344" s="340"/>
      <c r="AE1344" s="132"/>
      <c r="AF1344" s="132"/>
      <c r="AG1344" s="132"/>
      <c r="AH1344" s="132"/>
      <c r="AI1344" s="132"/>
      <c r="AJ1344" s="95"/>
      <c r="AK1344" s="95"/>
      <c r="AL1344" s="95"/>
      <c r="AM1344" s="95"/>
      <c r="AN1344" s="132"/>
      <c r="AO1344" s="132"/>
      <c r="AP1344" s="95"/>
      <c r="AQ1344" s="132"/>
      <c r="AR1344" s="132"/>
    </row>
    <row r="1345" spans="25:44" s="82" customFormat="1" x14ac:dyDescent="0.2">
      <c r="Y1345" s="132"/>
      <c r="Z1345" s="132"/>
      <c r="AA1345" s="132"/>
      <c r="AB1345" s="95"/>
      <c r="AC1345" s="126"/>
      <c r="AD1345" s="340"/>
      <c r="AE1345" s="132"/>
      <c r="AF1345" s="132"/>
      <c r="AG1345" s="132"/>
      <c r="AH1345" s="132"/>
      <c r="AI1345" s="132"/>
      <c r="AJ1345" s="95"/>
      <c r="AK1345" s="95"/>
      <c r="AL1345" s="95"/>
      <c r="AM1345" s="95"/>
      <c r="AN1345" s="132"/>
      <c r="AO1345" s="132"/>
      <c r="AP1345" s="95"/>
      <c r="AQ1345" s="132"/>
      <c r="AR1345" s="132"/>
    </row>
    <row r="1346" spans="25:44" s="82" customFormat="1" x14ac:dyDescent="0.2">
      <c r="Y1346" s="132"/>
      <c r="Z1346" s="132"/>
      <c r="AA1346" s="132"/>
      <c r="AB1346" s="95"/>
      <c r="AC1346" s="126"/>
      <c r="AD1346" s="340"/>
      <c r="AE1346" s="132"/>
      <c r="AF1346" s="132"/>
      <c r="AG1346" s="132"/>
      <c r="AH1346" s="132"/>
      <c r="AI1346" s="132"/>
      <c r="AJ1346" s="95"/>
      <c r="AK1346" s="95"/>
      <c r="AL1346" s="95"/>
      <c r="AM1346" s="95"/>
      <c r="AN1346" s="132"/>
      <c r="AO1346" s="132"/>
      <c r="AP1346" s="95"/>
      <c r="AQ1346" s="132"/>
      <c r="AR1346" s="132"/>
    </row>
    <row r="1347" spans="25:44" s="82" customFormat="1" x14ac:dyDescent="0.2">
      <c r="Y1347" s="132"/>
      <c r="Z1347" s="132"/>
      <c r="AA1347" s="132"/>
      <c r="AB1347" s="95"/>
      <c r="AC1347" s="126"/>
      <c r="AD1347" s="340"/>
      <c r="AE1347" s="132"/>
      <c r="AF1347" s="132"/>
      <c r="AG1347" s="132"/>
      <c r="AH1347" s="132"/>
      <c r="AI1347" s="132"/>
      <c r="AJ1347" s="95"/>
      <c r="AK1347" s="95"/>
      <c r="AL1347" s="95"/>
      <c r="AM1347" s="95"/>
      <c r="AN1347" s="132"/>
      <c r="AO1347" s="132"/>
      <c r="AP1347" s="95"/>
      <c r="AQ1347" s="132"/>
      <c r="AR1347" s="132"/>
    </row>
    <row r="1348" spans="25:44" s="82" customFormat="1" x14ac:dyDescent="0.2">
      <c r="Y1348" s="132"/>
      <c r="Z1348" s="132"/>
      <c r="AA1348" s="132"/>
      <c r="AB1348" s="95"/>
      <c r="AC1348" s="126"/>
      <c r="AD1348" s="340"/>
      <c r="AE1348" s="132"/>
      <c r="AF1348" s="132"/>
      <c r="AG1348" s="132"/>
      <c r="AH1348" s="132"/>
      <c r="AI1348" s="132"/>
      <c r="AJ1348" s="95"/>
      <c r="AK1348" s="95"/>
      <c r="AL1348" s="95"/>
      <c r="AM1348" s="95"/>
      <c r="AN1348" s="132"/>
      <c r="AO1348" s="132"/>
      <c r="AP1348" s="95"/>
      <c r="AQ1348" s="132"/>
      <c r="AR1348" s="132"/>
    </row>
    <row r="1349" spans="25:44" s="82" customFormat="1" x14ac:dyDescent="0.2">
      <c r="Y1349" s="132"/>
      <c r="Z1349" s="132"/>
      <c r="AA1349" s="132"/>
      <c r="AB1349" s="95"/>
      <c r="AC1349" s="126"/>
      <c r="AD1349" s="340"/>
      <c r="AE1349" s="132"/>
      <c r="AF1349" s="132"/>
      <c r="AG1349" s="132"/>
      <c r="AH1349" s="132"/>
      <c r="AI1349" s="132"/>
      <c r="AJ1349" s="95"/>
      <c r="AK1349" s="95"/>
      <c r="AL1349" s="95"/>
      <c r="AM1349" s="95"/>
      <c r="AN1349" s="132"/>
      <c r="AO1349" s="132"/>
      <c r="AP1349" s="95"/>
      <c r="AQ1349" s="132"/>
      <c r="AR1349" s="132"/>
    </row>
    <row r="1350" spans="25:44" s="82" customFormat="1" x14ac:dyDescent="0.2">
      <c r="Y1350" s="132"/>
      <c r="Z1350" s="132"/>
      <c r="AA1350" s="132"/>
      <c r="AB1350" s="95"/>
      <c r="AC1350" s="126"/>
      <c r="AD1350" s="340"/>
      <c r="AE1350" s="132"/>
      <c r="AF1350" s="132"/>
      <c r="AG1350" s="132"/>
      <c r="AH1350" s="132"/>
      <c r="AI1350" s="132"/>
      <c r="AJ1350" s="95"/>
      <c r="AK1350" s="95"/>
      <c r="AL1350" s="95"/>
      <c r="AM1350" s="95"/>
      <c r="AN1350" s="132"/>
      <c r="AO1350" s="132"/>
      <c r="AP1350" s="95"/>
      <c r="AQ1350" s="132"/>
      <c r="AR1350" s="132"/>
    </row>
    <row r="1351" spans="25:44" s="82" customFormat="1" x14ac:dyDescent="0.2">
      <c r="Y1351" s="132"/>
      <c r="Z1351" s="132"/>
      <c r="AA1351" s="132"/>
      <c r="AB1351" s="95"/>
      <c r="AC1351" s="126"/>
      <c r="AD1351" s="340"/>
      <c r="AE1351" s="132"/>
      <c r="AF1351" s="132"/>
      <c r="AG1351" s="132"/>
      <c r="AH1351" s="132"/>
      <c r="AI1351" s="132"/>
      <c r="AJ1351" s="95"/>
      <c r="AK1351" s="95"/>
      <c r="AL1351" s="95"/>
      <c r="AM1351" s="95"/>
      <c r="AN1351" s="132"/>
      <c r="AO1351" s="132"/>
      <c r="AP1351" s="95"/>
      <c r="AQ1351" s="132"/>
      <c r="AR1351" s="132"/>
    </row>
    <row r="1352" spans="25:44" s="82" customFormat="1" x14ac:dyDescent="0.2">
      <c r="Y1352" s="132"/>
      <c r="Z1352" s="132"/>
      <c r="AA1352" s="132"/>
      <c r="AB1352" s="95"/>
      <c r="AC1352" s="126"/>
      <c r="AD1352" s="340"/>
      <c r="AE1352" s="132"/>
      <c r="AF1352" s="132"/>
      <c r="AG1352" s="132"/>
      <c r="AH1352" s="132"/>
      <c r="AI1352" s="132"/>
      <c r="AJ1352" s="95"/>
      <c r="AK1352" s="95"/>
      <c r="AL1352" s="95"/>
      <c r="AM1352" s="95"/>
      <c r="AN1352" s="132"/>
      <c r="AO1352" s="132"/>
      <c r="AP1352" s="95"/>
      <c r="AQ1352" s="132"/>
      <c r="AR1352" s="132"/>
    </row>
    <row r="1353" spans="25:44" s="82" customFormat="1" x14ac:dyDescent="0.2">
      <c r="Y1353" s="132"/>
      <c r="Z1353" s="132"/>
      <c r="AA1353" s="132"/>
      <c r="AB1353" s="95"/>
      <c r="AC1353" s="126"/>
      <c r="AD1353" s="340"/>
      <c r="AE1353" s="132"/>
      <c r="AF1353" s="132"/>
      <c r="AG1353" s="132"/>
      <c r="AH1353" s="132"/>
      <c r="AI1353" s="132"/>
      <c r="AJ1353" s="95"/>
      <c r="AK1353" s="95"/>
      <c r="AL1353" s="95"/>
      <c r="AM1353" s="95"/>
      <c r="AN1353" s="132"/>
      <c r="AO1353" s="132"/>
      <c r="AP1353" s="95"/>
      <c r="AQ1353" s="132"/>
      <c r="AR1353" s="132"/>
    </row>
    <row r="1354" spans="25:44" s="82" customFormat="1" x14ac:dyDescent="0.2">
      <c r="Y1354" s="132"/>
      <c r="Z1354" s="132"/>
      <c r="AA1354" s="132"/>
      <c r="AB1354" s="95"/>
      <c r="AC1354" s="126"/>
      <c r="AD1354" s="340"/>
      <c r="AE1354" s="132"/>
      <c r="AF1354" s="132"/>
      <c r="AG1354" s="132"/>
      <c r="AH1354" s="132"/>
      <c r="AI1354" s="132"/>
      <c r="AJ1354" s="95"/>
      <c r="AK1354" s="95"/>
      <c r="AL1354" s="95"/>
      <c r="AM1354" s="95"/>
      <c r="AN1354" s="132"/>
      <c r="AO1354" s="132"/>
      <c r="AP1354" s="95"/>
      <c r="AQ1354" s="132"/>
      <c r="AR1354" s="132"/>
    </row>
    <row r="1355" spans="25:44" s="82" customFormat="1" x14ac:dyDescent="0.2">
      <c r="Y1355" s="132"/>
      <c r="Z1355" s="132"/>
      <c r="AA1355" s="132"/>
      <c r="AB1355" s="95"/>
      <c r="AC1355" s="126"/>
      <c r="AD1355" s="340"/>
      <c r="AE1355" s="132"/>
      <c r="AF1355" s="132"/>
      <c r="AG1355" s="132"/>
      <c r="AH1355" s="132"/>
      <c r="AI1355" s="132"/>
      <c r="AJ1355" s="95"/>
      <c r="AK1355" s="95"/>
      <c r="AL1355" s="95"/>
      <c r="AM1355" s="95"/>
      <c r="AN1355" s="132"/>
      <c r="AO1355" s="132"/>
      <c r="AP1355" s="95"/>
      <c r="AQ1355" s="132"/>
      <c r="AR1355" s="132"/>
    </row>
    <row r="1356" spans="25:44" s="82" customFormat="1" x14ac:dyDescent="0.2">
      <c r="Y1356" s="132"/>
      <c r="Z1356" s="132"/>
      <c r="AA1356" s="132"/>
      <c r="AB1356" s="95"/>
      <c r="AC1356" s="126"/>
      <c r="AD1356" s="340"/>
      <c r="AE1356" s="132"/>
      <c r="AF1356" s="132"/>
      <c r="AG1356" s="132"/>
      <c r="AH1356" s="132"/>
      <c r="AI1356" s="132"/>
      <c r="AJ1356" s="95"/>
      <c r="AK1356" s="95"/>
      <c r="AL1356" s="95"/>
      <c r="AM1356" s="95"/>
      <c r="AN1356" s="132"/>
      <c r="AO1356" s="132"/>
      <c r="AP1356" s="95"/>
      <c r="AQ1356" s="132"/>
      <c r="AR1356" s="132"/>
    </row>
    <row r="1357" spans="25:44" s="82" customFormat="1" x14ac:dyDescent="0.2">
      <c r="Y1357" s="132"/>
      <c r="Z1357" s="132"/>
      <c r="AA1357" s="132"/>
      <c r="AB1357" s="95"/>
      <c r="AC1357" s="126"/>
      <c r="AD1357" s="340"/>
      <c r="AE1357" s="132"/>
      <c r="AF1357" s="132"/>
      <c r="AG1357" s="132"/>
      <c r="AH1357" s="132"/>
      <c r="AI1357" s="132"/>
      <c r="AJ1357" s="95"/>
      <c r="AK1357" s="95"/>
      <c r="AL1357" s="95"/>
      <c r="AM1357" s="95"/>
      <c r="AN1357" s="132"/>
      <c r="AO1357" s="132"/>
      <c r="AP1357" s="95"/>
      <c r="AQ1357" s="132"/>
      <c r="AR1357" s="132"/>
    </row>
    <row r="1358" spans="25:44" s="82" customFormat="1" x14ac:dyDescent="0.2">
      <c r="Y1358" s="132"/>
      <c r="Z1358" s="132"/>
      <c r="AA1358" s="132"/>
      <c r="AB1358" s="95"/>
      <c r="AC1358" s="126"/>
      <c r="AD1358" s="340"/>
      <c r="AE1358" s="132"/>
      <c r="AF1358" s="132"/>
      <c r="AG1358" s="132"/>
      <c r="AH1358" s="132"/>
      <c r="AI1358" s="132"/>
      <c r="AJ1358" s="95"/>
      <c r="AK1358" s="95"/>
      <c r="AL1358" s="95"/>
      <c r="AM1358" s="95"/>
      <c r="AN1358" s="132"/>
      <c r="AO1358" s="132"/>
      <c r="AP1358" s="95"/>
      <c r="AQ1358" s="132"/>
      <c r="AR1358" s="132"/>
    </row>
    <row r="1359" spans="25:44" s="82" customFormat="1" x14ac:dyDescent="0.2">
      <c r="Y1359" s="132"/>
      <c r="Z1359" s="132"/>
      <c r="AA1359" s="132"/>
      <c r="AB1359" s="95"/>
      <c r="AC1359" s="126"/>
      <c r="AD1359" s="340"/>
      <c r="AE1359" s="132"/>
      <c r="AF1359" s="132"/>
      <c r="AG1359" s="132"/>
      <c r="AH1359" s="132"/>
      <c r="AI1359" s="132"/>
      <c r="AJ1359" s="95"/>
      <c r="AK1359" s="95"/>
      <c r="AL1359" s="95"/>
      <c r="AM1359" s="95"/>
      <c r="AN1359" s="132"/>
      <c r="AO1359" s="132"/>
      <c r="AP1359" s="95"/>
      <c r="AQ1359" s="132"/>
      <c r="AR1359" s="132"/>
    </row>
    <row r="1360" spans="25:44" s="82" customFormat="1" x14ac:dyDescent="0.2">
      <c r="Y1360" s="132"/>
      <c r="Z1360" s="132"/>
      <c r="AA1360" s="132"/>
      <c r="AB1360" s="95"/>
      <c r="AC1360" s="126"/>
      <c r="AD1360" s="340"/>
      <c r="AE1360" s="132"/>
      <c r="AF1360" s="132"/>
      <c r="AG1360" s="132"/>
      <c r="AH1360" s="132"/>
      <c r="AI1360" s="132"/>
      <c r="AJ1360" s="95"/>
      <c r="AK1360" s="95"/>
      <c r="AL1360" s="95"/>
      <c r="AM1360" s="95"/>
      <c r="AN1360" s="132"/>
      <c r="AO1360" s="132"/>
      <c r="AP1360" s="95"/>
      <c r="AQ1360" s="132"/>
      <c r="AR1360" s="132"/>
    </row>
    <row r="1361" spans="25:44" s="82" customFormat="1" x14ac:dyDescent="0.2">
      <c r="Y1361" s="132"/>
      <c r="Z1361" s="132"/>
      <c r="AA1361" s="132"/>
      <c r="AB1361" s="95"/>
      <c r="AC1361" s="126"/>
      <c r="AD1361" s="340"/>
      <c r="AE1361" s="132"/>
      <c r="AF1361" s="132"/>
      <c r="AG1361" s="132"/>
      <c r="AH1361" s="132"/>
      <c r="AI1361" s="132"/>
      <c r="AJ1361" s="95"/>
      <c r="AK1361" s="95"/>
      <c r="AL1361" s="95"/>
      <c r="AM1361" s="95"/>
      <c r="AN1361" s="132"/>
      <c r="AO1361" s="132"/>
      <c r="AP1361" s="95"/>
      <c r="AQ1361" s="132"/>
      <c r="AR1361" s="132"/>
    </row>
    <row r="1362" spans="25:44" s="82" customFormat="1" x14ac:dyDescent="0.2">
      <c r="Y1362" s="132"/>
      <c r="Z1362" s="132"/>
      <c r="AA1362" s="132"/>
      <c r="AB1362" s="95"/>
      <c r="AC1362" s="126"/>
      <c r="AD1362" s="340"/>
      <c r="AE1362" s="132"/>
      <c r="AF1362" s="132"/>
      <c r="AG1362" s="132"/>
      <c r="AH1362" s="132"/>
      <c r="AI1362" s="132"/>
      <c r="AJ1362" s="95"/>
      <c r="AK1362" s="95"/>
      <c r="AL1362" s="95"/>
      <c r="AM1362" s="95"/>
      <c r="AN1362" s="132"/>
      <c r="AO1362" s="132"/>
      <c r="AP1362" s="95"/>
      <c r="AQ1362" s="132"/>
      <c r="AR1362" s="132"/>
    </row>
    <row r="1363" spans="25:44" s="82" customFormat="1" x14ac:dyDescent="0.2">
      <c r="Y1363" s="132"/>
      <c r="Z1363" s="132"/>
      <c r="AA1363" s="132"/>
      <c r="AB1363" s="95"/>
      <c r="AC1363" s="126"/>
      <c r="AD1363" s="340"/>
      <c r="AE1363" s="132"/>
      <c r="AF1363" s="132"/>
      <c r="AG1363" s="132"/>
      <c r="AH1363" s="132"/>
      <c r="AI1363" s="132"/>
      <c r="AJ1363" s="95"/>
      <c r="AK1363" s="95"/>
      <c r="AL1363" s="95"/>
      <c r="AM1363" s="95"/>
      <c r="AN1363" s="132"/>
      <c r="AO1363" s="132"/>
      <c r="AP1363" s="95"/>
      <c r="AQ1363" s="132"/>
      <c r="AR1363" s="132"/>
    </row>
    <row r="1364" spans="25:44" s="82" customFormat="1" x14ac:dyDescent="0.2">
      <c r="Y1364" s="132"/>
      <c r="Z1364" s="132"/>
      <c r="AA1364" s="132"/>
      <c r="AB1364" s="95"/>
      <c r="AC1364" s="126"/>
      <c r="AD1364" s="340"/>
      <c r="AE1364" s="132"/>
      <c r="AF1364" s="132"/>
      <c r="AG1364" s="132"/>
      <c r="AH1364" s="132"/>
      <c r="AI1364" s="132"/>
      <c r="AJ1364" s="95"/>
      <c r="AK1364" s="95"/>
      <c r="AL1364" s="95"/>
      <c r="AM1364" s="95"/>
      <c r="AN1364" s="132"/>
      <c r="AO1364" s="132"/>
      <c r="AP1364" s="95"/>
      <c r="AQ1364" s="132"/>
      <c r="AR1364" s="132"/>
    </row>
    <row r="1365" spans="25:44" s="82" customFormat="1" x14ac:dyDescent="0.2">
      <c r="Y1365" s="132"/>
      <c r="Z1365" s="132"/>
      <c r="AA1365" s="132"/>
      <c r="AB1365" s="95"/>
      <c r="AC1365" s="126"/>
      <c r="AD1365" s="340"/>
      <c r="AE1365" s="132"/>
      <c r="AF1365" s="132"/>
      <c r="AG1365" s="132"/>
      <c r="AH1365" s="132"/>
      <c r="AI1365" s="132"/>
      <c r="AJ1365" s="95"/>
      <c r="AK1365" s="95"/>
      <c r="AL1365" s="95"/>
      <c r="AM1365" s="95"/>
      <c r="AN1365" s="132"/>
      <c r="AO1365" s="132"/>
      <c r="AP1365" s="95"/>
      <c r="AQ1365" s="132"/>
      <c r="AR1365" s="132"/>
    </row>
    <row r="1366" spans="25:44" s="82" customFormat="1" x14ac:dyDescent="0.2">
      <c r="Y1366" s="132"/>
      <c r="Z1366" s="132"/>
      <c r="AA1366" s="132"/>
      <c r="AB1366" s="95"/>
      <c r="AC1366" s="126"/>
      <c r="AD1366" s="340"/>
      <c r="AE1366" s="132"/>
      <c r="AF1366" s="132"/>
      <c r="AG1366" s="132"/>
      <c r="AH1366" s="132"/>
      <c r="AI1366" s="132"/>
      <c r="AJ1366" s="95"/>
      <c r="AK1366" s="95"/>
      <c r="AL1366" s="95"/>
      <c r="AM1366" s="95"/>
      <c r="AN1366" s="132"/>
      <c r="AO1366" s="132"/>
      <c r="AP1366" s="95"/>
      <c r="AQ1366" s="132"/>
      <c r="AR1366" s="132"/>
    </row>
    <row r="1367" spans="25:44" s="82" customFormat="1" x14ac:dyDescent="0.2">
      <c r="Y1367" s="132"/>
      <c r="Z1367" s="132"/>
      <c r="AA1367" s="132"/>
      <c r="AB1367" s="95"/>
      <c r="AC1367" s="126"/>
      <c r="AD1367" s="340"/>
      <c r="AE1367" s="132"/>
      <c r="AF1367" s="132"/>
      <c r="AG1367" s="132"/>
      <c r="AH1367" s="132"/>
      <c r="AI1367" s="132"/>
      <c r="AJ1367" s="95"/>
      <c r="AK1367" s="95"/>
      <c r="AL1367" s="95"/>
      <c r="AM1367" s="95"/>
      <c r="AN1367" s="132"/>
      <c r="AO1367" s="132"/>
      <c r="AP1367" s="95"/>
      <c r="AQ1367" s="132"/>
      <c r="AR1367" s="132"/>
    </row>
    <row r="1368" spans="25:44" s="82" customFormat="1" x14ac:dyDescent="0.2">
      <c r="Y1368" s="132"/>
      <c r="Z1368" s="132"/>
      <c r="AA1368" s="132"/>
      <c r="AB1368" s="95"/>
      <c r="AC1368" s="126"/>
      <c r="AD1368" s="340"/>
      <c r="AE1368" s="132"/>
      <c r="AF1368" s="132"/>
      <c r="AG1368" s="132"/>
      <c r="AH1368" s="132"/>
      <c r="AI1368" s="132"/>
      <c r="AJ1368" s="95"/>
      <c r="AK1368" s="95"/>
      <c r="AL1368" s="95"/>
      <c r="AM1368" s="95"/>
      <c r="AN1368" s="132"/>
      <c r="AO1368" s="132"/>
      <c r="AP1368" s="95"/>
      <c r="AQ1368" s="132"/>
      <c r="AR1368" s="132"/>
    </row>
    <row r="1369" spans="25:44" s="82" customFormat="1" x14ac:dyDescent="0.2">
      <c r="Y1369" s="132"/>
      <c r="Z1369" s="132"/>
      <c r="AA1369" s="132"/>
      <c r="AB1369" s="95"/>
      <c r="AC1369" s="126"/>
      <c r="AD1369" s="340"/>
      <c r="AE1369" s="132"/>
      <c r="AF1369" s="132"/>
      <c r="AG1369" s="132"/>
      <c r="AH1369" s="132"/>
      <c r="AI1369" s="132"/>
      <c r="AJ1369" s="95"/>
      <c r="AK1369" s="95"/>
      <c r="AL1369" s="95"/>
      <c r="AM1369" s="95"/>
      <c r="AN1369" s="132"/>
      <c r="AO1369" s="132"/>
      <c r="AP1369" s="95"/>
      <c r="AQ1369" s="132"/>
      <c r="AR1369" s="132"/>
    </row>
    <row r="1370" spans="25:44" s="82" customFormat="1" x14ac:dyDescent="0.2">
      <c r="Y1370" s="132"/>
      <c r="Z1370" s="132"/>
      <c r="AA1370" s="132"/>
      <c r="AB1370" s="95"/>
      <c r="AC1370" s="126"/>
      <c r="AD1370" s="340"/>
      <c r="AE1370" s="132"/>
      <c r="AF1370" s="132"/>
      <c r="AG1370" s="132"/>
      <c r="AH1370" s="132"/>
      <c r="AI1370" s="132"/>
      <c r="AJ1370" s="95"/>
      <c r="AK1370" s="95"/>
      <c r="AL1370" s="95"/>
      <c r="AM1370" s="95"/>
      <c r="AN1370" s="132"/>
      <c r="AO1370" s="132"/>
      <c r="AP1370" s="95"/>
      <c r="AQ1370" s="132"/>
      <c r="AR1370" s="132"/>
    </row>
    <row r="1371" spans="25:44" s="82" customFormat="1" x14ac:dyDescent="0.2">
      <c r="Y1371" s="132"/>
      <c r="Z1371" s="132"/>
      <c r="AA1371" s="132"/>
      <c r="AB1371" s="95"/>
      <c r="AC1371" s="126"/>
      <c r="AD1371" s="340"/>
      <c r="AE1371" s="132"/>
      <c r="AF1371" s="132"/>
      <c r="AG1371" s="132"/>
      <c r="AH1371" s="132"/>
      <c r="AI1371" s="132"/>
      <c r="AJ1371" s="95"/>
      <c r="AK1371" s="95"/>
      <c r="AL1371" s="95"/>
      <c r="AM1371" s="95"/>
      <c r="AN1371" s="132"/>
      <c r="AO1371" s="132"/>
      <c r="AP1371" s="95"/>
      <c r="AQ1371" s="132"/>
      <c r="AR1371" s="132"/>
    </row>
    <row r="1372" spans="25:44" s="82" customFormat="1" x14ac:dyDescent="0.2">
      <c r="Y1372" s="132"/>
      <c r="Z1372" s="132"/>
      <c r="AA1372" s="132"/>
      <c r="AB1372" s="95"/>
      <c r="AC1372" s="126"/>
      <c r="AD1372" s="340"/>
      <c r="AE1372" s="132"/>
      <c r="AF1372" s="132"/>
      <c r="AG1372" s="132"/>
      <c r="AH1372" s="132"/>
      <c r="AI1372" s="132"/>
      <c r="AJ1372" s="95"/>
      <c r="AK1372" s="95"/>
      <c r="AL1372" s="95"/>
      <c r="AM1372" s="95"/>
      <c r="AN1372" s="132"/>
      <c r="AO1372" s="132"/>
      <c r="AP1372" s="95"/>
      <c r="AQ1372" s="132"/>
      <c r="AR1372" s="132"/>
    </row>
    <row r="1373" spans="25:44" s="82" customFormat="1" x14ac:dyDescent="0.2">
      <c r="Y1373" s="132"/>
      <c r="Z1373" s="132"/>
      <c r="AA1373" s="132"/>
      <c r="AB1373" s="95"/>
      <c r="AC1373" s="126"/>
      <c r="AD1373" s="340"/>
      <c r="AE1373" s="132"/>
      <c r="AF1373" s="132"/>
      <c r="AG1373" s="132"/>
      <c r="AH1373" s="132"/>
      <c r="AI1373" s="132"/>
      <c r="AJ1373" s="95"/>
      <c r="AK1373" s="95"/>
      <c r="AL1373" s="95"/>
      <c r="AM1373" s="95"/>
      <c r="AN1373" s="132"/>
      <c r="AO1373" s="132"/>
      <c r="AP1373" s="95"/>
      <c r="AQ1373" s="132"/>
      <c r="AR1373" s="132"/>
    </row>
    <row r="1374" spans="25:44" s="82" customFormat="1" x14ac:dyDescent="0.2">
      <c r="Y1374" s="132"/>
      <c r="Z1374" s="132"/>
      <c r="AA1374" s="132"/>
      <c r="AB1374" s="95"/>
      <c r="AC1374" s="126"/>
      <c r="AD1374" s="340"/>
      <c r="AE1374" s="132"/>
      <c r="AF1374" s="132"/>
      <c r="AG1374" s="132"/>
      <c r="AH1374" s="132"/>
      <c r="AI1374" s="132"/>
      <c r="AJ1374" s="95"/>
      <c r="AK1374" s="95"/>
      <c r="AL1374" s="95"/>
      <c r="AM1374" s="95"/>
      <c r="AN1374" s="132"/>
      <c r="AO1374" s="132"/>
      <c r="AP1374" s="95"/>
      <c r="AQ1374" s="132"/>
      <c r="AR1374" s="132"/>
    </row>
    <row r="1375" spans="25:44" s="82" customFormat="1" x14ac:dyDescent="0.2">
      <c r="Y1375" s="132"/>
      <c r="Z1375" s="132"/>
      <c r="AA1375" s="132"/>
      <c r="AB1375" s="95"/>
      <c r="AC1375" s="126"/>
      <c r="AD1375" s="340"/>
      <c r="AE1375" s="132"/>
      <c r="AF1375" s="132"/>
      <c r="AG1375" s="132"/>
      <c r="AH1375" s="132"/>
      <c r="AI1375" s="132"/>
      <c r="AJ1375" s="95"/>
      <c r="AK1375" s="95"/>
      <c r="AL1375" s="95"/>
      <c r="AM1375" s="95"/>
      <c r="AN1375" s="132"/>
      <c r="AO1375" s="132"/>
      <c r="AP1375" s="95"/>
      <c r="AQ1375" s="132"/>
      <c r="AR1375" s="132"/>
    </row>
    <row r="1376" spans="25:44" s="82" customFormat="1" x14ac:dyDescent="0.2">
      <c r="Y1376" s="132"/>
      <c r="Z1376" s="132"/>
      <c r="AA1376" s="132"/>
      <c r="AB1376" s="95"/>
      <c r="AC1376" s="126"/>
      <c r="AD1376" s="340"/>
      <c r="AE1376" s="132"/>
      <c r="AF1376" s="132"/>
      <c r="AG1376" s="132"/>
      <c r="AH1376" s="132"/>
      <c r="AI1376" s="132"/>
      <c r="AJ1376" s="95"/>
      <c r="AK1376" s="95"/>
      <c r="AL1376" s="95"/>
      <c r="AM1376" s="95"/>
      <c r="AN1376" s="132"/>
      <c r="AO1376" s="132"/>
      <c r="AP1376" s="95"/>
      <c r="AQ1376" s="132"/>
      <c r="AR1376" s="132"/>
    </row>
    <row r="1377" spans="25:44" s="82" customFormat="1" x14ac:dyDescent="0.2">
      <c r="Y1377" s="132"/>
      <c r="Z1377" s="132"/>
      <c r="AA1377" s="132"/>
      <c r="AB1377" s="95"/>
      <c r="AC1377" s="126"/>
      <c r="AD1377" s="340"/>
      <c r="AE1377" s="132"/>
      <c r="AF1377" s="132"/>
      <c r="AG1377" s="132"/>
      <c r="AH1377" s="132"/>
      <c r="AI1377" s="132"/>
      <c r="AJ1377" s="95"/>
      <c r="AK1377" s="95"/>
      <c r="AL1377" s="95"/>
      <c r="AM1377" s="95"/>
      <c r="AN1377" s="132"/>
      <c r="AO1377" s="132"/>
      <c r="AP1377" s="95"/>
      <c r="AQ1377" s="132"/>
      <c r="AR1377" s="132"/>
    </row>
    <row r="1378" spans="25:44" s="82" customFormat="1" x14ac:dyDescent="0.2">
      <c r="Y1378" s="132"/>
      <c r="Z1378" s="132"/>
      <c r="AA1378" s="132"/>
      <c r="AB1378" s="95"/>
      <c r="AC1378" s="126"/>
      <c r="AD1378" s="340"/>
      <c r="AE1378" s="132"/>
      <c r="AF1378" s="132"/>
      <c r="AG1378" s="132"/>
      <c r="AH1378" s="132"/>
      <c r="AI1378" s="132"/>
      <c r="AJ1378" s="95"/>
      <c r="AK1378" s="95"/>
      <c r="AL1378" s="95"/>
      <c r="AM1378" s="95"/>
      <c r="AN1378" s="132"/>
      <c r="AO1378" s="132"/>
      <c r="AP1378" s="95"/>
      <c r="AQ1378" s="132"/>
      <c r="AR1378" s="132"/>
    </row>
    <row r="1379" spans="25:44" s="82" customFormat="1" x14ac:dyDescent="0.2">
      <c r="Y1379" s="132"/>
      <c r="Z1379" s="132"/>
      <c r="AA1379" s="132"/>
      <c r="AB1379" s="95"/>
      <c r="AC1379" s="126"/>
      <c r="AD1379" s="340"/>
      <c r="AE1379" s="132"/>
      <c r="AF1379" s="132"/>
      <c r="AG1379" s="132"/>
      <c r="AH1379" s="132"/>
      <c r="AI1379" s="132"/>
      <c r="AJ1379" s="95"/>
      <c r="AK1379" s="95"/>
      <c r="AL1379" s="95"/>
      <c r="AM1379" s="95"/>
      <c r="AN1379" s="132"/>
      <c r="AO1379" s="132"/>
      <c r="AP1379" s="95"/>
      <c r="AQ1379" s="132"/>
      <c r="AR1379" s="132"/>
    </row>
    <row r="1380" spans="25:44" s="82" customFormat="1" x14ac:dyDescent="0.2">
      <c r="Y1380" s="132"/>
      <c r="Z1380" s="132"/>
      <c r="AA1380" s="132"/>
      <c r="AB1380" s="95"/>
      <c r="AC1380" s="126"/>
      <c r="AD1380" s="340"/>
      <c r="AE1380" s="132"/>
      <c r="AF1380" s="132"/>
      <c r="AG1380" s="132"/>
      <c r="AH1380" s="132"/>
      <c r="AI1380" s="132"/>
      <c r="AJ1380" s="95"/>
      <c r="AK1380" s="95"/>
      <c r="AL1380" s="95"/>
      <c r="AM1380" s="95"/>
      <c r="AN1380" s="132"/>
      <c r="AO1380" s="132"/>
      <c r="AP1380" s="95"/>
      <c r="AQ1380" s="132"/>
      <c r="AR1380" s="132"/>
    </row>
    <row r="1381" spans="25:44" s="82" customFormat="1" x14ac:dyDescent="0.2">
      <c r="Y1381" s="132"/>
      <c r="Z1381" s="132"/>
      <c r="AA1381" s="132"/>
      <c r="AB1381" s="95"/>
      <c r="AC1381" s="126"/>
      <c r="AD1381" s="340"/>
      <c r="AE1381" s="132"/>
      <c r="AF1381" s="132"/>
      <c r="AG1381" s="132"/>
      <c r="AH1381" s="132"/>
      <c r="AI1381" s="132"/>
      <c r="AJ1381" s="95"/>
      <c r="AK1381" s="95"/>
      <c r="AL1381" s="95"/>
      <c r="AM1381" s="95"/>
      <c r="AN1381" s="132"/>
      <c r="AO1381" s="132"/>
      <c r="AP1381" s="95"/>
      <c r="AQ1381" s="132"/>
      <c r="AR1381" s="132"/>
    </row>
    <row r="1382" spans="25:44" s="82" customFormat="1" x14ac:dyDescent="0.2">
      <c r="Y1382" s="132"/>
      <c r="Z1382" s="132"/>
      <c r="AA1382" s="132"/>
      <c r="AB1382" s="95"/>
      <c r="AC1382" s="126"/>
      <c r="AD1382" s="340"/>
      <c r="AE1382" s="132"/>
      <c r="AF1382" s="132"/>
      <c r="AG1382" s="132"/>
      <c r="AH1382" s="132"/>
      <c r="AI1382" s="132"/>
      <c r="AJ1382" s="95"/>
      <c r="AK1382" s="95"/>
      <c r="AL1382" s="95"/>
      <c r="AM1382" s="95"/>
      <c r="AN1382" s="132"/>
      <c r="AO1382" s="132"/>
      <c r="AP1382" s="95"/>
      <c r="AQ1382" s="132"/>
      <c r="AR1382" s="132"/>
    </row>
    <row r="1383" spans="25:44" s="82" customFormat="1" x14ac:dyDescent="0.2">
      <c r="Y1383" s="132"/>
      <c r="Z1383" s="132"/>
      <c r="AA1383" s="132"/>
      <c r="AB1383" s="95"/>
      <c r="AC1383" s="126"/>
      <c r="AD1383" s="340"/>
      <c r="AE1383" s="132"/>
      <c r="AF1383" s="132"/>
      <c r="AG1383" s="132"/>
      <c r="AH1383" s="132"/>
      <c r="AI1383" s="132"/>
      <c r="AJ1383" s="95"/>
      <c r="AK1383" s="95"/>
      <c r="AL1383" s="95"/>
      <c r="AM1383" s="95"/>
      <c r="AN1383" s="132"/>
      <c r="AO1383" s="132"/>
      <c r="AP1383" s="95"/>
      <c r="AQ1383" s="132"/>
      <c r="AR1383" s="132"/>
    </row>
    <row r="1384" spans="25:44" s="82" customFormat="1" x14ac:dyDescent="0.2">
      <c r="Y1384" s="132"/>
      <c r="Z1384" s="132"/>
      <c r="AA1384" s="132"/>
      <c r="AB1384" s="95"/>
      <c r="AC1384" s="126"/>
      <c r="AD1384" s="340"/>
      <c r="AE1384" s="132"/>
      <c r="AF1384" s="132"/>
      <c r="AG1384" s="132"/>
      <c r="AH1384" s="132"/>
      <c r="AI1384" s="132"/>
      <c r="AJ1384" s="95"/>
      <c r="AK1384" s="95"/>
      <c r="AL1384" s="95"/>
      <c r="AM1384" s="95"/>
      <c r="AN1384" s="132"/>
      <c r="AO1384" s="132"/>
      <c r="AP1384" s="95"/>
      <c r="AQ1384" s="132"/>
      <c r="AR1384" s="132"/>
    </row>
    <row r="1385" spans="25:44" s="82" customFormat="1" x14ac:dyDescent="0.2">
      <c r="Y1385" s="132"/>
      <c r="Z1385" s="132"/>
      <c r="AA1385" s="132"/>
      <c r="AB1385" s="95"/>
      <c r="AC1385" s="126"/>
      <c r="AD1385" s="340"/>
      <c r="AE1385" s="132"/>
      <c r="AF1385" s="132"/>
      <c r="AG1385" s="132"/>
      <c r="AH1385" s="132"/>
      <c r="AI1385" s="132"/>
      <c r="AJ1385" s="95"/>
      <c r="AK1385" s="95"/>
      <c r="AL1385" s="95"/>
      <c r="AM1385" s="95"/>
      <c r="AN1385" s="132"/>
      <c r="AO1385" s="132"/>
      <c r="AP1385" s="95"/>
      <c r="AQ1385" s="132"/>
      <c r="AR1385" s="132"/>
    </row>
    <row r="1386" spans="25:44" s="82" customFormat="1" x14ac:dyDescent="0.2">
      <c r="Y1386" s="132"/>
      <c r="Z1386" s="132"/>
      <c r="AA1386" s="132"/>
      <c r="AB1386" s="95"/>
      <c r="AC1386" s="126"/>
      <c r="AD1386" s="340"/>
      <c r="AE1386" s="132"/>
      <c r="AF1386" s="132"/>
      <c r="AG1386" s="132"/>
      <c r="AH1386" s="132"/>
      <c r="AI1386" s="132"/>
      <c r="AJ1386" s="95"/>
      <c r="AK1386" s="95"/>
      <c r="AL1386" s="95"/>
      <c r="AM1386" s="95"/>
      <c r="AN1386" s="132"/>
      <c r="AO1386" s="132"/>
      <c r="AP1386" s="95"/>
      <c r="AQ1386" s="132"/>
      <c r="AR1386" s="132"/>
    </row>
    <row r="1387" spans="25:44" s="82" customFormat="1" x14ac:dyDescent="0.2">
      <c r="Y1387" s="132"/>
      <c r="Z1387" s="132"/>
      <c r="AA1387" s="132"/>
      <c r="AB1387" s="95"/>
      <c r="AC1387" s="126"/>
      <c r="AD1387" s="340"/>
      <c r="AE1387" s="132"/>
      <c r="AF1387" s="132"/>
      <c r="AG1387" s="132"/>
      <c r="AH1387" s="132"/>
      <c r="AI1387" s="132"/>
      <c r="AJ1387" s="95"/>
      <c r="AK1387" s="95"/>
      <c r="AL1387" s="95"/>
      <c r="AM1387" s="95"/>
      <c r="AN1387" s="132"/>
      <c r="AO1387" s="132"/>
      <c r="AP1387" s="95"/>
      <c r="AQ1387" s="132"/>
      <c r="AR1387" s="132"/>
    </row>
    <row r="1388" spans="25:44" s="82" customFormat="1" x14ac:dyDescent="0.2">
      <c r="Y1388" s="132"/>
      <c r="Z1388" s="132"/>
      <c r="AA1388" s="132"/>
      <c r="AB1388" s="95"/>
      <c r="AC1388" s="126"/>
      <c r="AD1388" s="340"/>
      <c r="AE1388" s="132"/>
      <c r="AF1388" s="132"/>
      <c r="AG1388" s="132"/>
      <c r="AH1388" s="132"/>
      <c r="AI1388" s="132"/>
      <c r="AJ1388" s="95"/>
      <c r="AK1388" s="95"/>
      <c r="AL1388" s="95"/>
      <c r="AM1388" s="95"/>
      <c r="AN1388" s="132"/>
      <c r="AO1388" s="132"/>
      <c r="AP1388" s="95"/>
      <c r="AQ1388" s="132"/>
      <c r="AR1388" s="132"/>
    </row>
    <row r="1389" spans="25:44" s="82" customFormat="1" x14ac:dyDescent="0.2">
      <c r="Y1389" s="132"/>
      <c r="Z1389" s="132"/>
      <c r="AA1389" s="132"/>
      <c r="AB1389" s="95"/>
      <c r="AC1389" s="126"/>
      <c r="AD1389" s="340"/>
      <c r="AE1389" s="132"/>
      <c r="AF1389" s="132"/>
      <c r="AG1389" s="132"/>
      <c r="AH1389" s="132"/>
      <c r="AI1389" s="132"/>
      <c r="AJ1389" s="95"/>
      <c r="AK1389" s="95"/>
      <c r="AL1389" s="95"/>
      <c r="AM1389" s="95"/>
      <c r="AN1389" s="132"/>
      <c r="AO1389" s="132"/>
      <c r="AP1389" s="95"/>
      <c r="AQ1389" s="132"/>
      <c r="AR1389" s="132"/>
    </row>
    <row r="1390" spans="25:44" s="82" customFormat="1" x14ac:dyDescent="0.2">
      <c r="Y1390" s="132"/>
      <c r="Z1390" s="132"/>
      <c r="AA1390" s="132"/>
      <c r="AB1390" s="95"/>
      <c r="AC1390" s="126"/>
      <c r="AD1390" s="340"/>
      <c r="AE1390" s="132"/>
      <c r="AF1390" s="132"/>
      <c r="AG1390" s="132"/>
      <c r="AH1390" s="132"/>
      <c r="AI1390" s="132"/>
      <c r="AJ1390" s="95"/>
      <c r="AK1390" s="95"/>
      <c r="AL1390" s="95"/>
      <c r="AM1390" s="95"/>
      <c r="AN1390" s="132"/>
      <c r="AO1390" s="132"/>
      <c r="AP1390" s="95"/>
      <c r="AQ1390" s="132"/>
      <c r="AR1390" s="132"/>
    </row>
    <row r="1391" spans="25:44" s="82" customFormat="1" x14ac:dyDescent="0.2">
      <c r="Y1391" s="132"/>
      <c r="Z1391" s="132"/>
      <c r="AA1391" s="132"/>
      <c r="AB1391" s="95"/>
      <c r="AC1391" s="126"/>
      <c r="AD1391" s="340"/>
      <c r="AE1391" s="132"/>
      <c r="AF1391" s="132"/>
      <c r="AG1391" s="132"/>
      <c r="AH1391" s="132"/>
      <c r="AI1391" s="132"/>
      <c r="AJ1391" s="95"/>
      <c r="AK1391" s="95"/>
      <c r="AL1391" s="95"/>
      <c r="AM1391" s="95"/>
      <c r="AN1391" s="132"/>
      <c r="AO1391" s="132"/>
      <c r="AP1391" s="95"/>
      <c r="AQ1391" s="132"/>
      <c r="AR1391" s="132"/>
    </row>
    <row r="1392" spans="25:44" s="82" customFormat="1" x14ac:dyDescent="0.2">
      <c r="Y1392" s="132"/>
      <c r="Z1392" s="132"/>
      <c r="AA1392" s="132"/>
      <c r="AB1392" s="95"/>
      <c r="AC1392" s="126"/>
      <c r="AD1392" s="340"/>
      <c r="AE1392" s="132"/>
      <c r="AF1392" s="132"/>
      <c r="AG1392" s="132"/>
      <c r="AH1392" s="132"/>
      <c r="AI1392" s="132"/>
      <c r="AJ1392" s="95"/>
      <c r="AK1392" s="95"/>
      <c r="AL1392" s="95"/>
      <c r="AM1392" s="95"/>
      <c r="AN1392" s="132"/>
      <c r="AO1392" s="132"/>
      <c r="AP1392" s="95"/>
      <c r="AQ1392" s="132"/>
      <c r="AR1392" s="132"/>
    </row>
    <row r="1393" spans="25:44" s="82" customFormat="1" x14ac:dyDescent="0.2">
      <c r="Y1393" s="132"/>
      <c r="Z1393" s="132"/>
      <c r="AA1393" s="132"/>
      <c r="AB1393" s="95"/>
      <c r="AC1393" s="126"/>
      <c r="AD1393" s="340"/>
      <c r="AE1393" s="132"/>
      <c r="AF1393" s="132"/>
      <c r="AG1393" s="132"/>
      <c r="AH1393" s="132"/>
      <c r="AI1393" s="132"/>
      <c r="AJ1393" s="95"/>
      <c r="AK1393" s="95"/>
      <c r="AL1393" s="95"/>
      <c r="AM1393" s="95"/>
      <c r="AN1393" s="132"/>
      <c r="AO1393" s="132"/>
      <c r="AP1393" s="95"/>
      <c r="AQ1393" s="132"/>
      <c r="AR1393" s="132"/>
    </row>
    <row r="1394" spans="25:44" s="82" customFormat="1" x14ac:dyDescent="0.2">
      <c r="Y1394" s="132"/>
      <c r="Z1394" s="132"/>
      <c r="AA1394" s="132"/>
      <c r="AB1394" s="95"/>
      <c r="AC1394" s="126"/>
      <c r="AD1394" s="340"/>
      <c r="AE1394" s="132"/>
      <c r="AF1394" s="132"/>
      <c r="AG1394" s="132"/>
      <c r="AH1394" s="132"/>
      <c r="AI1394" s="132"/>
      <c r="AJ1394" s="95"/>
      <c r="AK1394" s="95"/>
      <c r="AL1394" s="95"/>
      <c r="AM1394" s="95"/>
      <c r="AN1394" s="132"/>
      <c r="AO1394" s="132"/>
      <c r="AP1394" s="95"/>
      <c r="AQ1394" s="132"/>
      <c r="AR1394" s="132"/>
    </row>
    <row r="1395" spans="25:44" s="82" customFormat="1" x14ac:dyDescent="0.2">
      <c r="Y1395" s="132"/>
      <c r="Z1395" s="132"/>
      <c r="AA1395" s="132"/>
      <c r="AB1395" s="95"/>
      <c r="AC1395" s="126"/>
      <c r="AD1395" s="340"/>
      <c r="AE1395" s="132"/>
      <c r="AF1395" s="132"/>
      <c r="AG1395" s="132"/>
      <c r="AH1395" s="132"/>
      <c r="AI1395" s="132"/>
      <c r="AJ1395" s="95"/>
      <c r="AK1395" s="95"/>
      <c r="AL1395" s="95"/>
      <c r="AM1395" s="95"/>
      <c r="AN1395" s="132"/>
      <c r="AO1395" s="132"/>
      <c r="AP1395" s="95"/>
      <c r="AQ1395" s="132"/>
      <c r="AR1395" s="132"/>
    </row>
    <row r="1396" spans="25:44" s="82" customFormat="1" x14ac:dyDescent="0.2">
      <c r="Y1396" s="132"/>
      <c r="Z1396" s="132"/>
      <c r="AA1396" s="132"/>
      <c r="AB1396" s="95"/>
      <c r="AC1396" s="126"/>
      <c r="AD1396" s="340"/>
      <c r="AE1396" s="132"/>
      <c r="AF1396" s="132"/>
      <c r="AG1396" s="132"/>
      <c r="AH1396" s="132"/>
      <c r="AI1396" s="132"/>
      <c r="AJ1396" s="95"/>
      <c r="AK1396" s="95"/>
      <c r="AL1396" s="95"/>
      <c r="AM1396" s="95"/>
      <c r="AN1396" s="132"/>
      <c r="AO1396" s="132"/>
      <c r="AP1396" s="95"/>
      <c r="AQ1396" s="132"/>
      <c r="AR1396" s="132"/>
    </row>
    <row r="1397" spans="25:44" s="82" customFormat="1" x14ac:dyDescent="0.2">
      <c r="Y1397" s="132"/>
      <c r="Z1397" s="132"/>
      <c r="AA1397" s="132"/>
      <c r="AB1397" s="95"/>
      <c r="AC1397" s="126"/>
      <c r="AD1397" s="340"/>
      <c r="AE1397" s="132"/>
      <c r="AF1397" s="132"/>
      <c r="AG1397" s="132"/>
      <c r="AH1397" s="132"/>
      <c r="AI1397" s="132"/>
      <c r="AJ1397" s="95"/>
      <c r="AK1397" s="95"/>
      <c r="AL1397" s="95"/>
      <c r="AM1397" s="95"/>
      <c r="AN1397" s="132"/>
      <c r="AO1397" s="132"/>
      <c r="AP1397" s="95"/>
      <c r="AQ1397" s="132"/>
      <c r="AR1397" s="132"/>
    </row>
    <row r="1398" spans="25:44" s="82" customFormat="1" x14ac:dyDescent="0.2">
      <c r="Y1398" s="132"/>
      <c r="Z1398" s="132"/>
      <c r="AA1398" s="132"/>
      <c r="AB1398" s="95"/>
      <c r="AC1398" s="126"/>
      <c r="AD1398" s="340"/>
      <c r="AE1398" s="132"/>
      <c r="AF1398" s="132"/>
      <c r="AG1398" s="132"/>
      <c r="AH1398" s="132"/>
      <c r="AI1398" s="132"/>
      <c r="AJ1398" s="95"/>
      <c r="AK1398" s="95"/>
      <c r="AL1398" s="95"/>
      <c r="AM1398" s="95"/>
      <c r="AN1398" s="132"/>
      <c r="AO1398" s="132"/>
      <c r="AP1398" s="95"/>
      <c r="AQ1398" s="132"/>
      <c r="AR1398" s="132"/>
    </row>
    <row r="1399" spans="25:44" s="82" customFormat="1" x14ac:dyDescent="0.2">
      <c r="Y1399" s="132"/>
      <c r="Z1399" s="132"/>
      <c r="AA1399" s="132"/>
      <c r="AB1399" s="95"/>
      <c r="AC1399" s="126"/>
      <c r="AD1399" s="340"/>
      <c r="AE1399" s="132"/>
      <c r="AF1399" s="132"/>
      <c r="AG1399" s="132"/>
      <c r="AH1399" s="132"/>
      <c r="AI1399" s="132"/>
      <c r="AJ1399" s="95"/>
      <c r="AK1399" s="95"/>
      <c r="AL1399" s="95"/>
      <c r="AM1399" s="95"/>
      <c r="AN1399" s="132"/>
      <c r="AO1399" s="132"/>
      <c r="AP1399" s="95"/>
      <c r="AQ1399" s="132"/>
      <c r="AR1399" s="132"/>
    </row>
    <row r="1400" spans="25:44" s="82" customFormat="1" x14ac:dyDescent="0.2">
      <c r="Y1400" s="132"/>
      <c r="Z1400" s="132"/>
      <c r="AA1400" s="132"/>
      <c r="AB1400" s="95"/>
      <c r="AC1400" s="126"/>
      <c r="AD1400" s="340"/>
      <c r="AE1400" s="132"/>
      <c r="AF1400" s="132"/>
      <c r="AG1400" s="132"/>
      <c r="AH1400" s="132"/>
      <c r="AI1400" s="132"/>
      <c r="AJ1400" s="95"/>
      <c r="AK1400" s="95"/>
      <c r="AL1400" s="95"/>
      <c r="AM1400" s="95"/>
      <c r="AN1400" s="132"/>
      <c r="AO1400" s="132"/>
      <c r="AP1400" s="95"/>
      <c r="AQ1400" s="132"/>
      <c r="AR1400" s="132"/>
    </row>
    <row r="1401" spans="25:44" s="82" customFormat="1" x14ac:dyDescent="0.2">
      <c r="Y1401" s="132"/>
      <c r="Z1401" s="132"/>
      <c r="AA1401" s="132"/>
      <c r="AB1401" s="95"/>
      <c r="AC1401" s="126"/>
      <c r="AD1401" s="340"/>
      <c r="AE1401" s="132"/>
      <c r="AF1401" s="132"/>
      <c r="AG1401" s="132"/>
      <c r="AH1401" s="132"/>
      <c r="AI1401" s="132"/>
      <c r="AJ1401" s="95"/>
      <c r="AK1401" s="95"/>
      <c r="AL1401" s="95"/>
      <c r="AM1401" s="95"/>
      <c r="AN1401" s="132"/>
      <c r="AO1401" s="132"/>
      <c r="AP1401" s="95"/>
      <c r="AQ1401" s="132"/>
      <c r="AR1401" s="132"/>
    </row>
    <row r="1402" spans="25:44" s="82" customFormat="1" x14ac:dyDescent="0.2">
      <c r="Y1402" s="132"/>
      <c r="Z1402" s="132"/>
      <c r="AA1402" s="132"/>
      <c r="AB1402" s="95"/>
      <c r="AC1402" s="126"/>
      <c r="AD1402" s="340"/>
      <c r="AE1402" s="132"/>
      <c r="AF1402" s="132"/>
      <c r="AG1402" s="132"/>
      <c r="AH1402" s="132"/>
      <c r="AI1402" s="132"/>
      <c r="AJ1402" s="95"/>
      <c r="AK1402" s="95"/>
      <c r="AL1402" s="95"/>
      <c r="AM1402" s="95"/>
      <c r="AN1402" s="132"/>
      <c r="AO1402" s="132"/>
      <c r="AP1402" s="95"/>
      <c r="AQ1402" s="132"/>
      <c r="AR1402" s="132"/>
    </row>
    <row r="1403" spans="25:44" s="82" customFormat="1" x14ac:dyDescent="0.2">
      <c r="Y1403" s="132"/>
      <c r="Z1403" s="132"/>
      <c r="AA1403" s="132"/>
      <c r="AB1403" s="95"/>
      <c r="AC1403" s="126"/>
      <c r="AD1403" s="340"/>
      <c r="AE1403" s="132"/>
      <c r="AF1403" s="132"/>
      <c r="AG1403" s="132"/>
      <c r="AH1403" s="132"/>
      <c r="AI1403" s="132"/>
      <c r="AJ1403" s="95"/>
      <c r="AK1403" s="95"/>
      <c r="AL1403" s="95"/>
      <c r="AM1403" s="95"/>
      <c r="AN1403" s="132"/>
      <c r="AO1403" s="132"/>
      <c r="AP1403" s="95"/>
      <c r="AQ1403" s="132"/>
      <c r="AR1403" s="132"/>
    </row>
    <row r="1404" spans="25:44" s="82" customFormat="1" x14ac:dyDescent="0.2">
      <c r="Y1404" s="132"/>
      <c r="Z1404" s="132"/>
      <c r="AA1404" s="132"/>
      <c r="AB1404" s="95"/>
      <c r="AC1404" s="126"/>
      <c r="AD1404" s="340"/>
      <c r="AE1404" s="132"/>
      <c r="AF1404" s="132"/>
      <c r="AG1404" s="132"/>
      <c r="AH1404" s="132"/>
      <c r="AI1404" s="132"/>
      <c r="AJ1404" s="95"/>
      <c r="AK1404" s="95"/>
      <c r="AL1404" s="95"/>
      <c r="AM1404" s="95"/>
      <c r="AN1404" s="132"/>
      <c r="AO1404" s="132"/>
      <c r="AP1404" s="95"/>
      <c r="AQ1404" s="132"/>
      <c r="AR1404" s="132"/>
    </row>
    <row r="1405" spans="25:44" s="82" customFormat="1" x14ac:dyDescent="0.2">
      <c r="Y1405" s="132"/>
      <c r="Z1405" s="132"/>
      <c r="AA1405" s="132"/>
      <c r="AB1405" s="95"/>
      <c r="AC1405" s="126"/>
      <c r="AD1405" s="340"/>
      <c r="AE1405" s="132"/>
      <c r="AF1405" s="132"/>
      <c r="AG1405" s="132"/>
      <c r="AH1405" s="132"/>
      <c r="AI1405" s="132"/>
      <c r="AJ1405" s="95"/>
      <c r="AK1405" s="95"/>
      <c r="AL1405" s="95"/>
      <c r="AM1405" s="95"/>
      <c r="AN1405" s="132"/>
      <c r="AO1405" s="132"/>
      <c r="AP1405" s="95"/>
      <c r="AQ1405" s="132"/>
      <c r="AR1405" s="132"/>
    </row>
    <row r="1406" spans="25:44" s="82" customFormat="1" x14ac:dyDescent="0.2">
      <c r="Y1406" s="132"/>
      <c r="Z1406" s="132"/>
      <c r="AA1406" s="132"/>
      <c r="AB1406" s="95"/>
      <c r="AC1406" s="126"/>
      <c r="AD1406" s="340"/>
      <c r="AE1406" s="132"/>
      <c r="AF1406" s="132"/>
      <c r="AG1406" s="132"/>
      <c r="AH1406" s="132"/>
      <c r="AI1406" s="132"/>
      <c r="AJ1406" s="95"/>
      <c r="AK1406" s="95"/>
      <c r="AL1406" s="95"/>
      <c r="AM1406" s="95"/>
      <c r="AN1406" s="132"/>
      <c r="AO1406" s="132"/>
      <c r="AP1406" s="95"/>
      <c r="AQ1406" s="132"/>
      <c r="AR1406" s="132"/>
    </row>
    <row r="1407" spans="25:44" s="82" customFormat="1" x14ac:dyDescent="0.2">
      <c r="Y1407" s="132"/>
      <c r="Z1407" s="132"/>
      <c r="AA1407" s="132"/>
      <c r="AB1407" s="95"/>
      <c r="AC1407" s="126"/>
      <c r="AD1407" s="340"/>
      <c r="AE1407" s="132"/>
      <c r="AF1407" s="132"/>
      <c r="AG1407" s="132"/>
      <c r="AH1407" s="132"/>
      <c r="AI1407" s="132"/>
      <c r="AJ1407" s="95"/>
      <c r="AK1407" s="95"/>
      <c r="AL1407" s="95"/>
      <c r="AM1407" s="95"/>
      <c r="AN1407" s="132"/>
      <c r="AO1407" s="132"/>
      <c r="AP1407" s="95"/>
      <c r="AQ1407" s="132"/>
      <c r="AR1407" s="132"/>
    </row>
    <row r="1408" spans="25:44" s="82" customFormat="1" x14ac:dyDescent="0.2">
      <c r="Y1408" s="132"/>
      <c r="Z1408" s="132"/>
      <c r="AA1408" s="132"/>
      <c r="AB1408" s="95"/>
      <c r="AC1408" s="126"/>
      <c r="AD1408" s="340"/>
      <c r="AE1408" s="132"/>
      <c r="AF1408" s="132"/>
      <c r="AG1408" s="132"/>
      <c r="AH1408" s="132"/>
      <c r="AI1408" s="132"/>
      <c r="AJ1408" s="95"/>
      <c r="AK1408" s="95"/>
      <c r="AL1408" s="95"/>
      <c r="AM1408" s="95"/>
      <c r="AN1408" s="132"/>
      <c r="AO1408" s="132"/>
      <c r="AP1408" s="95"/>
      <c r="AQ1408" s="132"/>
      <c r="AR1408" s="132"/>
    </row>
    <row r="1409" spans="25:44" s="82" customFormat="1" x14ac:dyDescent="0.2">
      <c r="Y1409" s="132"/>
      <c r="Z1409" s="132"/>
      <c r="AA1409" s="132"/>
      <c r="AB1409" s="95"/>
      <c r="AC1409" s="126"/>
      <c r="AD1409" s="340"/>
      <c r="AE1409" s="132"/>
      <c r="AF1409" s="132"/>
      <c r="AG1409" s="132"/>
      <c r="AH1409" s="132"/>
      <c r="AI1409" s="132"/>
      <c r="AJ1409" s="95"/>
      <c r="AK1409" s="95"/>
      <c r="AL1409" s="95"/>
      <c r="AM1409" s="95"/>
      <c r="AN1409" s="132"/>
      <c r="AO1409" s="132"/>
      <c r="AP1409" s="95"/>
      <c r="AQ1409" s="132"/>
      <c r="AR1409" s="132"/>
    </row>
    <row r="1410" spans="25:44" s="82" customFormat="1" x14ac:dyDescent="0.2">
      <c r="Y1410" s="132"/>
      <c r="Z1410" s="132"/>
      <c r="AA1410" s="132"/>
      <c r="AB1410" s="95"/>
      <c r="AC1410" s="126"/>
      <c r="AD1410" s="340"/>
      <c r="AE1410" s="132"/>
      <c r="AF1410" s="132"/>
      <c r="AG1410" s="132"/>
      <c r="AH1410" s="132"/>
      <c r="AI1410" s="132"/>
      <c r="AJ1410" s="95"/>
      <c r="AK1410" s="95"/>
      <c r="AL1410" s="95"/>
      <c r="AM1410" s="95"/>
      <c r="AN1410" s="132"/>
      <c r="AO1410" s="132"/>
      <c r="AP1410" s="95"/>
      <c r="AQ1410" s="132"/>
      <c r="AR1410" s="132"/>
    </row>
    <row r="1411" spans="25:44" s="82" customFormat="1" x14ac:dyDescent="0.2">
      <c r="Y1411" s="132"/>
      <c r="Z1411" s="132"/>
      <c r="AA1411" s="132"/>
      <c r="AB1411" s="95"/>
      <c r="AC1411" s="126"/>
      <c r="AD1411" s="340"/>
      <c r="AE1411" s="132"/>
      <c r="AF1411" s="132"/>
      <c r="AG1411" s="132"/>
      <c r="AH1411" s="132"/>
      <c r="AI1411" s="132"/>
      <c r="AJ1411" s="95"/>
      <c r="AK1411" s="95"/>
      <c r="AL1411" s="95"/>
      <c r="AM1411" s="95"/>
      <c r="AN1411" s="132"/>
      <c r="AO1411" s="132"/>
      <c r="AP1411" s="95"/>
      <c r="AQ1411" s="132"/>
      <c r="AR1411" s="132"/>
    </row>
    <row r="1412" spans="25:44" s="82" customFormat="1" x14ac:dyDescent="0.2">
      <c r="Y1412" s="132"/>
      <c r="Z1412" s="132"/>
      <c r="AA1412" s="132"/>
      <c r="AB1412" s="95"/>
      <c r="AC1412" s="126"/>
      <c r="AD1412" s="340"/>
      <c r="AE1412" s="132"/>
      <c r="AF1412" s="132"/>
      <c r="AG1412" s="132"/>
      <c r="AH1412" s="132"/>
      <c r="AI1412" s="132"/>
      <c r="AJ1412" s="95"/>
      <c r="AK1412" s="95"/>
      <c r="AL1412" s="95"/>
      <c r="AM1412" s="95"/>
      <c r="AN1412" s="132"/>
      <c r="AO1412" s="132"/>
      <c r="AP1412" s="95"/>
      <c r="AQ1412" s="132"/>
      <c r="AR1412" s="132"/>
    </row>
    <row r="1413" spans="25:44" s="82" customFormat="1" x14ac:dyDescent="0.2">
      <c r="Y1413" s="132"/>
      <c r="Z1413" s="132"/>
      <c r="AA1413" s="132"/>
      <c r="AB1413" s="95"/>
      <c r="AC1413" s="126"/>
      <c r="AD1413" s="340"/>
      <c r="AE1413" s="132"/>
      <c r="AF1413" s="132"/>
      <c r="AG1413" s="132"/>
      <c r="AH1413" s="132"/>
      <c r="AI1413" s="132"/>
      <c r="AJ1413" s="95"/>
      <c r="AK1413" s="95"/>
      <c r="AL1413" s="95"/>
      <c r="AM1413" s="95"/>
      <c r="AN1413" s="132"/>
      <c r="AO1413" s="132"/>
      <c r="AP1413" s="95"/>
      <c r="AQ1413" s="132"/>
      <c r="AR1413" s="132"/>
    </row>
    <row r="1414" spans="25:44" s="82" customFormat="1" x14ac:dyDescent="0.2">
      <c r="Y1414" s="132"/>
      <c r="Z1414" s="132"/>
      <c r="AA1414" s="132"/>
      <c r="AB1414" s="95"/>
      <c r="AC1414" s="126"/>
      <c r="AD1414" s="340"/>
      <c r="AE1414" s="132"/>
      <c r="AF1414" s="132"/>
      <c r="AG1414" s="132"/>
      <c r="AH1414" s="132"/>
      <c r="AI1414" s="132"/>
      <c r="AJ1414" s="95"/>
      <c r="AK1414" s="95"/>
      <c r="AL1414" s="95"/>
      <c r="AM1414" s="95"/>
      <c r="AN1414" s="132"/>
      <c r="AO1414" s="132"/>
      <c r="AP1414" s="95"/>
      <c r="AQ1414" s="132"/>
      <c r="AR1414" s="132"/>
    </row>
    <row r="1415" spans="25:44" s="82" customFormat="1" x14ac:dyDescent="0.2">
      <c r="Y1415" s="132"/>
      <c r="Z1415" s="132"/>
      <c r="AA1415" s="132"/>
      <c r="AB1415" s="95"/>
      <c r="AC1415" s="126"/>
      <c r="AD1415" s="340"/>
      <c r="AE1415" s="132"/>
      <c r="AF1415" s="132"/>
      <c r="AG1415" s="132"/>
      <c r="AH1415" s="132"/>
      <c r="AI1415" s="132"/>
      <c r="AJ1415" s="95"/>
      <c r="AK1415" s="95"/>
      <c r="AL1415" s="95"/>
      <c r="AM1415" s="95"/>
      <c r="AN1415" s="132"/>
      <c r="AO1415" s="132"/>
      <c r="AP1415" s="95"/>
      <c r="AQ1415" s="132"/>
      <c r="AR1415" s="132"/>
    </row>
    <row r="1416" spans="25:44" s="82" customFormat="1" x14ac:dyDescent="0.2">
      <c r="Y1416" s="132"/>
      <c r="Z1416" s="132"/>
      <c r="AA1416" s="132"/>
      <c r="AB1416" s="95"/>
      <c r="AC1416" s="126"/>
      <c r="AD1416" s="340"/>
      <c r="AE1416" s="132"/>
      <c r="AF1416" s="132"/>
      <c r="AG1416" s="132"/>
      <c r="AH1416" s="132"/>
      <c r="AI1416" s="132"/>
      <c r="AJ1416" s="95"/>
      <c r="AK1416" s="95"/>
      <c r="AL1416" s="95"/>
      <c r="AM1416" s="95"/>
      <c r="AN1416" s="132"/>
      <c r="AO1416" s="132"/>
      <c r="AP1416" s="95"/>
      <c r="AQ1416" s="132"/>
      <c r="AR1416" s="132"/>
    </row>
    <row r="1417" spans="25:44" s="82" customFormat="1" x14ac:dyDescent="0.2">
      <c r="Y1417" s="132"/>
      <c r="Z1417" s="132"/>
      <c r="AA1417" s="132"/>
      <c r="AB1417" s="95"/>
      <c r="AC1417" s="126"/>
      <c r="AD1417" s="340"/>
      <c r="AE1417" s="132"/>
      <c r="AF1417" s="132"/>
      <c r="AG1417" s="132"/>
      <c r="AH1417" s="132"/>
      <c r="AI1417" s="132"/>
      <c r="AJ1417" s="95"/>
      <c r="AK1417" s="95"/>
      <c r="AL1417" s="95"/>
      <c r="AM1417" s="95"/>
      <c r="AN1417" s="132"/>
      <c r="AO1417" s="132"/>
      <c r="AP1417" s="95"/>
      <c r="AQ1417" s="132"/>
      <c r="AR1417" s="132"/>
    </row>
    <row r="1418" spans="25:44" s="82" customFormat="1" x14ac:dyDescent="0.2">
      <c r="Y1418" s="132"/>
      <c r="Z1418" s="132"/>
      <c r="AA1418" s="132"/>
      <c r="AB1418" s="95"/>
      <c r="AC1418" s="126"/>
      <c r="AD1418" s="340"/>
      <c r="AE1418" s="132"/>
      <c r="AF1418" s="132"/>
      <c r="AG1418" s="132"/>
      <c r="AH1418" s="132"/>
      <c r="AI1418" s="132"/>
      <c r="AJ1418" s="95"/>
      <c r="AK1418" s="95"/>
      <c r="AL1418" s="95"/>
      <c r="AM1418" s="95"/>
      <c r="AN1418" s="132"/>
      <c r="AO1418" s="132"/>
      <c r="AP1418" s="95"/>
      <c r="AQ1418" s="132"/>
      <c r="AR1418" s="132"/>
    </row>
    <row r="1419" spans="25:44" s="82" customFormat="1" x14ac:dyDescent="0.2">
      <c r="Y1419" s="132"/>
      <c r="Z1419" s="132"/>
      <c r="AA1419" s="132"/>
      <c r="AB1419" s="95"/>
      <c r="AC1419" s="126"/>
      <c r="AD1419" s="340"/>
      <c r="AE1419" s="132"/>
      <c r="AF1419" s="132"/>
      <c r="AG1419" s="132"/>
      <c r="AH1419" s="132"/>
      <c r="AI1419" s="132"/>
      <c r="AJ1419" s="95"/>
      <c r="AK1419" s="95"/>
      <c r="AL1419" s="95"/>
      <c r="AM1419" s="95"/>
      <c r="AN1419" s="132"/>
      <c r="AO1419" s="132"/>
      <c r="AP1419" s="95"/>
      <c r="AQ1419" s="132"/>
      <c r="AR1419" s="132"/>
    </row>
    <row r="1420" spans="25:44" s="82" customFormat="1" x14ac:dyDescent="0.2">
      <c r="Y1420" s="132"/>
      <c r="Z1420" s="132"/>
      <c r="AA1420" s="132"/>
      <c r="AB1420" s="95"/>
      <c r="AC1420" s="126"/>
      <c r="AD1420" s="340"/>
      <c r="AE1420" s="132"/>
      <c r="AF1420" s="132"/>
      <c r="AG1420" s="132"/>
      <c r="AH1420" s="132"/>
      <c r="AI1420" s="132"/>
      <c r="AJ1420" s="95"/>
      <c r="AK1420" s="95"/>
      <c r="AL1420" s="95"/>
      <c r="AM1420" s="95"/>
      <c r="AN1420" s="132"/>
      <c r="AO1420" s="132"/>
      <c r="AP1420" s="95"/>
      <c r="AQ1420" s="132"/>
      <c r="AR1420" s="132"/>
    </row>
    <row r="1421" spans="25:44" s="82" customFormat="1" x14ac:dyDescent="0.2">
      <c r="Y1421" s="132"/>
      <c r="Z1421" s="132"/>
      <c r="AA1421" s="132"/>
      <c r="AB1421" s="95"/>
      <c r="AC1421" s="126"/>
      <c r="AD1421" s="340"/>
      <c r="AE1421" s="132"/>
      <c r="AF1421" s="132"/>
      <c r="AG1421" s="132"/>
      <c r="AH1421" s="132"/>
      <c r="AI1421" s="132"/>
      <c r="AJ1421" s="95"/>
      <c r="AK1421" s="95"/>
      <c r="AL1421" s="95"/>
      <c r="AM1421" s="95"/>
      <c r="AN1421" s="132"/>
      <c r="AO1421" s="132"/>
      <c r="AP1421" s="95"/>
      <c r="AQ1421" s="132"/>
      <c r="AR1421" s="132"/>
    </row>
    <row r="1422" spans="25:44" s="82" customFormat="1" x14ac:dyDescent="0.2">
      <c r="Y1422" s="132"/>
      <c r="Z1422" s="132"/>
      <c r="AA1422" s="132"/>
      <c r="AB1422" s="95"/>
      <c r="AC1422" s="126"/>
      <c r="AD1422" s="340"/>
      <c r="AE1422" s="132"/>
      <c r="AF1422" s="132"/>
      <c r="AG1422" s="132"/>
      <c r="AH1422" s="132"/>
      <c r="AI1422" s="132"/>
      <c r="AJ1422" s="95"/>
      <c r="AK1422" s="95"/>
      <c r="AL1422" s="95"/>
      <c r="AM1422" s="95"/>
      <c r="AN1422" s="132"/>
      <c r="AO1422" s="132"/>
      <c r="AP1422" s="95"/>
      <c r="AQ1422" s="132"/>
      <c r="AR1422" s="132"/>
    </row>
    <row r="1423" spans="25:44" s="82" customFormat="1" x14ac:dyDescent="0.2">
      <c r="Y1423" s="132"/>
      <c r="Z1423" s="132"/>
      <c r="AA1423" s="132"/>
      <c r="AB1423" s="95"/>
      <c r="AC1423" s="126"/>
      <c r="AD1423" s="340"/>
      <c r="AE1423" s="132"/>
      <c r="AF1423" s="132"/>
      <c r="AG1423" s="132"/>
      <c r="AH1423" s="132"/>
      <c r="AI1423" s="132"/>
      <c r="AJ1423" s="95"/>
      <c r="AK1423" s="95"/>
      <c r="AL1423" s="95"/>
      <c r="AM1423" s="95"/>
      <c r="AN1423" s="132"/>
      <c r="AO1423" s="132"/>
      <c r="AP1423" s="95"/>
      <c r="AQ1423" s="132"/>
      <c r="AR1423" s="132"/>
    </row>
    <row r="1424" spans="25:44" s="82" customFormat="1" x14ac:dyDescent="0.2">
      <c r="Y1424" s="132"/>
      <c r="Z1424" s="132"/>
      <c r="AA1424" s="132"/>
      <c r="AB1424" s="95"/>
      <c r="AC1424" s="126"/>
      <c r="AD1424" s="340"/>
      <c r="AE1424" s="132"/>
      <c r="AF1424" s="132"/>
      <c r="AG1424" s="132"/>
      <c r="AH1424" s="132"/>
      <c r="AI1424" s="132"/>
      <c r="AJ1424" s="95"/>
      <c r="AK1424" s="95"/>
      <c r="AL1424" s="95"/>
      <c r="AM1424" s="95"/>
      <c r="AN1424" s="132"/>
      <c r="AO1424" s="132"/>
      <c r="AP1424" s="95"/>
      <c r="AQ1424" s="132"/>
      <c r="AR1424" s="132"/>
    </row>
    <row r="1425" spans="25:44" s="82" customFormat="1" x14ac:dyDescent="0.2">
      <c r="Y1425" s="132"/>
      <c r="Z1425" s="132"/>
      <c r="AA1425" s="132"/>
      <c r="AB1425" s="95"/>
      <c r="AC1425" s="126"/>
      <c r="AD1425" s="340"/>
      <c r="AE1425" s="132"/>
      <c r="AF1425" s="132"/>
      <c r="AG1425" s="132"/>
      <c r="AH1425" s="132"/>
      <c r="AI1425" s="132"/>
      <c r="AJ1425" s="95"/>
      <c r="AK1425" s="95"/>
      <c r="AL1425" s="95"/>
      <c r="AM1425" s="95"/>
      <c r="AN1425" s="132"/>
      <c r="AO1425" s="132"/>
      <c r="AP1425" s="95"/>
      <c r="AQ1425" s="132"/>
      <c r="AR1425" s="132"/>
    </row>
    <row r="1426" spans="25:44" s="82" customFormat="1" x14ac:dyDescent="0.2">
      <c r="Y1426" s="132"/>
      <c r="Z1426" s="132"/>
      <c r="AA1426" s="132"/>
      <c r="AB1426" s="95"/>
      <c r="AC1426" s="126"/>
      <c r="AD1426" s="340"/>
      <c r="AE1426" s="132"/>
      <c r="AF1426" s="132"/>
      <c r="AG1426" s="132"/>
      <c r="AH1426" s="132"/>
      <c r="AI1426" s="132"/>
      <c r="AJ1426" s="95"/>
      <c r="AK1426" s="95"/>
      <c r="AL1426" s="95"/>
      <c r="AM1426" s="95"/>
      <c r="AN1426" s="132"/>
      <c r="AO1426" s="132"/>
      <c r="AP1426" s="95"/>
      <c r="AQ1426" s="132"/>
      <c r="AR1426" s="132"/>
    </row>
    <row r="1427" spans="25:44" s="82" customFormat="1" x14ac:dyDescent="0.2">
      <c r="Y1427" s="132"/>
      <c r="Z1427" s="132"/>
      <c r="AA1427" s="132"/>
      <c r="AB1427" s="95"/>
      <c r="AC1427" s="126"/>
      <c r="AD1427" s="340"/>
      <c r="AE1427" s="132"/>
      <c r="AF1427" s="132"/>
      <c r="AG1427" s="132"/>
      <c r="AH1427" s="132"/>
      <c r="AI1427" s="132"/>
      <c r="AJ1427" s="95"/>
      <c r="AK1427" s="95"/>
      <c r="AL1427" s="95"/>
      <c r="AM1427" s="95"/>
      <c r="AN1427" s="132"/>
      <c r="AO1427" s="132"/>
      <c r="AP1427" s="95"/>
      <c r="AQ1427" s="132"/>
      <c r="AR1427" s="132"/>
    </row>
    <row r="1428" spans="25:44" s="82" customFormat="1" x14ac:dyDescent="0.2">
      <c r="Y1428" s="132"/>
      <c r="Z1428" s="132"/>
      <c r="AA1428" s="132"/>
      <c r="AB1428" s="95"/>
      <c r="AC1428" s="126"/>
      <c r="AD1428" s="340"/>
      <c r="AE1428" s="132"/>
      <c r="AF1428" s="132"/>
      <c r="AG1428" s="132"/>
      <c r="AH1428" s="132"/>
      <c r="AI1428" s="132"/>
      <c r="AJ1428" s="95"/>
      <c r="AK1428" s="95"/>
      <c r="AL1428" s="95"/>
      <c r="AM1428" s="95"/>
      <c r="AN1428" s="132"/>
      <c r="AO1428" s="132"/>
      <c r="AP1428" s="95"/>
      <c r="AQ1428" s="132"/>
      <c r="AR1428" s="132"/>
    </row>
    <row r="1429" spans="25:44" s="82" customFormat="1" x14ac:dyDescent="0.2">
      <c r="Y1429" s="132"/>
      <c r="Z1429" s="132"/>
      <c r="AA1429" s="132"/>
      <c r="AB1429" s="95"/>
      <c r="AC1429" s="126"/>
      <c r="AD1429" s="340"/>
      <c r="AE1429" s="132"/>
      <c r="AF1429" s="132"/>
      <c r="AG1429" s="132"/>
      <c r="AH1429" s="132"/>
      <c r="AI1429" s="132"/>
      <c r="AJ1429" s="95"/>
      <c r="AK1429" s="95"/>
      <c r="AL1429" s="95"/>
      <c r="AM1429" s="95"/>
      <c r="AN1429" s="132"/>
      <c r="AO1429" s="132"/>
      <c r="AP1429" s="95"/>
      <c r="AQ1429" s="132"/>
      <c r="AR1429" s="132"/>
    </row>
    <row r="1430" spans="25:44" s="82" customFormat="1" x14ac:dyDescent="0.2">
      <c r="Y1430" s="132"/>
      <c r="Z1430" s="132"/>
      <c r="AA1430" s="132"/>
      <c r="AB1430" s="95"/>
      <c r="AC1430" s="126"/>
      <c r="AD1430" s="340"/>
      <c r="AE1430" s="132"/>
      <c r="AF1430" s="132"/>
      <c r="AG1430" s="132"/>
      <c r="AH1430" s="132"/>
      <c r="AI1430" s="132"/>
      <c r="AJ1430" s="95"/>
      <c r="AK1430" s="95"/>
      <c r="AL1430" s="95"/>
      <c r="AM1430" s="95"/>
      <c r="AN1430" s="132"/>
      <c r="AO1430" s="132"/>
      <c r="AP1430" s="95"/>
      <c r="AQ1430" s="132"/>
      <c r="AR1430" s="132"/>
    </row>
    <row r="1431" spans="25:44" s="82" customFormat="1" x14ac:dyDescent="0.2">
      <c r="Y1431" s="132"/>
      <c r="Z1431" s="132"/>
      <c r="AA1431" s="132"/>
      <c r="AB1431" s="95"/>
      <c r="AC1431" s="126"/>
      <c r="AD1431" s="340"/>
      <c r="AE1431" s="132"/>
      <c r="AF1431" s="132"/>
      <c r="AG1431" s="132"/>
      <c r="AH1431" s="132"/>
      <c r="AI1431" s="132"/>
      <c r="AJ1431" s="95"/>
      <c r="AK1431" s="95"/>
      <c r="AL1431" s="95"/>
      <c r="AM1431" s="95"/>
      <c r="AN1431" s="132"/>
      <c r="AO1431" s="132"/>
      <c r="AP1431" s="95"/>
      <c r="AQ1431" s="132"/>
      <c r="AR1431" s="132"/>
    </row>
    <row r="1432" spans="25:44" s="82" customFormat="1" x14ac:dyDescent="0.2">
      <c r="Y1432" s="132"/>
      <c r="Z1432" s="132"/>
      <c r="AA1432" s="132"/>
      <c r="AB1432" s="95"/>
      <c r="AC1432" s="126"/>
      <c r="AD1432" s="340"/>
      <c r="AE1432" s="132"/>
      <c r="AF1432" s="132"/>
      <c r="AG1432" s="132"/>
      <c r="AH1432" s="132"/>
      <c r="AI1432" s="132"/>
      <c r="AJ1432" s="95"/>
      <c r="AK1432" s="95"/>
      <c r="AL1432" s="95"/>
      <c r="AM1432" s="95"/>
      <c r="AN1432" s="132"/>
      <c r="AO1432" s="132"/>
      <c r="AP1432" s="95"/>
      <c r="AQ1432" s="132"/>
      <c r="AR1432" s="132"/>
    </row>
    <row r="1433" spans="25:44" s="82" customFormat="1" x14ac:dyDescent="0.2">
      <c r="Y1433" s="132"/>
      <c r="Z1433" s="132"/>
      <c r="AA1433" s="132"/>
      <c r="AB1433" s="95"/>
      <c r="AC1433" s="126"/>
      <c r="AD1433" s="340"/>
      <c r="AE1433" s="132"/>
      <c r="AF1433" s="132"/>
      <c r="AG1433" s="132"/>
      <c r="AH1433" s="132"/>
      <c r="AI1433" s="132"/>
      <c r="AJ1433" s="95"/>
      <c r="AK1433" s="95"/>
      <c r="AL1433" s="95"/>
      <c r="AM1433" s="95"/>
      <c r="AN1433" s="132"/>
      <c r="AO1433" s="132"/>
      <c r="AP1433" s="95"/>
      <c r="AQ1433" s="132"/>
      <c r="AR1433" s="132"/>
    </row>
    <row r="1434" spans="25:44" s="82" customFormat="1" x14ac:dyDescent="0.2">
      <c r="Y1434" s="132"/>
      <c r="Z1434" s="132"/>
      <c r="AA1434" s="132"/>
      <c r="AB1434" s="95"/>
      <c r="AC1434" s="126"/>
      <c r="AD1434" s="340"/>
      <c r="AE1434" s="132"/>
      <c r="AF1434" s="132"/>
      <c r="AG1434" s="132"/>
      <c r="AH1434" s="132"/>
      <c r="AI1434" s="132"/>
      <c r="AJ1434" s="95"/>
      <c r="AK1434" s="95"/>
      <c r="AL1434" s="95"/>
      <c r="AM1434" s="95"/>
      <c r="AN1434" s="132"/>
      <c r="AO1434" s="132"/>
      <c r="AP1434" s="95"/>
      <c r="AQ1434" s="132"/>
      <c r="AR1434" s="132"/>
    </row>
    <row r="1435" spans="25:44" s="82" customFormat="1" x14ac:dyDescent="0.2">
      <c r="Y1435" s="132"/>
      <c r="Z1435" s="132"/>
      <c r="AA1435" s="132"/>
      <c r="AB1435" s="95"/>
      <c r="AC1435" s="126"/>
      <c r="AD1435" s="340"/>
      <c r="AE1435" s="132"/>
      <c r="AF1435" s="132"/>
      <c r="AG1435" s="132"/>
      <c r="AH1435" s="132"/>
      <c r="AI1435" s="132"/>
      <c r="AJ1435" s="95"/>
      <c r="AK1435" s="95"/>
      <c r="AL1435" s="95"/>
      <c r="AM1435" s="95"/>
      <c r="AN1435" s="132"/>
      <c r="AO1435" s="132"/>
      <c r="AP1435" s="95"/>
      <c r="AQ1435" s="132"/>
      <c r="AR1435" s="132"/>
    </row>
    <row r="1436" spans="25:44" s="82" customFormat="1" x14ac:dyDescent="0.2">
      <c r="Y1436" s="132"/>
      <c r="Z1436" s="132"/>
      <c r="AA1436" s="132"/>
      <c r="AB1436" s="95"/>
      <c r="AC1436" s="126"/>
      <c r="AD1436" s="340"/>
      <c r="AE1436" s="132"/>
      <c r="AF1436" s="132"/>
      <c r="AG1436" s="132"/>
      <c r="AH1436" s="132"/>
      <c r="AI1436" s="132"/>
      <c r="AJ1436" s="95"/>
      <c r="AK1436" s="95"/>
      <c r="AL1436" s="95"/>
      <c r="AM1436" s="95"/>
      <c r="AN1436" s="132"/>
      <c r="AO1436" s="132"/>
      <c r="AP1436" s="95"/>
      <c r="AQ1436" s="132"/>
      <c r="AR1436" s="132"/>
    </row>
    <row r="1437" spans="25:44" s="82" customFormat="1" x14ac:dyDescent="0.2">
      <c r="Y1437" s="132"/>
      <c r="Z1437" s="132"/>
      <c r="AA1437" s="132"/>
      <c r="AB1437" s="95"/>
      <c r="AC1437" s="126"/>
      <c r="AD1437" s="340"/>
      <c r="AE1437" s="132"/>
      <c r="AF1437" s="132"/>
      <c r="AG1437" s="132"/>
      <c r="AH1437" s="132"/>
      <c r="AI1437" s="132"/>
      <c r="AJ1437" s="95"/>
      <c r="AK1437" s="95"/>
      <c r="AL1437" s="95"/>
      <c r="AM1437" s="95"/>
      <c r="AN1437" s="132"/>
      <c r="AO1437" s="132"/>
      <c r="AP1437" s="95"/>
      <c r="AQ1437" s="132"/>
      <c r="AR1437" s="132"/>
    </row>
    <row r="1438" spans="25:44" s="82" customFormat="1" x14ac:dyDescent="0.2">
      <c r="Y1438" s="132"/>
      <c r="Z1438" s="132"/>
      <c r="AA1438" s="132"/>
      <c r="AB1438" s="95"/>
      <c r="AC1438" s="126"/>
      <c r="AD1438" s="340"/>
      <c r="AE1438" s="132"/>
      <c r="AF1438" s="132"/>
      <c r="AG1438" s="132"/>
      <c r="AH1438" s="132"/>
      <c r="AI1438" s="132"/>
      <c r="AJ1438" s="95"/>
      <c r="AK1438" s="95"/>
      <c r="AL1438" s="95"/>
      <c r="AM1438" s="95"/>
      <c r="AN1438" s="132"/>
      <c r="AO1438" s="132"/>
      <c r="AP1438" s="95"/>
      <c r="AQ1438" s="132"/>
      <c r="AR1438" s="132"/>
    </row>
    <row r="1439" spans="25:44" s="82" customFormat="1" x14ac:dyDescent="0.2">
      <c r="Y1439" s="132"/>
      <c r="Z1439" s="132"/>
      <c r="AA1439" s="132"/>
      <c r="AB1439" s="95"/>
      <c r="AC1439" s="126"/>
      <c r="AD1439" s="340"/>
      <c r="AE1439" s="132"/>
      <c r="AF1439" s="132"/>
      <c r="AG1439" s="132"/>
      <c r="AH1439" s="132"/>
      <c r="AI1439" s="132"/>
      <c r="AJ1439" s="95"/>
      <c r="AK1439" s="95"/>
      <c r="AL1439" s="95"/>
      <c r="AM1439" s="95"/>
      <c r="AN1439" s="132"/>
      <c r="AO1439" s="132"/>
      <c r="AP1439" s="95"/>
      <c r="AQ1439" s="132"/>
      <c r="AR1439" s="132"/>
    </row>
    <row r="1440" spans="25:44" s="82" customFormat="1" x14ac:dyDescent="0.2">
      <c r="Y1440" s="132"/>
      <c r="Z1440" s="132"/>
      <c r="AA1440" s="132"/>
      <c r="AB1440" s="95"/>
      <c r="AC1440" s="126"/>
      <c r="AD1440" s="340"/>
      <c r="AE1440" s="132"/>
      <c r="AF1440" s="132"/>
      <c r="AG1440" s="132"/>
      <c r="AH1440" s="132"/>
      <c r="AI1440" s="132"/>
      <c r="AJ1440" s="95"/>
      <c r="AK1440" s="95"/>
      <c r="AL1440" s="95"/>
      <c r="AM1440" s="95"/>
      <c r="AN1440" s="132"/>
      <c r="AO1440" s="132"/>
      <c r="AP1440" s="95"/>
      <c r="AQ1440" s="132"/>
      <c r="AR1440" s="132"/>
    </row>
    <row r="1441" spans="25:44" s="82" customFormat="1" x14ac:dyDescent="0.2">
      <c r="Y1441" s="132"/>
      <c r="Z1441" s="132"/>
      <c r="AA1441" s="132"/>
      <c r="AB1441" s="95"/>
      <c r="AC1441" s="126"/>
      <c r="AD1441" s="340"/>
      <c r="AE1441" s="132"/>
      <c r="AF1441" s="132"/>
      <c r="AG1441" s="132"/>
      <c r="AH1441" s="132"/>
      <c r="AI1441" s="132"/>
      <c r="AJ1441" s="95"/>
      <c r="AK1441" s="95"/>
      <c r="AL1441" s="95"/>
      <c r="AM1441" s="95"/>
      <c r="AN1441" s="132"/>
      <c r="AO1441" s="132"/>
      <c r="AP1441" s="95"/>
      <c r="AQ1441" s="132"/>
      <c r="AR1441" s="132"/>
    </row>
    <row r="1442" spans="25:44" s="82" customFormat="1" x14ac:dyDescent="0.2">
      <c r="Y1442" s="132"/>
      <c r="Z1442" s="132"/>
      <c r="AA1442" s="132"/>
      <c r="AB1442" s="95"/>
      <c r="AC1442" s="126"/>
      <c r="AD1442" s="340"/>
      <c r="AE1442" s="132"/>
      <c r="AF1442" s="132"/>
      <c r="AG1442" s="132"/>
      <c r="AH1442" s="132"/>
      <c r="AI1442" s="132"/>
      <c r="AJ1442" s="95"/>
      <c r="AK1442" s="95"/>
      <c r="AL1442" s="95"/>
      <c r="AM1442" s="95"/>
      <c r="AN1442" s="132"/>
      <c r="AO1442" s="132"/>
      <c r="AP1442" s="95"/>
      <c r="AQ1442" s="132"/>
      <c r="AR1442" s="132"/>
    </row>
    <row r="1443" spans="25:44" s="82" customFormat="1" x14ac:dyDescent="0.2">
      <c r="Y1443" s="132"/>
      <c r="Z1443" s="132"/>
      <c r="AA1443" s="132"/>
      <c r="AB1443" s="95"/>
      <c r="AC1443" s="126"/>
      <c r="AD1443" s="340"/>
      <c r="AE1443" s="132"/>
      <c r="AF1443" s="132"/>
      <c r="AG1443" s="132"/>
      <c r="AH1443" s="132"/>
      <c r="AI1443" s="132"/>
      <c r="AJ1443" s="95"/>
      <c r="AK1443" s="95"/>
      <c r="AL1443" s="95"/>
      <c r="AM1443" s="95"/>
      <c r="AN1443" s="132"/>
      <c r="AO1443" s="132"/>
      <c r="AP1443" s="95"/>
      <c r="AQ1443" s="132"/>
      <c r="AR1443" s="132"/>
    </row>
    <row r="1444" spans="25:44" s="82" customFormat="1" x14ac:dyDescent="0.2">
      <c r="Y1444" s="132"/>
      <c r="Z1444" s="132"/>
      <c r="AA1444" s="132"/>
      <c r="AB1444" s="95"/>
      <c r="AC1444" s="126"/>
      <c r="AD1444" s="340"/>
      <c r="AE1444" s="132"/>
      <c r="AF1444" s="132"/>
      <c r="AG1444" s="132"/>
      <c r="AH1444" s="132"/>
      <c r="AI1444" s="132"/>
      <c r="AJ1444" s="95"/>
      <c r="AK1444" s="95"/>
      <c r="AL1444" s="95"/>
      <c r="AM1444" s="95"/>
      <c r="AN1444" s="132"/>
      <c r="AO1444" s="132"/>
      <c r="AP1444" s="95"/>
      <c r="AQ1444" s="132"/>
      <c r="AR1444" s="132"/>
    </row>
    <row r="1445" spans="25:44" s="82" customFormat="1" x14ac:dyDescent="0.2">
      <c r="Y1445" s="132"/>
      <c r="Z1445" s="132"/>
      <c r="AA1445" s="132"/>
      <c r="AB1445" s="95"/>
      <c r="AC1445" s="126"/>
      <c r="AD1445" s="340"/>
      <c r="AE1445" s="132"/>
      <c r="AF1445" s="132"/>
      <c r="AG1445" s="132"/>
      <c r="AH1445" s="132"/>
      <c r="AI1445" s="132"/>
      <c r="AJ1445" s="95"/>
      <c r="AK1445" s="95"/>
      <c r="AL1445" s="95"/>
      <c r="AM1445" s="95"/>
      <c r="AN1445" s="132"/>
      <c r="AO1445" s="132"/>
      <c r="AP1445" s="95"/>
      <c r="AQ1445" s="132"/>
      <c r="AR1445" s="132"/>
    </row>
    <row r="1446" spans="25:44" s="82" customFormat="1" x14ac:dyDescent="0.2">
      <c r="Y1446" s="132"/>
      <c r="Z1446" s="132"/>
      <c r="AA1446" s="132"/>
      <c r="AB1446" s="95"/>
      <c r="AC1446" s="126"/>
      <c r="AD1446" s="340"/>
      <c r="AE1446" s="132"/>
      <c r="AF1446" s="132"/>
      <c r="AG1446" s="132"/>
      <c r="AH1446" s="132"/>
      <c r="AI1446" s="132"/>
      <c r="AJ1446" s="95"/>
      <c r="AK1446" s="95"/>
      <c r="AL1446" s="95"/>
      <c r="AM1446" s="95"/>
      <c r="AN1446" s="132"/>
      <c r="AO1446" s="132"/>
      <c r="AP1446" s="95"/>
      <c r="AQ1446" s="132"/>
      <c r="AR1446" s="132"/>
    </row>
    <row r="1447" spans="25:44" s="82" customFormat="1" x14ac:dyDescent="0.2">
      <c r="Y1447" s="132"/>
      <c r="Z1447" s="132"/>
      <c r="AA1447" s="132"/>
      <c r="AB1447" s="95"/>
      <c r="AC1447" s="126"/>
      <c r="AD1447" s="340"/>
      <c r="AE1447" s="132"/>
      <c r="AF1447" s="132"/>
      <c r="AG1447" s="132"/>
      <c r="AH1447" s="132"/>
      <c r="AI1447" s="132"/>
      <c r="AJ1447" s="95"/>
      <c r="AK1447" s="95"/>
      <c r="AL1447" s="95"/>
      <c r="AM1447" s="95"/>
      <c r="AN1447" s="132"/>
      <c r="AO1447" s="132"/>
      <c r="AP1447" s="95"/>
      <c r="AQ1447" s="132"/>
      <c r="AR1447" s="132"/>
    </row>
    <row r="1448" spans="25:44" s="82" customFormat="1" x14ac:dyDescent="0.2">
      <c r="Y1448" s="132"/>
      <c r="Z1448" s="132"/>
      <c r="AA1448" s="132"/>
      <c r="AB1448" s="95"/>
      <c r="AC1448" s="126"/>
      <c r="AD1448" s="340"/>
      <c r="AE1448" s="132"/>
      <c r="AF1448" s="132"/>
      <c r="AG1448" s="132"/>
      <c r="AH1448" s="132"/>
      <c r="AI1448" s="132"/>
      <c r="AJ1448" s="95"/>
      <c r="AK1448" s="95"/>
      <c r="AL1448" s="95"/>
      <c r="AM1448" s="95"/>
      <c r="AN1448" s="132"/>
      <c r="AO1448" s="132"/>
      <c r="AP1448" s="95"/>
      <c r="AQ1448" s="132"/>
      <c r="AR1448" s="132"/>
    </row>
  </sheetData>
  <mergeCells count="1">
    <mergeCell ref="B144:D144"/>
  </mergeCells>
  <phoneticPr fontId="3" type="noConversion"/>
  <pageMargins left="0.38" right="0.23" top="0.91" bottom="0.59" header="0.42" footer="0.21"/>
  <pageSetup scale="70" orientation="landscape" r:id="rId1"/>
  <headerFooter alignWithMargins="0">
    <oddHeader>&amp;L&amp;"Arial,Bold"&amp;12Department of Corrections&amp;R&amp;"Arial,Bold"&amp;12Justice System Appropriations Subcommittee</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67"/>
  <sheetViews>
    <sheetView topLeftCell="F1" zoomScale="80" zoomScaleNormal="80" workbookViewId="0">
      <selection activeCell="AJ1" sqref="AJ1:AO1048576"/>
    </sheetView>
  </sheetViews>
  <sheetFormatPr defaultColWidth="9.109375" defaultRowHeight="13.2" x14ac:dyDescent="0.25"/>
  <cols>
    <col min="1" max="1" width="2.109375" style="59" customWidth="1"/>
    <col min="2" max="2" width="14" style="59" customWidth="1"/>
    <col min="3" max="3" width="0.6640625" style="59" customWidth="1"/>
    <col min="4" max="4" width="17.109375" style="24" customWidth="1"/>
    <col min="5" max="5" width="1.109375" style="59" customWidth="1"/>
    <col min="6" max="6" width="26.5546875" style="25" customWidth="1"/>
    <col min="7" max="7" width="1" style="91" customWidth="1"/>
    <col min="8" max="8" width="27.44140625" style="25" customWidth="1"/>
    <col min="9" max="9" width="1" style="91" customWidth="1"/>
    <col min="10" max="10" width="12.6640625" style="91" customWidth="1"/>
    <col min="11" max="11" width="1.33203125" style="59" customWidth="1"/>
    <col min="12" max="12" width="11.44140625" style="91" customWidth="1"/>
    <col min="13" max="13" width="1" style="59" customWidth="1"/>
    <col min="14" max="14" width="14.5546875" style="91" customWidth="1"/>
    <col min="15" max="15" width="0.5546875" style="59" customWidth="1"/>
    <col min="16" max="16" width="9.44140625" style="91" bestFit="1" customWidth="1"/>
    <col min="17" max="17" width="21.109375" style="148" customWidth="1"/>
    <col min="18" max="18" width="10.44140625" style="59" hidden="1" customWidth="1"/>
    <col min="19" max="19" width="0.88671875" style="59" hidden="1" customWidth="1"/>
    <col min="20" max="20" width="14" style="92" hidden="1" customWidth="1"/>
    <col min="21" max="21" width="0.88671875" style="59" hidden="1" customWidth="1"/>
    <col min="22" max="22" width="10.88671875" style="59" hidden="1" customWidth="1"/>
    <col min="23" max="23" width="1.44140625" style="59" hidden="1" customWidth="1"/>
    <col min="24" max="24" width="12" style="59" hidden="1" customWidth="1"/>
    <col min="25" max="25" width="0.88671875" style="59" customWidth="1"/>
    <col min="26" max="26" width="10.44140625" style="59" customWidth="1"/>
    <col min="27" max="27" width="0.88671875" style="59" customWidth="1"/>
    <col min="28" max="28" width="14" style="92" customWidth="1"/>
    <col min="29" max="29" width="0.88671875" style="59" customWidth="1"/>
    <col min="30" max="30" width="10.88671875" style="59" customWidth="1"/>
    <col min="31" max="31" width="1.44140625" style="59" customWidth="1"/>
    <col min="32" max="32" width="12" style="59" customWidth="1"/>
    <col min="33" max="33" width="10.88671875" style="59" customWidth="1"/>
    <col min="34" max="34" width="1.44140625" style="59" customWidth="1"/>
    <col min="35" max="35" width="12" style="59" customWidth="1"/>
    <col min="36" max="36" width="0" hidden="1" customWidth="1"/>
    <col min="37" max="41" width="0" style="57" hidden="1" customWidth="1"/>
    <col min="42" max="266" width="9.109375" style="57"/>
    <col min="267" max="267" width="2.109375" style="57" customWidth="1"/>
    <col min="268" max="268" width="14" style="57" customWidth="1"/>
    <col min="269" max="269" width="0.6640625" style="57" customWidth="1"/>
    <col min="270" max="270" width="17.109375" style="57" customWidth="1"/>
    <col min="271" max="271" width="1.109375" style="57" customWidth="1"/>
    <col min="272" max="272" width="26.5546875" style="57" customWidth="1"/>
    <col min="273" max="273" width="1" style="57" customWidth="1"/>
    <col min="274" max="274" width="32.88671875" style="57" customWidth="1"/>
    <col min="275" max="275" width="1" style="57" customWidth="1"/>
    <col min="276" max="276" width="12.6640625" style="57" customWidth="1"/>
    <col min="277" max="277" width="1.33203125" style="57" customWidth="1"/>
    <col min="278" max="278" width="11.44140625" style="57" customWidth="1"/>
    <col min="279" max="279" width="1" style="57" customWidth="1"/>
    <col min="280" max="280" width="10.44140625" style="57" customWidth="1"/>
    <col min="281" max="281" width="0.88671875" style="57" customWidth="1"/>
    <col min="282" max="282" width="14" style="57" customWidth="1"/>
    <col min="283" max="283" width="0.88671875" style="57" customWidth="1"/>
    <col min="284" max="284" width="10.88671875" style="57" customWidth="1"/>
    <col min="285" max="285" width="1.44140625" style="57" customWidth="1"/>
    <col min="286" max="286" width="10.88671875" style="57" customWidth="1"/>
    <col min="287" max="287" width="0.88671875" style="57" customWidth="1"/>
    <col min="288" max="288" width="16" style="57" customWidth="1"/>
    <col min="289" max="289" width="0.5546875" style="57" customWidth="1"/>
    <col min="290" max="290" width="9.44140625" style="57" bestFit="1" customWidth="1"/>
    <col min="291" max="291" width="1.109375" style="57" customWidth="1"/>
    <col min="292" max="522" width="9.109375" style="57"/>
    <col min="523" max="523" width="2.109375" style="57" customWidth="1"/>
    <col min="524" max="524" width="14" style="57" customWidth="1"/>
    <col min="525" max="525" width="0.6640625" style="57" customWidth="1"/>
    <col min="526" max="526" width="17.109375" style="57" customWidth="1"/>
    <col min="527" max="527" width="1.109375" style="57" customWidth="1"/>
    <col min="528" max="528" width="26.5546875" style="57" customWidth="1"/>
    <col min="529" max="529" width="1" style="57" customWidth="1"/>
    <col min="530" max="530" width="32.88671875" style="57" customWidth="1"/>
    <col min="531" max="531" width="1" style="57" customWidth="1"/>
    <col min="532" max="532" width="12.6640625" style="57" customWidth="1"/>
    <col min="533" max="533" width="1.33203125" style="57" customWidth="1"/>
    <col min="534" max="534" width="11.44140625" style="57" customWidth="1"/>
    <col min="535" max="535" width="1" style="57" customWidth="1"/>
    <col min="536" max="536" width="10.44140625" style="57" customWidth="1"/>
    <col min="537" max="537" width="0.88671875" style="57" customWidth="1"/>
    <col min="538" max="538" width="14" style="57" customWidth="1"/>
    <col min="539" max="539" width="0.88671875" style="57" customWidth="1"/>
    <col min="540" max="540" width="10.88671875" style="57" customWidth="1"/>
    <col min="541" max="541" width="1.44140625" style="57" customWidth="1"/>
    <col min="542" max="542" width="10.88671875" style="57" customWidth="1"/>
    <col min="543" max="543" width="0.88671875" style="57" customWidth="1"/>
    <col min="544" max="544" width="16" style="57" customWidth="1"/>
    <col min="545" max="545" width="0.5546875" style="57" customWidth="1"/>
    <col min="546" max="546" width="9.44140625" style="57" bestFit="1" customWidth="1"/>
    <col min="547" max="547" width="1.109375" style="57" customWidth="1"/>
    <col min="548" max="778" width="9.109375" style="57"/>
    <col min="779" max="779" width="2.109375" style="57" customWidth="1"/>
    <col min="780" max="780" width="14" style="57" customWidth="1"/>
    <col min="781" max="781" width="0.6640625" style="57" customWidth="1"/>
    <col min="782" max="782" width="17.109375" style="57" customWidth="1"/>
    <col min="783" max="783" width="1.109375" style="57" customWidth="1"/>
    <col min="784" max="784" width="26.5546875" style="57" customWidth="1"/>
    <col min="785" max="785" width="1" style="57" customWidth="1"/>
    <col min="786" max="786" width="32.88671875" style="57" customWidth="1"/>
    <col min="787" max="787" width="1" style="57" customWidth="1"/>
    <col min="788" max="788" width="12.6640625" style="57" customWidth="1"/>
    <col min="789" max="789" width="1.33203125" style="57" customWidth="1"/>
    <col min="790" max="790" width="11.44140625" style="57" customWidth="1"/>
    <col min="791" max="791" width="1" style="57" customWidth="1"/>
    <col min="792" max="792" width="10.44140625" style="57" customWidth="1"/>
    <col min="793" max="793" width="0.88671875" style="57" customWidth="1"/>
    <col min="794" max="794" width="14" style="57" customWidth="1"/>
    <col min="795" max="795" width="0.88671875" style="57" customWidth="1"/>
    <col min="796" max="796" width="10.88671875" style="57" customWidth="1"/>
    <col min="797" max="797" width="1.44140625" style="57" customWidth="1"/>
    <col min="798" max="798" width="10.88671875" style="57" customWidth="1"/>
    <col min="799" max="799" width="0.88671875" style="57" customWidth="1"/>
    <col min="800" max="800" width="16" style="57" customWidth="1"/>
    <col min="801" max="801" width="0.5546875" style="57" customWidth="1"/>
    <col min="802" max="802" width="9.44140625" style="57" bestFit="1" customWidth="1"/>
    <col min="803" max="803" width="1.109375" style="57" customWidth="1"/>
    <col min="804" max="1034" width="9.109375" style="57"/>
    <col min="1035" max="1035" width="2.109375" style="57" customWidth="1"/>
    <col min="1036" max="1036" width="14" style="57" customWidth="1"/>
    <col min="1037" max="1037" width="0.6640625" style="57" customWidth="1"/>
    <col min="1038" max="1038" width="17.109375" style="57" customWidth="1"/>
    <col min="1039" max="1039" width="1.109375" style="57" customWidth="1"/>
    <col min="1040" max="1040" width="26.5546875" style="57" customWidth="1"/>
    <col min="1041" max="1041" width="1" style="57" customWidth="1"/>
    <col min="1042" max="1042" width="32.88671875" style="57" customWidth="1"/>
    <col min="1043" max="1043" width="1" style="57" customWidth="1"/>
    <col min="1044" max="1044" width="12.6640625" style="57" customWidth="1"/>
    <col min="1045" max="1045" width="1.33203125" style="57" customWidth="1"/>
    <col min="1046" max="1046" width="11.44140625" style="57" customWidth="1"/>
    <col min="1047" max="1047" width="1" style="57" customWidth="1"/>
    <col min="1048" max="1048" width="10.44140625" style="57" customWidth="1"/>
    <col min="1049" max="1049" width="0.88671875" style="57" customWidth="1"/>
    <col min="1050" max="1050" width="14" style="57" customWidth="1"/>
    <col min="1051" max="1051" width="0.88671875" style="57" customWidth="1"/>
    <col min="1052" max="1052" width="10.88671875" style="57" customWidth="1"/>
    <col min="1053" max="1053" width="1.44140625" style="57" customWidth="1"/>
    <col min="1054" max="1054" width="10.88671875" style="57" customWidth="1"/>
    <col min="1055" max="1055" width="0.88671875" style="57" customWidth="1"/>
    <col min="1056" max="1056" width="16" style="57" customWidth="1"/>
    <col min="1057" max="1057" width="0.5546875" style="57" customWidth="1"/>
    <col min="1058" max="1058" width="9.44140625" style="57" bestFit="1" customWidth="1"/>
    <col min="1059" max="1059" width="1.109375" style="57" customWidth="1"/>
    <col min="1060" max="1290" width="9.109375" style="57"/>
    <col min="1291" max="1291" width="2.109375" style="57" customWidth="1"/>
    <col min="1292" max="1292" width="14" style="57" customWidth="1"/>
    <col min="1293" max="1293" width="0.6640625" style="57" customWidth="1"/>
    <col min="1294" max="1294" width="17.109375" style="57" customWidth="1"/>
    <col min="1295" max="1295" width="1.109375" style="57" customWidth="1"/>
    <col min="1296" max="1296" width="26.5546875" style="57" customWidth="1"/>
    <col min="1297" max="1297" width="1" style="57" customWidth="1"/>
    <col min="1298" max="1298" width="32.88671875" style="57" customWidth="1"/>
    <col min="1299" max="1299" width="1" style="57" customWidth="1"/>
    <col min="1300" max="1300" width="12.6640625" style="57" customWidth="1"/>
    <col min="1301" max="1301" width="1.33203125" style="57" customWidth="1"/>
    <col min="1302" max="1302" width="11.44140625" style="57" customWidth="1"/>
    <col min="1303" max="1303" width="1" style="57" customWidth="1"/>
    <col min="1304" max="1304" width="10.44140625" style="57" customWidth="1"/>
    <col min="1305" max="1305" width="0.88671875" style="57" customWidth="1"/>
    <col min="1306" max="1306" width="14" style="57" customWidth="1"/>
    <col min="1307" max="1307" width="0.88671875" style="57" customWidth="1"/>
    <col min="1308" max="1308" width="10.88671875" style="57" customWidth="1"/>
    <col min="1309" max="1309" width="1.44140625" style="57" customWidth="1"/>
    <col min="1310" max="1310" width="10.88671875" style="57" customWidth="1"/>
    <col min="1311" max="1311" width="0.88671875" style="57" customWidth="1"/>
    <col min="1312" max="1312" width="16" style="57" customWidth="1"/>
    <col min="1313" max="1313" width="0.5546875" style="57" customWidth="1"/>
    <col min="1314" max="1314" width="9.44140625" style="57" bestFit="1" customWidth="1"/>
    <col min="1315" max="1315" width="1.109375" style="57" customWidth="1"/>
    <col min="1316" max="1546" width="9.109375" style="57"/>
    <col min="1547" max="1547" width="2.109375" style="57" customWidth="1"/>
    <col min="1548" max="1548" width="14" style="57" customWidth="1"/>
    <col min="1549" max="1549" width="0.6640625" style="57" customWidth="1"/>
    <col min="1550" max="1550" width="17.109375" style="57" customWidth="1"/>
    <col min="1551" max="1551" width="1.109375" style="57" customWidth="1"/>
    <col min="1552" max="1552" width="26.5546875" style="57" customWidth="1"/>
    <col min="1553" max="1553" width="1" style="57" customWidth="1"/>
    <col min="1554" max="1554" width="32.88671875" style="57" customWidth="1"/>
    <col min="1555" max="1555" width="1" style="57" customWidth="1"/>
    <col min="1556" max="1556" width="12.6640625" style="57" customWidth="1"/>
    <col min="1557" max="1557" width="1.33203125" style="57" customWidth="1"/>
    <col min="1558" max="1558" width="11.44140625" style="57" customWidth="1"/>
    <col min="1559" max="1559" width="1" style="57" customWidth="1"/>
    <col min="1560" max="1560" width="10.44140625" style="57" customWidth="1"/>
    <col min="1561" max="1561" width="0.88671875" style="57" customWidth="1"/>
    <col min="1562" max="1562" width="14" style="57" customWidth="1"/>
    <col min="1563" max="1563" width="0.88671875" style="57" customWidth="1"/>
    <col min="1564" max="1564" width="10.88671875" style="57" customWidth="1"/>
    <col min="1565" max="1565" width="1.44140625" style="57" customWidth="1"/>
    <col min="1566" max="1566" width="10.88671875" style="57" customWidth="1"/>
    <col min="1567" max="1567" width="0.88671875" style="57" customWidth="1"/>
    <col min="1568" max="1568" width="16" style="57" customWidth="1"/>
    <col min="1569" max="1569" width="0.5546875" style="57" customWidth="1"/>
    <col min="1570" max="1570" width="9.44140625" style="57" bestFit="1" customWidth="1"/>
    <col min="1571" max="1571" width="1.109375" style="57" customWidth="1"/>
    <col min="1572" max="1802" width="9.109375" style="57"/>
    <col min="1803" max="1803" width="2.109375" style="57" customWidth="1"/>
    <col min="1804" max="1804" width="14" style="57" customWidth="1"/>
    <col min="1805" max="1805" width="0.6640625" style="57" customWidth="1"/>
    <col min="1806" max="1806" width="17.109375" style="57" customWidth="1"/>
    <col min="1807" max="1807" width="1.109375" style="57" customWidth="1"/>
    <col min="1808" max="1808" width="26.5546875" style="57" customWidth="1"/>
    <col min="1809" max="1809" width="1" style="57" customWidth="1"/>
    <col min="1810" max="1810" width="32.88671875" style="57" customWidth="1"/>
    <col min="1811" max="1811" width="1" style="57" customWidth="1"/>
    <col min="1812" max="1812" width="12.6640625" style="57" customWidth="1"/>
    <col min="1813" max="1813" width="1.33203125" style="57" customWidth="1"/>
    <col min="1814" max="1814" width="11.44140625" style="57" customWidth="1"/>
    <col min="1815" max="1815" width="1" style="57" customWidth="1"/>
    <col min="1816" max="1816" width="10.44140625" style="57" customWidth="1"/>
    <col min="1817" max="1817" width="0.88671875" style="57" customWidth="1"/>
    <col min="1818" max="1818" width="14" style="57" customWidth="1"/>
    <col min="1819" max="1819" width="0.88671875" style="57" customWidth="1"/>
    <col min="1820" max="1820" width="10.88671875" style="57" customWidth="1"/>
    <col min="1821" max="1821" width="1.44140625" style="57" customWidth="1"/>
    <col min="1822" max="1822" width="10.88671875" style="57" customWidth="1"/>
    <col min="1823" max="1823" width="0.88671875" style="57" customWidth="1"/>
    <col min="1824" max="1824" width="16" style="57" customWidth="1"/>
    <col min="1825" max="1825" width="0.5546875" style="57" customWidth="1"/>
    <col min="1826" max="1826" width="9.44140625" style="57" bestFit="1" customWidth="1"/>
    <col min="1827" max="1827" width="1.109375" style="57" customWidth="1"/>
    <col min="1828" max="2058" width="9.109375" style="57"/>
    <col min="2059" max="2059" width="2.109375" style="57" customWidth="1"/>
    <col min="2060" max="2060" width="14" style="57" customWidth="1"/>
    <col min="2061" max="2061" width="0.6640625" style="57" customWidth="1"/>
    <col min="2062" max="2062" width="17.109375" style="57" customWidth="1"/>
    <col min="2063" max="2063" width="1.109375" style="57" customWidth="1"/>
    <col min="2064" max="2064" width="26.5546875" style="57" customWidth="1"/>
    <col min="2065" max="2065" width="1" style="57" customWidth="1"/>
    <col min="2066" max="2066" width="32.88671875" style="57" customWidth="1"/>
    <col min="2067" max="2067" width="1" style="57" customWidth="1"/>
    <col min="2068" max="2068" width="12.6640625" style="57" customWidth="1"/>
    <col min="2069" max="2069" width="1.33203125" style="57" customWidth="1"/>
    <col min="2070" max="2070" width="11.44140625" style="57" customWidth="1"/>
    <col min="2071" max="2071" width="1" style="57" customWidth="1"/>
    <col min="2072" max="2072" width="10.44140625" style="57" customWidth="1"/>
    <col min="2073" max="2073" width="0.88671875" style="57" customWidth="1"/>
    <col min="2074" max="2074" width="14" style="57" customWidth="1"/>
    <col min="2075" max="2075" width="0.88671875" style="57" customWidth="1"/>
    <col min="2076" max="2076" width="10.88671875" style="57" customWidth="1"/>
    <col min="2077" max="2077" width="1.44140625" style="57" customWidth="1"/>
    <col min="2078" max="2078" width="10.88671875" style="57" customWidth="1"/>
    <col min="2079" max="2079" width="0.88671875" style="57" customWidth="1"/>
    <col min="2080" max="2080" width="16" style="57" customWidth="1"/>
    <col min="2081" max="2081" width="0.5546875" style="57" customWidth="1"/>
    <col min="2082" max="2082" width="9.44140625" style="57" bestFit="1" customWidth="1"/>
    <col min="2083" max="2083" width="1.109375" style="57" customWidth="1"/>
    <col min="2084" max="2314" width="9.109375" style="57"/>
    <col min="2315" max="2315" width="2.109375" style="57" customWidth="1"/>
    <col min="2316" max="2316" width="14" style="57" customWidth="1"/>
    <col min="2317" max="2317" width="0.6640625" style="57" customWidth="1"/>
    <col min="2318" max="2318" width="17.109375" style="57" customWidth="1"/>
    <col min="2319" max="2319" width="1.109375" style="57" customWidth="1"/>
    <col min="2320" max="2320" width="26.5546875" style="57" customWidth="1"/>
    <col min="2321" max="2321" width="1" style="57" customWidth="1"/>
    <col min="2322" max="2322" width="32.88671875" style="57" customWidth="1"/>
    <col min="2323" max="2323" width="1" style="57" customWidth="1"/>
    <col min="2324" max="2324" width="12.6640625" style="57" customWidth="1"/>
    <col min="2325" max="2325" width="1.33203125" style="57" customWidth="1"/>
    <col min="2326" max="2326" width="11.44140625" style="57" customWidth="1"/>
    <col min="2327" max="2327" width="1" style="57" customWidth="1"/>
    <col min="2328" max="2328" width="10.44140625" style="57" customWidth="1"/>
    <col min="2329" max="2329" width="0.88671875" style="57" customWidth="1"/>
    <col min="2330" max="2330" width="14" style="57" customWidth="1"/>
    <col min="2331" max="2331" width="0.88671875" style="57" customWidth="1"/>
    <col min="2332" max="2332" width="10.88671875" style="57" customWidth="1"/>
    <col min="2333" max="2333" width="1.44140625" style="57" customWidth="1"/>
    <col min="2334" max="2334" width="10.88671875" style="57" customWidth="1"/>
    <col min="2335" max="2335" width="0.88671875" style="57" customWidth="1"/>
    <col min="2336" max="2336" width="16" style="57" customWidth="1"/>
    <col min="2337" max="2337" width="0.5546875" style="57" customWidth="1"/>
    <col min="2338" max="2338" width="9.44140625" style="57" bestFit="1" customWidth="1"/>
    <col min="2339" max="2339" width="1.109375" style="57" customWidth="1"/>
    <col min="2340" max="2570" width="9.109375" style="57"/>
    <col min="2571" max="2571" width="2.109375" style="57" customWidth="1"/>
    <col min="2572" max="2572" width="14" style="57" customWidth="1"/>
    <col min="2573" max="2573" width="0.6640625" style="57" customWidth="1"/>
    <col min="2574" max="2574" width="17.109375" style="57" customWidth="1"/>
    <col min="2575" max="2575" width="1.109375" style="57" customWidth="1"/>
    <col min="2576" max="2576" width="26.5546875" style="57" customWidth="1"/>
    <col min="2577" max="2577" width="1" style="57" customWidth="1"/>
    <col min="2578" max="2578" width="32.88671875" style="57" customWidth="1"/>
    <col min="2579" max="2579" width="1" style="57" customWidth="1"/>
    <col min="2580" max="2580" width="12.6640625" style="57" customWidth="1"/>
    <col min="2581" max="2581" width="1.33203125" style="57" customWidth="1"/>
    <col min="2582" max="2582" width="11.44140625" style="57" customWidth="1"/>
    <col min="2583" max="2583" width="1" style="57" customWidth="1"/>
    <col min="2584" max="2584" width="10.44140625" style="57" customWidth="1"/>
    <col min="2585" max="2585" width="0.88671875" style="57" customWidth="1"/>
    <col min="2586" max="2586" width="14" style="57" customWidth="1"/>
    <col min="2587" max="2587" width="0.88671875" style="57" customWidth="1"/>
    <col min="2588" max="2588" width="10.88671875" style="57" customWidth="1"/>
    <col min="2589" max="2589" width="1.44140625" style="57" customWidth="1"/>
    <col min="2590" max="2590" width="10.88671875" style="57" customWidth="1"/>
    <col min="2591" max="2591" width="0.88671875" style="57" customWidth="1"/>
    <col min="2592" max="2592" width="16" style="57" customWidth="1"/>
    <col min="2593" max="2593" width="0.5546875" style="57" customWidth="1"/>
    <col min="2594" max="2594" width="9.44140625" style="57" bestFit="1" customWidth="1"/>
    <col min="2595" max="2595" width="1.109375" style="57" customWidth="1"/>
    <col min="2596" max="2826" width="9.109375" style="57"/>
    <col min="2827" max="2827" width="2.109375" style="57" customWidth="1"/>
    <col min="2828" max="2828" width="14" style="57" customWidth="1"/>
    <col min="2829" max="2829" width="0.6640625" style="57" customWidth="1"/>
    <col min="2830" max="2830" width="17.109375" style="57" customWidth="1"/>
    <col min="2831" max="2831" width="1.109375" style="57" customWidth="1"/>
    <col min="2832" max="2832" width="26.5546875" style="57" customWidth="1"/>
    <col min="2833" max="2833" width="1" style="57" customWidth="1"/>
    <col min="2834" max="2834" width="32.88671875" style="57" customWidth="1"/>
    <col min="2835" max="2835" width="1" style="57" customWidth="1"/>
    <col min="2836" max="2836" width="12.6640625" style="57" customWidth="1"/>
    <col min="2837" max="2837" width="1.33203125" style="57" customWidth="1"/>
    <col min="2838" max="2838" width="11.44140625" style="57" customWidth="1"/>
    <col min="2839" max="2839" width="1" style="57" customWidth="1"/>
    <col min="2840" max="2840" width="10.44140625" style="57" customWidth="1"/>
    <col min="2841" max="2841" width="0.88671875" style="57" customWidth="1"/>
    <col min="2842" max="2842" width="14" style="57" customWidth="1"/>
    <col min="2843" max="2843" width="0.88671875" style="57" customWidth="1"/>
    <col min="2844" max="2844" width="10.88671875" style="57" customWidth="1"/>
    <col min="2845" max="2845" width="1.44140625" style="57" customWidth="1"/>
    <col min="2846" max="2846" width="10.88671875" style="57" customWidth="1"/>
    <col min="2847" max="2847" width="0.88671875" style="57" customWidth="1"/>
    <col min="2848" max="2848" width="16" style="57" customWidth="1"/>
    <col min="2849" max="2849" width="0.5546875" style="57" customWidth="1"/>
    <col min="2850" max="2850" width="9.44140625" style="57" bestFit="1" customWidth="1"/>
    <col min="2851" max="2851" width="1.109375" style="57" customWidth="1"/>
    <col min="2852" max="3082" width="9.109375" style="57"/>
    <col min="3083" max="3083" width="2.109375" style="57" customWidth="1"/>
    <col min="3084" max="3084" width="14" style="57" customWidth="1"/>
    <col min="3085" max="3085" width="0.6640625" style="57" customWidth="1"/>
    <col min="3086" max="3086" width="17.109375" style="57" customWidth="1"/>
    <col min="3087" max="3087" width="1.109375" style="57" customWidth="1"/>
    <col min="3088" max="3088" width="26.5546875" style="57" customWidth="1"/>
    <col min="3089" max="3089" width="1" style="57" customWidth="1"/>
    <col min="3090" max="3090" width="32.88671875" style="57" customWidth="1"/>
    <col min="3091" max="3091" width="1" style="57" customWidth="1"/>
    <col min="3092" max="3092" width="12.6640625" style="57" customWidth="1"/>
    <col min="3093" max="3093" width="1.33203125" style="57" customWidth="1"/>
    <col min="3094" max="3094" width="11.44140625" style="57" customWidth="1"/>
    <col min="3095" max="3095" width="1" style="57" customWidth="1"/>
    <col min="3096" max="3096" width="10.44140625" style="57" customWidth="1"/>
    <col min="3097" max="3097" width="0.88671875" style="57" customWidth="1"/>
    <col min="3098" max="3098" width="14" style="57" customWidth="1"/>
    <col min="3099" max="3099" width="0.88671875" style="57" customWidth="1"/>
    <col min="3100" max="3100" width="10.88671875" style="57" customWidth="1"/>
    <col min="3101" max="3101" width="1.44140625" style="57" customWidth="1"/>
    <col min="3102" max="3102" width="10.88671875" style="57" customWidth="1"/>
    <col min="3103" max="3103" width="0.88671875" style="57" customWidth="1"/>
    <col min="3104" max="3104" width="16" style="57" customWidth="1"/>
    <col min="3105" max="3105" width="0.5546875" style="57" customWidth="1"/>
    <col min="3106" max="3106" width="9.44140625" style="57" bestFit="1" customWidth="1"/>
    <col min="3107" max="3107" width="1.109375" style="57" customWidth="1"/>
    <col min="3108" max="3338" width="9.109375" style="57"/>
    <col min="3339" max="3339" width="2.109375" style="57" customWidth="1"/>
    <col min="3340" max="3340" width="14" style="57" customWidth="1"/>
    <col min="3341" max="3341" width="0.6640625" style="57" customWidth="1"/>
    <col min="3342" max="3342" width="17.109375" style="57" customWidth="1"/>
    <col min="3343" max="3343" width="1.109375" style="57" customWidth="1"/>
    <col min="3344" max="3344" width="26.5546875" style="57" customWidth="1"/>
    <col min="3345" max="3345" width="1" style="57" customWidth="1"/>
    <col min="3346" max="3346" width="32.88671875" style="57" customWidth="1"/>
    <col min="3347" max="3347" width="1" style="57" customWidth="1"/>
    <col min="3348" max="3348" width="12.6640625" style="57" customWidth="1"/>
    <col min="3349" max="3349" width="1.33203125" style="57" customWidth="1"/>
    <col min="3350" max="3350" width="11.44140625" style="57" customWidth="1"/>
    <col min="3351" max="3351" width="1" style="57" customWidth="1"/>
    <col min="3352" max="3352" width="10.44140625" style="57" customWidth="1"/>
    <col min="3353" max="3353" width="0.88671875" style="57" customWidth="1"/>
    <col min="3354" max="3354" width="14" style="57" customWidth="1"/>
    <col min="3355" max="3355" width="0.88671875" style="57" customWidth="1"/>
    <col min="3356" max="3356" width="10.88671875" style="57" customWidth="1"/>
    <col min="3357" max="3357" width="1.44140625" style="57" customWidth="1"/>
    <col min="3358" max="3358" width="10.88671875" style="57" customWidth="1"/>
    <col min="3359" max="3359" width="0.88671875" style="57" customWidth="1"/>
    <col min="3360" max="3360" width="16" style="57" customWidth="1"/>
    <col min="3361" max="3361" width="0.5546875" style="57" customWidth="1"/>
    <col min="3362" max="3362" width="9.44140625" style="57" bestFit="1" customWidth="1"/>
    <col min="3363" max="3363" width="1.109375" style="57" customWidth="1"/>
    <col min="3364" max="3594" width="9.109375" style="57"/>
    <col min="3595" max="3595" width="2.109375" style="57" customWidth="1"/>
    <col min="3596" max="3596" width="14" style="57" customWidth="1"/>
    <col min="3597" max="3597" width="0.6640625" style="57" customWidth="1"/>
    <col min="3598" max="3598" width="17.109375" style="57" customWidth="1"/>
    <col min="3599" max="3599" width="1.109375" style="57" customWidth="1"/>
    <col min="3600" max="3600" width="26.5546875" style="57" customWidth="1"/>
    <col min="3601" max="3601" width="1" style="57" customWidth="1"/>
    <col min="3602" max="3602" width="32.88671875" style="57" customWidth="1"/>
    <col min="3603" max="3603" width="1" style="57" customWidth="1"/>
    <col min="3604" max="3604" width="12.6640625" style="57" customWidth="1"/>
    <col min="3605" max="3605" width="1.33203125" style="57" customWidth="1"/>
    <col min="3606" max="3606" width="11.44140625" style="57" customWidth="1"/>
    <col min="3607" max="3607" width="1" style="57" customWidth="1"/>
    <col min="3608" max="3608" width="10.44140625" style="57" customWidth="1"/>
    <col min="3609" max="3609" width="0.88671875" style="57" customWidth="1"/>
    <col min="3610" max="3610" width="14" style="57" customWidth="1"/>
    <col min="3611" max="3611" width="0.88671875" style="57" customWidth="1"/>
    <col min="3612" max="3612" width="10.88671875" style="57" customWidth="1"/>
    <col min="3613" max="3613" width="1.44140625" style="57" customWidth="1"/>
    <col min="3614" max="3614" width="10.88671875" style="57" customWidth="1"/>
    <col min="3615" max="3615" width="0.88671875" style="57" customWidth="1"/>
    <col min="3616" max="3616" width="16" style="57" customWidth="1"/>
    <col min="3617" max="3617" width="0.5546875" style="57" customWidth="1"/>
    <col min="3618" max="3618" width="9.44140625" style="57" bestFit="1" customWidth="1"/>
    <col min="3619" max="3619" width="1.109375" style="57" customWidth="1"/>
    <col min="3620" max="3850" width="9.109375" style="57"/>
    <col min="3851" max="3851" width="2.109375" style="57" customWidth="1"/>
    <col min="3852" max="3852" width="14" style="57" customWidth="1"/>
    <col min="3853" max="3853" width="0.6640625" style="57" customWidth="1"/>
    <col min="3854" max="3854" width="17.109375" style="57" customWidth="1"/>
    <col min="3855" max="3855" width="1.109375" style="57" customWidth="1"/>
    <col min="3856" max="3856" width="26.5546875" style="57" customWidth="1"/>
    <col min="3857" max="3857" width="1" style="57" customWidth="1"/>
    <col min="3858" max="3858" width="32.88671875" style="57" customWidth="1"/>
    <col min="3859" max="3859" width="1" style="57" customWidth="1"/>
    <col min="3860" max="3860" width="12.6640625" style="57" customWidth="1"/>
    <col min="3861" max="3861" width="1.33203125" style="57" customWidth="1"/>
    <col min="3862" max="3862" width="11.44140625" style="57" customWidth="1"/>
    <col min="3863" max="3863" width="1" style="57" customWidth="1"/>
    <col min="3864" max="3864" width="10.44140625" style="57" customWidth="1"/>
    <col min="3865" max="3865" width="0.88671875" style="57" customWidth="1"/>
    <col min="3866" max="3866" width="14" style="57" customWidth="1"/>
    <col min="3867" max="3867" width="0.88671875" style="57" customWidth="1"/>
    <col min="3868" max="3868" width="10.88671875" style="57" customWidth="1"/>
    <col min="3869" max="3869" width="1.44140625" style="57" customWidth="1"/>
    <col min="3870" max="3870" width="10.88671875" style="57" customWidth="1"/>
    <col min="3871" max="3871" width="0.88671875" style="57" customWidth="1"/>
    <col min="3872" max="3872" width="16" style="57" customWidth="1"/>
    <col min="3873" max="3873" width="0.5546875" style="57" customWidth="1"/>
    <col min="3874" max="3874" width="9.44140625" style="57" bestFit="1" customWidth="1"/>
    <col min="3875" max="3875" width="1.109375" style="57" customWidth="1"/>
    <col min="3876" max="4106" width="9.109375" style="57"/>
    <col min="4107" max="4107" width="2.109375" style="57" customWidth="1"/>
    <col min="4108" max="4108" width="14" style="57" customWidth="1"/>
    <col min="4109" max="4109" width="0.6640625" style="57" customWidth="1"/>
    <col min="4110" max="4110" width="17.109375" style="57" customWidth="1"/>
    <col min="4111" max="4111" width="1.109375" style="57" customWidth="1"/>
    <col min="4112" max="4112" width="26.5546875" style="57" customWidth="1"/>
    <col min="4113" max="4113" width="1" style="57" customWidth="1"/>
    <col min="4114" max="4114" width="32.88671875" style="57" customWidth="1"/>
    <col min="4115" max="4115" width="1" style="57" customWidth="1"/>
    <col min="4116" max="4116" width="12.6640625" style="57" customWidth="1"/>
    <col min="4117" max="4117" width="1.33203125" style="57" customWidth="1"/>
    <col min="4118" max="4118" width="11.44140625" style="57" customWidth="1"/>
    <col min="4119" max="4119" width="1" style="57" customWidth="1"/>
    <col min="4120" max="4120" width="10.44140625" style="57" customWidth="1"/>
    <col min="4121" max="4121" width="0.88671875" style="57" customWidth="1"/>
    <col min="4122" max="4122" width="14" style="57" customWidth="1"/>
    <col min="4123" max="4123" width="0.88671875" style="57" customWidth="1"/>
    <col min="4124" max="4124" width="10.88671875" style="57" customWidth="1"/>
    <col min="4125" max="4125" width="1.44140625" style="57" customWidth="1"/>
    <col min="4126" max="4126" width="10.88671875" style="57" customWidth="1"/>
    <col min="4127" max="4127" width="0.88671875" style="57" customWidth="1"/>
    <col min="4128" max="4128" width="16" style="57" customWidth="1"/>
    <col min="4129" max="4129" width="0.5546875" style="57" customWidth="1"/>
    <col min="4130" max="4130" width="9.44140625" style="57" bestFit="1" customWidth="1"/>
    <col min="4131" max="4131" width="1.109375" style="57" customWidth="1"/>
    <col min="4132" max="4362" width="9.109375" style="57"/>
    <col min="4363" max="4363" width="2.109375" style="57" customWidth="1"/>
    <col min="4364" max="4364" width="14" style="57" customWidth="1"/>
    <col min="4365" max="4365" width="0.6640625" style="57" customWidth="1"/>
    <col min="4366" max="4366" width="17.109375" style="57" customWidth="1"/>
    <col min="4367" max="4367" width="1.109375" style="57" customWidth="1"/>
    <col min="4368" max="4368" width="26.5546875" style="57" customWidth="1"/>
    <col min="4369" max="4369" width="1" style="57" customWidth="1"/>
    <col min="4370" max="4370" width="32.88671875" style="57" customWidth="1"/>
    <col min="4371" max="4371" width="1" style="57" customWidth="1"/>
    <col min="4372" max="4372" width="12.6640625" style="57" customWidth="1"/>
    <col min="4373" max="4373" width="1.33203125" style="57" customWidth="1"/>
    <col min="4374" max="4374" width="11.44140625" style="57" customWidth="1"/>
    <col min="4375" max="4375" width="1" style="57" customWidth="1"/>
    <col min="4376" max="4376" width="10.44140625" style="57" customWidth="1"/>
    <col min="4377" max="4377" width="0.88671875" style="57" customWidth="1"/>
    <col min="4378" max="4378" width="14" style="57" customWidth="1"/>
    <col min="4379" max="4379" width="0.88671875" style="57" customWidth="1"/>
    <col min="4380" max="4380" width="10.88671875" style="57" customWidth="1"/>
    <col min="4381" max="4381" width="1.44140625" style="57" customWidth="1"/>
    <col min="4382" max="4382" width="10.88671875" style="57" customWidth="1"/>
    <col min="4383" max="4383" width="0.88671875" style="57" customWidth="1"/>
    <col min="4384" max="4384" width="16" style="57" customWidth="1"/>
    <col min="4385" max="4385" width="0.5546875" style="57" customWidth="1"/>
    <col min="4386" max="4386" width="9.44140625" style="57" bestFit="1" customWidth="1"/>
    <col min="4387" max="4387" width="1.109375" style="57" customWidth="1"/>
    <col min="4388" max="4618" width="9.109375" style="57"/>
    <col min="4619" max="4619" width="2.109375" style="57" customWidth="1"/>
    <col min="4620" max="4620" width="14" style="57" customWidth="1"/>
    <col min="4621" max="4621" width="0.6640625" style="57" customWidth="1"/>
    <col min="4622" max="4622" width="17.109375" style="57" customWidth="1"/>
    <col min="4623" max="4623" width="1.109375" style="57" customWidth="1"/>
    <col min="4624" max="4624" width="26.5546875" style="57" customWidth="1"/>
    <col min="4625" max="4625" width="1" style="57" customWidth="1"/>
    <col min="4626" max="4626" width="32.88671875" style="57" customWidth="1"/>
    <col min="4627" max="4627" width="1" style="57" customWidth="1"/>
    <col min="4628" max="4628" width="12.6640625" style="57" customWidth="1"/>
    <col min="4629" max="4629" width="1.33203125" style="57" customWidth="1"/>
    <col min="4630" max="4630" width="11.44140625" style="57" customWidth="1"/>
    <col min="4631" max="4631" width="1" style="57" customWidth="1"/>
    <col min="4632" max="4632" width="10.44140625" style="57" customWidth="1"/>
    <col min="4633" max="4633" width="0.88671875" style="57" customWidth="1"/>
    <col min="4634" max="4634" width="14" style="57" customWidth="1"/>
    <col min="4635" max="4635" width="0.88671875" style="57" customWidth="1"/>
    <col min="4636" max="4636" width="10.88671875" style="57" customWidth="1"/>
    <col min="4637" max="4637" width="1.44140625" style="57" customWidth="1"/>
    <col min="4638" max="4638" width="10.88671875" style="57" customWidth="1"/>
    <col min="4639" max="4639" width="0.88671875" style="57" customWidth="1"/>
    <col min="4640" max="4640" width="16" style="57" customWidth="1"/>
    <col min="4641" max="4641" width="0.5546875" style="57" customWidth="1"/>
    <col min="4642" max="4642" width="9.44140625" style="57" bestFit="1" customWidth="1"/>
    <col min="4643" max="4643" width="1.109375" style="57" customWidth="1"/>
    <col min="4644" max="4874" width="9.109375" style="57"/>
    <col min="4875" max="4875" width="2.109375" style="57" customWidth="1"/>
    <col min="4876" max="4876" width="14" style="57" customWidth="1"/>
    <col min="4877" max="4877" width="0.6640625" style="57" customWidth="1"/>
    <col min="4878" max="4878" width="17.109375" style="57" customWidth="1"/>
    <col min="4879" max="4879" width="1.109375" style="57" customWidth="1"/>
    <col min="4880" max="4880" width="26.5546875" style="57" customWidth="1"/>
    <col min="4881" max="4881" width="1" style="57" customWidth="1"/>
    <col min="4882" max="4882" width="32.88671875" style="57" customWidth="1"/>
    <col min="4883" max="4883" width="1" style="57" customWidth="1"/>
    <col min="4884" max="4884" width="12.6640625" style="57" customWidth="1"/>
    <col min="4885" max="4885" width="1.33203125" style="57" customWidth="1"/>
    <col min="4886" max="4886" width="11.44140625" style="57" customWidth="1"/>
    <col min="4887" max="4887" width="1" style="57" customWidth="1"/>
    <col min="4888" max="4888" width="10.44140625" style="57" customWidth="1"/>
    <col min="4889" max="4889" width="0.88671875" style="57" customWidth="1"/>
    <col min="4890" max="4890" width="14" style="57" customWidth="1"/>
    <col min="4891" max="4891" width="0.88671875" style="57" customWidth="1"/>
    <col min="4892" max="4892" width="10.88671875" style="57" customWidth="1"/>
    <col min="4893" max="4893" width="1.44140625" style="57" customWidth="1"/>
    <col min="4894" max="4894" width="10.88671875" style="57" customWidth="1"/>
    <col min="4895" max="4895" width="0.88671875" style="57" customWidth="1"/>
    <col min="4896" max="4896" width="16" style="57" customWidth="1"/>
    <col min="4897" max="4897" width="0.5546875" style="57" customWidth="1"/>
    <col min="4898" max="4898" width="9.44140625" style="57" bestFit="1" customWidth="1"/>
    <col min="4899" max="4899" width="1.109375" style="57" customWidth="1"/>
    <col min="4900" max="5130" width="9.109375" style="57"/>
    <col min="5131" max="5131" width="2.109375" style="57" customWidth="1"/>
    <col min="5132" max="5132" width="14" style="57" customWidth="1"/>
    <col min="5133" max="5133" width="0.6640625" style="57" customWidth="1"/>
    <col min="5134" max="5134" width="17.109375" style="57" customWidth="1"/>
    <col min="5135" max="5135" width="1.109375" style="57" customWidth="1"/>
    <col min="5136" max="5136" width="26.5546875" style="57" customWidth="1"/>
    <col min="5137" max="5137" width="1" style="57" customWidth="1"/>
    <col min="5138" max="5138" width="32.88671875" style="57" customWidth="1"/>
    <col min="5139" max="5139" width="1" style="57" customWidth="1"/>
    <col min="5140" max="5140" width="12.6640625" style="57" customWidth="1"/>
    <col min="5141" max="5141" width="1.33203125" style="57" customWidth="1"/>
    <col min="5142" max="5142" width="11.44140625" style="57" customWidth="1"/>
    <col min="5143" max="5143" width="1" style="57" customWidth="1"/>
    <col min="5144" max="5144" width="10.44140625" style="57" customWidth="1"/>
    <col min="5145" max="5145" width="0.88671875" style="57" customWidth="1"/>
    <col min="5146" max="5146" width="14" style="57" customWidth="1"/>
    <col min="5147" max="5147" width="0.88671875" style="57" customWidth="1"/>
    <col min="5148" max="5148" width="10.88671875" style="57" customWidth="1"/>
    <col min="5149" max="5149" width="1.44140625" style="57" customWidth="1"/>
    <col min="5150" max="5150" width="10.88671875" style="57" customWidth="1"/>
    <col min="5151" max="5151" width="0.88671875" style="57" customWidth="1"/>
    <col min="5152" max="5152" width="16" style="57" customWidth="1"/>
    <col min="5153" max="5153" width="0.5546875" style="57" customWidth="1"/>
    <col min="5154" max="5154" width="9.44140625" style="57" bestFit="1" customWidth="1"/>
    <col min="5155" max="5155" width="1.109375" style="57" customWidth="1"/>
    <col min="5156" max="5386" width="9.109375" style="57"/>
    <col min="5387" max="5387" width="2.109375" style="57" customWidth="1"/>
    <col min="5388" max="5388" width="14" style="57" customWidth="1"/>
    <col min="5389" max="5389" width="0.6640625" style="57" customWidth="1"/>
    <col min="5390" max="5390" width="17.109375" style="57" customWidth="1"/>
    <col min="5391" max="5391" width="1.109375" style="57" customWidth="1"/>
    <col min="5392" max="5392" width="26.5546875" style="57" customWidth="1"/>
    <col min="5393" max="5393" width="1" style="57" customWidth="1"/>
    <col min="5394" max="5394" width="32.88671875" style="57" customWidth="1"/>
    <col min="5395" max="5395" width="1" style="57" customWidth="1"/>
    <col min="5396" max="5396" width="12.6640625" style="57" customWidth="1"/>
    <col min="5397" max="5397" width="1.33203125" style="57" customWidth="1"/>
    <col min="5398" max="5398" width="11.44140625" style="57" customWidth="1"/>
    <col min="5399" max="5399" width="1" style="57" customWidth="1"/>
    <col min="5400" max="5400" width="10.44140625" style="57" customWidth="1"/>
    <col min="5401" max="5401" width="0.88671875" style="57" customWidth="1"/>
    <col min="5402" max="5402" width="14" style="57" customWidth="1"/>
    <col min="5403" max="5403" width="0.88671875" style="57" customWidth="1"/>
    <col min="5404" max="5404" width="10.88671875" style="57" customWidth="1"/>
    <col min="5405" max="5405" width="1.44140625" style="57" customWidth="1"/>
    <col min="5406" max="5406" width="10.88671875" style="57" customWidth="1"/>
    <col min="5407" max="5407" width="0.88671875" style="57" customWidth="1"/>
    <col min="5408" max="5408" width="16" style="57" customWidth="1"/>
    <col min="5409" max="5409" width="0.5546875" style="57" customWidth="1"/>
    <col min="5410" max="5410" width="9.44140625" style="57" bestFit="1" customWidth="1"/>
    <col min="5411" max="5411" width="1.109375" style="57" customWidth="1"/>
    <col min="5412" max="5642" width="9.109375" style="57"/>
    <col min="5643" max="5643" width="2.109375" style="57" customWidth="1"/>
    <col min="5644" max="5644" width="14" style="57" customWidth="1"/>
    <col min="5645" max="5645" width="0.6640625" style="57" customWidth="1"/>
    <col min="5646" max="5646" width="17.109375" style="57" customWidth="1"/>
    <col min="5647" max="5647" width="1.109375" style="57" customWidth="1"/>
    <col min="5648" max="5648" width="26.5546875" style="57" customWidth="1"/>
    <col min="5649" max="5649" width="1" style="57" customWidth="1"/>
    <col min="5650" max="5650" width="32.88671875" style="57" customWidth="1"/>
    <col min="5651" max="5651" width="1" style="57" customWidth="1"/>
    <col min="5652" max="5652" width="12.6640625" style="57" customWidth="1"/>
    <col min="5653" max="5653" width="1.33203125" style="57" customWidth="1"/>
    <col min="5654" max="5654" width="11.44140625" style="57" customWidth="1"/>
    <col min="5655" max="5655" width="1" style="57" customWidth="1"/>
    <col min="5656" max="5656" width="10.44140625" style="57" customWidth="1"/>
    <col min="5657" max="5657" width="0.88671875" style="57" customWidth="1"/>
    <col min="5658" max="5658" width="14" style="57" customWidth="1"/>
    <col min="5659" max="5659" width="0.88671875" style="57" customWidth="1"/>
    <col min="5660" max="5660" width="10.88671875" style="57" customWidth="1"/>
    <col min="5661" max="5661" width="1.44140625" style="57" customWidth="1"/>
    <col min="5662" max="5662" width="10.88671875" style="57" customWidth="1"/>
    <col min="5663" max="5663" width="0.88671875" style="57" customWidth="1"/>
    <col min="5664" max="5664" width="16" style="57" customWidth="1"/>
    <col min="5665" max="5665" width="0.5546875" style="57" customWidth="1"/>
    <col min="5666" max="5666" width="9.44140625" style="57" bestFit="1" customWidth="1"/>
    <col min="5667" max="5667" width="1.109375" style="57" customWidth="1"/>
    <col min="5668" max="5898" width="9.109375" style="57"/>
    <col min="5899" max="5899" width="2.109375" style="57" customWidth="1"/>
    <col min="5900" max="5900" width="14" style="57" customWidth="1"/>
    <col min="5901" max="5901" width="0.6640625" style="57" customWidth="1"/>
    <col min="5902" max="5902" width="17.109375" style="57" customWidth="1"/>
    <col min="5903" max="5903" width="1.109375" style="57" customWidth="1"/>
    <col min="5904" max="5904" width="26.5546875" style="57" customWidth="1"/>
    <col min="5905" max="5905" width="1" style="57" customWidth="1"/>
    <col min="5906" max="5906" width="32.88671875" style="57" customWidth="1"/>
    <col min="5907" max="5907" width="1" style="57" customWidth="1"/>
    <col min="5908" max="5908" width="12.6640625" style="57" customWidth="1"/>
    <col min="5909" max="5909" width="1.33203125" style="57" customWidth="1"/>
    <col min="5910" max="5910" width="11.44140625" style="57" customWidth="1"/>
    <col min="5911" max="5911" width="1" style="57" customWidth="1"/>
    <col min="5912" max="5912" width="10.44140625" style="57" customWidth="1"/>
    <col min="5913" max="5913" width="0.88671875" style="57" customWidth="1"/>
    <col min="5914" max="5914" width="14" style="57" customWidth="1"/>
    <col min="5915" max="5915" width="0.88671875" style="57" customWidth="1"/>
    <col min="5916" max="5916" width="10.88671875" style="57" customWidth="1"/>
    <col min="5917" max="5917" width="1.44140625" style="57" customWidth="1"/>
    <col min="5918" max="5918" width="10.88671875" style="57" customWidth="1"/>
    <col min="5919" max="5919" width="0.88671875" style="57" customWidth="1"/>
    <col min="5920" max="5920" width="16" style="57" customWidth="1"/>
    <col min="5921" max="5921" width="0.5546875" style="57" customWidth="1"/>
    <col min="5922" max="5922" width="9.44140625" style="57" bestFit="1" customWidth="1"/>
    <col min="5923" max="5923" width="1.109375" style="57" customWidth="1"/>
    <col min="5924" max="6154" width="9.109375" style="57"/>
    <col min="6155" max="6155" width="2.109375" style="57" customWidth="1"/>
    <col min="6156" max="6156" width="14" style="57" customWidth="1"/>
    <col min="6157" max="6157" width="0.6640625" style="57" customWidth="1"/>
    <col min="6158" max="6158" width="17.109375" style="57" customWidth="1"/>
    <col min="6159" max="6159" width="1.109375" style="57" customWidth="1"/>
    <col min="6160" max="6160" width="26.5546875" style="57" customWidth="1"/>
    <col min="6161" max="6161" width="1" style="57" customWidth="1"/>
    <col min="6162" max="6162" width="32.88671875" style="57" customWidth="1"/>
    <col min="6163" max="6163" width="1" style="57" customWidth="1"/>
    <col min="6164" max="6164" width="12.6640625" style="57" customWidth="1"/>
    <col min="6165" max="6165" width="1.33203125" style="57" customWidth="1"/>
    <col min="6166" max="6166" width="11.44140625" style="57" customWidth="1"/>
    <col min="6167" max="6167" width="1" style="57" customWidth="1"/>
    <col min="6168" max="6168" width="10.44140625" style="57" customWidth="1"/>
    <col min="6169" max="6169" width="0.88671875" style="57" customWidth="1"/>
    <col min="6170" max="6170" width="14" style="57" customWidth="1"/>
    <col min="6171" max="6171" width="0.88671875" style="57" customWidth="1"/>
    <col min="6172" max="6172" width="10.88671875" style="57" customWidth="1"/>
    <col min="6173" max="6173" width="1.44140625" style="57" customWidth="1"/>
    <col min="6174" max="6174" width="10.88671875" style="57" customWidth="1"/>
    <col min="6175" max="6175" width="0.88671875" style="57" customWidth="1"/>
    <col min="6176" max="6176" width="16" style="57" customWidth="1"/>
    <col min="6177" max="6177" width="0.5546875" style="57" customWidth="1"/>
    <col min="6178" max="6178" width="9.44140625" style="57" bestFit="1" customWidth="1"/>
    <col min="6179" max="6179" width="1.109375" style="57" customWidth="1"/>
    <col min="6180" max="6410" width="9.109375" style="57"/>
    <col min="6411" max="6411" width="2.109375" style="57" customWidth="1"/>
    <col min="6412" max="6412" width="14" style="57" customWidth="1"/>
    <col min="6413" max="6413" width="0.6640625" style="57" customWidth="1"/>
    <col min="6414" max="6414" width="17.109375" style="57" customWidth="1"/>
    <col min="6415" max="6415" width="1.109375" style="57" customWidth="1"/>
    <col min="6416" max="6416" width="26.5546875" style="57" customWidth="1"/>
    <col min="6417" max="6417" width="1" style="57" customWidth="1"/>
    <col min="6418" max="6418" width="32.88671875" style="57" customWidth="1"/>
    <col min="6419" max="6419" width="1" style="57" customWidth="1"/>
    <col min="6420" max="6420" width="12.6640625" style="57" customWidth="1"/>
    <col min="6421" max="6421" width="1.33203125" style="57" customWidth="1"/>
    <col min="6422" max="6422" width="11.44140625" style="57" customWidth="1"/>
    <col min="6423" max="6423" width="1" style="57" customWidth="1"/>
    <col min="6424" max="6424" width="10.44140625" style="57" customWidth="1"/>
    <col min="6425" max="6425" width="0.88671875" style="57" customWidth="1"/>
    <col min="6426" max="6426" width="14" style="57" customWidth="1"/>
    <col min="6427" max="6427" width="0.88671875" style="57" customWidth="1"/>
    <col min="6428" max="6428" width="10.88671875" style="57" customWidth="1"/>
    <col min="6429" max="6429" width="1.44140625" style="57" customWidth="1"/>
    <col min="6430" max="6430" width="10.88671875" style="57" customWidth="1"/>
    <col min="6431" max="6431" width="0.88671875" style="57" customWidth="1"/>
    <col min="6432" max="6432" width="16" style="57" customWidth="1"/>
    <col min="6433" max="6433" width="0.5546875" style="57" customWidth="1"/>
    <col min="6434" max="6434" width="9.44140625" style="57" bestFit="1" customWidth="1"/>
    <col min="6435" max="6435" width="1.109375" style="57" customWidth="1"/>
    <col min="6436" max="6666" width="9.109375" style="57"/>
    <col min="6667" max="6667" width="2.109375" style="57" customWidth="1"/>
    <col min="6668" max="6668" width="14" style="57" customWidth="1"/>
    <col min="6669" max="6669" width="0.6640625" style="57" customWidth="1"/>
    <col min="6670" max="6670" width="17.109375" style="57" customWidth="1"/>
    <col min="6671" max="6671" width="1.109375" style="57" customWidth="1"/>
    <col min="6672" max="6672" width="26.5546875" style="57" customWidth="1"/>
    <col min="6673" max="6673" width="1" style="57" customWidth="1"/>
    <col min="6674" max="6674" width="32.88671875" style="57" customWidth="1"/>
    <col min="6675" max="6675" width="1" style="57" customWidth="1"/>
    <col min="6676" max="6676" width="12.6640625" style="57" customWidth="1"/>
    <col min="6677" max="6677" width="1.33203125" style="57" customWidth="1"/>
    <col min="6678" max="6678" width="11.44140625" style="57" customWidth="1"/>
    <col min="6679" max="6679" width="1" style="57" customWidth="1"/>
    <col min="6680" max="6680" width="10.44140625" style="57" customWidth="1"/>
    <col min="6681" max="6681" width="0.88671875" style="57" customWidth="1"/>
    <col min="6682" max="6682" width="14" style="57" customWidth="1"/>
    <col min="6683" max="6683" width="0.88671875" style="57" customWidth="1"/>
    <col min="6684" max="6684" width="10.88671875" style="57" customWidth="1"/>
    <col min="6685" max="6685" width="1.44140625" style="57" customWidth="1"/>
    <col min="6686" max="6686" width="10.88671875" style="57" customWidth="1"/>
    <col min="6687" max="6687" width="0.88671875" style="57" customWidth="1"/>
    <col min="6688" max="6688" width="16" style="57" customWidth="1"/>
    <col min="6689" max="6689" width="0.5546875" style="57" customWidth="1"/>
    <col min="6690" max="6690" width="9.44140625" style="57" bestFit="1" customWidth="1"/>
    <col min="6691" max="6691" width="1.109375" style="57" customWidth="1"/>
    <col min="6692" max="6922" width="9.109375" style="57"/>
    <col min="6923" max="6923" width="2.109375" style="57" customWidth="1"/>
    <col min="6924" max="6924" width="14" style="57" customWidth="1"/>
    <col min="6925" max="6925" width="0.6640625" style="57" customWidth="1"/>
    <col min="6926" max="6926" width="17.109375" style="57" customWidth="1"/>
    <col min="6927" max="6927" width="1.109375" style="57" customWidth="1"/>
    <col min="6928" max="6928" width="26.5546875" style="57" customWidth="1"/>
    <col min="6929" max="6929" width="1" style="57" customWidth="1"/>
    <col min="6930" max="6930" width="32.88671875" style="57" customWidth="1"/>
    <col min="6931" max="6931" width="1" style="57" customWidth="1"/>
    <col min="6932" max="6932" width="12.6640625" style="57" customWidth="1"/>
    <col min="6933" max="6933" width="1.33203125" style="57" customWidth="1"/>
    <col min="6934" max="6934" width="11.44140625" style="57" customWidth="1"/>
    <col min="6935" max="6935" width="1" style="57" customWidth="1"/>
    <col min="6936" max="6936" width="10.44140625" style="57" customWidth="1"/>
    <col min="6937" max="6937" width="0.88671875" style="57" customWidth="1"/>
    <col min="6938" max="6938" width="14" style="57" customWidth="1"/>
    <col min="6939" max="6939" width="0.88671875" style="57" customWidth="1"/>
    <col min="6940" max="6940" width="10.88671875" style="57" customWidth="1"/>
    <col min="6941" max="6941" width="1.44140625" style="57" customWidth="1"/>
    <col min="6942" max="6942" width="10.88671875" style="57" customWidth="1"/>
    <col min="6943" max="6943" width="0.88671875" style="57" customWidth="1"/>
    <col min="6944" max="6944" width="16" style="57" customWidth="1"/>
    <col min="6945" max="6945" width="0.5546875" style="57" customWidth="1"/>
    <col min="6946" max="6946" width="9.44140625" style="57" bestFit="1" customWidth="1"/>
    <col min="6947" max="6947" width="1.109375" style="57" customWidth="1"/>
    <col min="6948" max="7178" width="9.109375" style="57"/>
    <col min="7179" max="7179" width="2.109375" style="57" customWidth="1"/>
    <col min="7180" max="7180" width="14" style="57" customWidth="1"/>
    <col min="7181" max="7181" width="0.6640625" style="57" customWidth="1"/>
    <col min="7182" max="7182" width="17.109375" style="57" customWidth="1"/>
    <col min="7183" max="7183" width="1.109375" style="57" customWidth="1"/>
    <col min="7184" max="7184" width="26.5546875" style="57" customWidth="1"/>
    <col min="7185" max="7185" width="1" style="57" customWidth="1"/>
    <col min="7186" max="7186" width="32.88671875" style="57" customWidth="1"/>
    <col min="7187" max="7187" width="1" style="57" customWidth="1"/>
    <col min="7188" max="7188" width="12.6640625" style="57" customWidth="1"/>
    <col min="7189" max="7189" width="1.33203125" style="57" customWidth="1"/>
    <col min="7190" max="7190" width="11.44140625" style="57" customWidth="1"/>
    <col min="7191" max="7191" width="1" style="57" customWidth="1"/>
    <col min="7192" max="7192" width="10.44140625" style="57" customWidth="1"/>
    <col min="7193" max="7193" width="0.88671875" style="57" customWidth="1"/>
    <col min="7194" max="7194" width="14" style="57" customWidth="1"/>
    <col min="7195" max="7195" width="0.88671875" style="57" customWidth="1"/>
    <col min="7196" max="7196" width="10.88671875" style="57" customWidth="1"/>
    <col min="7197" max="7197" width="1.44140625" style="57" customWidth="1"/>
    <col min="7198" max="7198" width="10.88671875" style="57" customWidth="1"/>
    <col min="7199" max="7199" width="0.88671875" style="57" customWidth="1"/>
    <col min="7200" max="7200" width="16" style="57" customWidth="1"/>
    <col min="7201" max="7201" width="0.5546875" style="57" customWidth="1"/>
    <col min="7202" max="7202" width="9.44140625" style="57" bestFit="1" customWidth="1"/>
    <col min="7203" max="7203" width="1.109375" style="57" customWidth="1"/>
    <col min="7204" max="7434" width="9.109375" style="57"/>
    <col min="7435" max="7435" width="2.109375" style="57" customWidth="1"/>
    <col min="7436" max="7436" width="14" style="57" customWidth="1"/>
    <col min="7437" max="7437" width="0.6640625" style="57" customWidth="1"/>
    <col min="7438" max="7438" width="17.109375" style="57" customWidth="1"/>
    <col min="7439" max="7439" width="1.109375" style="57" customWidth="1"/>
    <col min="7440" max="7440" width="26.5546875" style="57" customWidth="1"/>
    <col min="7441" max="7441" width="1" style="57" customWidth="1"/>
    <col min="7442" max="7442" width="32.88671875" style="57" customWidth="1"/>
    <col min="7443" max="7443" width="1" style="57" customWidth="1"/>
    <col min="7444" max="7444" width="12.6640625" style="57" customWidth="1"/>
    <col min="7445" max="7445" width="1.33203125" style="57" customWidth="1"/>
    <col min="7446" max="7446" width="11.44140625" style="57" customWidth="1"/>
    <col min="7447" max="7447" width="1" style="57" customWidth="1"/>
    <col min="7448" max="7448" width="10.44140625" style="57" customWidth="1"/>
    <col min="7449" max="7449" width="0.88671875" style="57" customWidth="1"/>
    <col min="7450" max="7450" width="14" style="57" customWidth="1"/>
    <col min="7451" max="7451" width="0.88671875" style="57" customWidth="1"/>
    <col min="7452" max="7452" width="10.88671875" style="57" customWidth="1"/>
    <col min="7453" max="7453" width="1.44140625" style="57" customWidth="1"/>
    <col min="7454" max="7454" width="10.88671875" style="57" customWidth="1"/>
    <col min="7455" max="7455" width="0.88671875" style="57" customWidth="1"/>
    <col min="7456" max="7456" width="16" style="57" customWidth="1"/>
    <col min="7457" max="7457" width="0.5546875" style="57" customWidth="1"/>
    <col min="7458" max="7458" width="9.44140625" style="57" bestFit="1" customWidth="1"/>
    <col min="7459" max="7459" width="1.109375" style="57" customWidth="1"/>
    <col min="7460" max="7690" width="9.109375" style="57"/>
    <col min="7691" max="7691" width="2.109375" style="57" customWidth="1"/>
    <col min="7692" max="7692" width="14" style="57" customWidth="1"/>
    <col min="7693" max="7693" width="0.6640625" style="57" customWidth="1"/>
    <col min="7694" max="7694" width="17.109375" style="57" customWidth="1"/>
    <col min="7695" max="7695" width="1.109375" style="57" customWidth="1"/>
    <col min="7696" max="7696" width="26.5546875" style="57" customWidth="1"/>
    <col min="7697" max="7697" width="1" style="57" customWidth="1"/>
    <col min="7698" max="7698" width="32.88671875" style="57" customWidth="1"/>
    <col min="7699" max="7699" width="1" style="57" customWidth="1"/>
    <col min="7700" max="7700" width="12.6640625" style="57" customWidth="1"/>
    <col min="7701" max="7701" width="1.33203125" style="57" customWidth="1"/>
    <col min="7702" max="7702" width="11.44140625" style="57" customWidth="1"/>
    <col min="7703" max="7703" width="1" style="57" customWidth="1"/>
    <col min="7704" max="7704" width="10.44140625" style="57" customWidth="1"/>
    <col min="7705" max="7705" width="0.88671875" style="57" customWidth="1"/>
    <col min="7706" max="7706" width="14" style="57" customWidth="1"/>
    <col min="7707" max="7707" width="0.88671875" style="57" customWidth="1"/>
    <col min="7708" max="7708" width="10.88671875" style="57" customWidth="1"/>
    <col min="7709" max="7709" width="1.44140625" style="57" customWidth="1"/>
    <col min="7710" max="7710" width="10.88671875" style="57" customWidth="1"/>
    <col min="7711" max="7711" width="0.88671875" style="57" customWidth="1"/>
    <col min="7712" max="7712" width="16" style="57" customWidth="1"/>
    <col min="7713" max="7713" width="0.5546875" style="57" customWidth="1"/>
    <col min="7714" max="7714" width="9.44140625" style="57" bestFit="1" customWidth="1"/>
    <col min="7715" max="7715" width="1.109375" style="57" customWidth="1"/>
    <col min="7716" max="7946" width="9.109375" style="57"/>
    <col min="7947" max="7947" width="2.109375" style="57" customWidth="1"/>
    <col min="7948" max="7948" width="14" style="57" customWidth="1"/>
    <col min="7949" max="7949" width="0.6640625" style="57" customWidth="1"/>
    <col min="7950" max="7950" width="17.109375" style="57" customWidth="1"/>
    <col min="7951" max="7951" width="1.109375" style="57" customWidth="1"/>
    <col min="7952" max="7952" width="26.5546875" style="57" customWidth="1"/>
    <col min="7953" max="7953" width="1" style="57" customWidth="1"/>
    <col min="7954" max="7954" width="32.88671875" style="57" customWidth="1"/>
    <col min="7955" max="7955" width="1" style="57" customWidth="1"/>
    <col min="7956" max="7956" width="12.6640625" style="57" customWidth="1"/>
    <col min="7957" max="7957" width="1.33203125" style="57" customWidth="1"/>
    <col min="7958" max="7958" width="11.44140625" style="57" customWidth="1"/>
    <col min="7959" max="7959" width="1" style="57" customWidth="1"/>
    <col min="7960" max="7960" width="10.44140625" style="57" customWidth="1"/>
    <col min="7961" max="7961" width="0.88671875" style="57" customWidth="1"/>
    <col min="7962" max="7962" width="14" style="57" customWidth="1"/>
    <col min="7963" max="7963" width="0.88671875" style="57" customWidth="1"/>
    <col min="7964" max="7964" width="10.88671875" style="57" customWidth="1"/>
    <col min="7965" max="7965" width="1.44140625" style="57" customWidth="1"/>
    <col min="7966" max="7966" width="10.88671875" style="57" customWidth="1"/>
    <col min="7967" max="7967" width="0.88671875" style="57" customWidth="1"/>
    <col min="7968" max="7968" width="16" style="57" customWidth="1"/>
    <col min="7969" max="7969" width="0.5546875" style="57" customWidth="1"/>
    <col min="7970" max="7970" width="9.44140625" style="57" bestFit="1" customWidth="1"/>
    <col min="7971" max="7971" width="1.109375" style="57" customWidth="1"/>
    <col min="7972" max="8202" width="9.109375" style="57"/>
    <col min="8203" max="8203" width="2.109375" style="57" customWidth="1"/>
    <col min="8204" max="8204" width="14" style="57" customWidth="1"/>
    <col min="8205" max="8205" width="0.6640625" style="57" customWidth="1"/>
    <col min="8206" max="8206" width="17.109375" style="57" customWidth="1"/>
    <col min="8207" max="8207" width="1.109375" style="57" customWidth="1"/>
    <col min="8208" max="8208" width="26.5546875" style="57" customWidth="1"/>
    <col min="8209" max="8209" width="1" style="57" customWidth="1"/>
    <col min="8210" max="8210" width="32.88671875" style="57" customWidth="1"/>
    <col min="8211" max="8211" width="1" style="57" customWidth="1"/>
    <col min="8212" max="8212" width="12.6640625" style="57" customWidth="1"/>
    <col min="8213" max="8213" width="1.33203125" style="57" customWidth="1"/>
    <col min="8214" max="8214" width="11.44140625" style="57" customWidth="1"/>
    <col min="8215" max="8215" width="1" style="57" customWidth="1"/>
    <col min="8216" max="8216" width="10.44140625" style="57" customWidth="1"/>
    <col min="8217" max="8217" width="0.88671875" style="57" customWidth="1"/>
    <col min="8218" max="8218" width="14" style="57" customWidth="1"/>
    <col min="8219" max="8219" width="0.88671875" style="57" customWidth="1"/>
    <col min="8220" max="8220" width="10.88671875" style="57" customWidth="1"/>
    <col min="8221" max="8221" width="1.44140625" style="57" customWidth="1"/>
    <col min="8222" max="8222" width="10.88671875" style="57" customWidth="1"/>
    <col min="8223" max="8223" width="0.88671875" style="57" customWidth="1"/>
    <col min="8224" max="8224" width="16" style="57" customWidth="1"/>
    <col min="8225" max="8225" width="0.5546875" style="57" customWidth="1"/>
    <col min="8226" max="8226" width="9.44140625" style="57" bestFit="1" customWidth="1"/>
    <col min="8227" max="8227" width="1.109375" style="57" customWidth="1"/>
    <col min="8228" max="8458" width="9.109375" style="57"/>
    <col min="8459" max="8459" width="2.109375" style="57" customWidth="1"/>
    <col min="8460" max="8460" width="14" style="57" customWidth="1"/>
    <col min="8461" max="8461" width="0.6640625" style="57" customWidth="1"/>
    <col min="8462" max="8462" width="17.109375" style="57" customWidth="1"/>
    <col min="8463" max="8463" width="1.109375" style="57" customWidth="1"/>
    <col min="8464" max="8464" width="26.5546875" style="57" customWidth="1"/>
    <col min="8465" max="8465" width="1" style="57" customWidth="1"/>
    <col min="8466" max="8466" width="32.88671875" style="57" customWidth="1"/>
    <col min="8467" max="8467" width="1" style="57" customWidth="1"/>
    <col min="8468" max="8468" width="12.6640625" style="57" customWidth="1"/>
    <col min="8469" max="8469" width="1.33203125" style="57" customWidth="1"/>
    <col min="8470" max="8470" width="11.44140625" style="57" customWidth="1"/>
    <col min="8471" max="8471" width="1" style="57" customWidth="1"/>
    <col min="8472" max="8472" width="10.44140625" style="57" customWidth="1"/>
    <col min="8473" max="8473" width="0.88671875" style="57" customWidth="1"/>
    <col min="8474" max="8474" width="14" style="57" customWidth="1"/>
    <col min="8475" max="8475" width="0.88671875" style="57" customWidth="1"/>
    <col min="8476" max="8476" width="10.88671875" style="57" customWidth="1"/>
    <col min="8477" max="8477" width="1.44140625" style="57" customWidth="1"/>
    <col min="8478" max="8478" width="10.88671875" style="57" customWidth="1"/>
    <col min="8479" max="8479" width="0.88671875" style="57" customWidth="1"/>
    <col min="8480" max="8480" width="16" style="57" customWidth="1"/>
    <col min="8481" max="8481" width="0.5546875" style="57" customWidth="1"/>
    <col min="8482" max="8482" width="9.44140625" style="57" bestFit="1" customWidth="1"/>
    <col min="8483" max="8483" width="1.109375" style="57" customWidth="1"/>
    <col min="8484" max="8714" width="9.109375" style="57"/>
    <col min="8715" max="8715" width="2.109375" style="57" customWidth="1"/>
    <col min="8716" max="8716" width="14" style="57" customWidth="1"/>
    <col min="8717" max="8717" width="0.6640625" style="57" customWidth="1"/>
    <col min="8718" max="8718" width="17.109375" style="57" customWidth="1"/>
    <col min="8719" max="8719" width="1.109375" style="57" customWidth="1"/>
    <col min="8720" max="8720" width="26.5546875" style="57" customWidth="1"/>
    <col min="8721" max="8721" width="1" style="57" customWidth="1"/>
    <col min="8722" max="8722" width="32.88671875" style="57" customWidth="1"/>
    <col min="8723" max="8723" width="1" style="57" customWidth="1"/>
    <col min="8724" max="8724" width="12.6640625" style="57" customWidth="1"/>
    <col min="8725" max="8725" width="1.33203125" style="57" customWidth="1"/>
    <col min="8726" max="8726" width="11.44140625" style="57" customWidth="1"/>
    <col min="8727" max="8727" width="1" style="57" customWidth="1"/>
    <col min="8728" max="8728" width="10.44140625" style="57" customWidth="1"/>
    <col min="8729" max="8729" width="0.88671875" style="57" customWidth="1"/>
    <col min="8730" max="8730" width="14" style="57" customWidth="1"/>
    <col min="8731" max="8731" width="0.88671875" style="57" customWidth="1"/>
    <col min="8732" max="8732" width="10.88671875" style="57" customWidth="1"/>
    <col min="8733" max="8733" width="1.44140625" style="57" customWidth="1"/>
    <col min="8734" max="8734" width="10.88671875" style="57" customWidth="1"/>
    <col min="8735" max="8735" width="0.88671875" style="57" customWidth="1"/>
    <col min="8736" max="8736" width="16" style="57" customWidth="1"/>
    <col min="8737" max="8737" width="0.5546875" style="57" customWidth="1"/>
    <col min="8738" max="8738" width="9.44140625" style="57" bestFit="1" customWidth="1"/>
    <col min="8739" max="8739" width="1.109375" style="57" customWidth="1"/>
    <col min="8740" max="8970" width="9.109375" style="57"/>
    <col min="8971" max="8971" width="2.109375" style="57" customWidth="1"/>
    <col min="8972" max="8972" width="14" style="57" customWidth="1"/>
    <col min="8973" max="8973" width="0.6640625" style="57" customWidth="1"/>
    <col min="8974" max="8974" width="17.109375" style="57" customWidth="1"/>
    <col min="8975" max="8975" width="1.109375" style="57" customWidth="1"/>
    <col min="8976" max="8976" width="26.5546875" style="57" customWidth="1"/>
    <col min="8977" max="8977" width="1" style="57" customWidth="1"/>
    <col min="8978" max="8978" width="32.88671875" style="57" customWidth="1"/>
    <col min="8979" max="8979" width="1" style="57" customWidth="1"/>
    <col min="8980" max="8980" width="12.6640625" style="57" customWidth="1"/>
    <col min="8981" max="8981" width="1.33203125" style="57" customWidth="1"/>
    <col min="8982" max="8982" width="11.44140625" style="57" customWidth="1"/>
    <col min="8983" max="8983" width="1" style="57" customWidth="1"/>
    <col min="8984" max="8984" width="10.44140625" style="57" customWidth="1"/>
    <col min="8985" max="8985" width="0.88671875" style="57" customWidth="1"/>
    <col min="8986" max="8986" width="14" style="57" customWidth="1"/>
    <col min="8987" max="8987" width="0.88671875" style="57" customWidth="1"/>
    <col min="8988" max="8988" width="10.88671875" style="57" customWidth="1"/>
    <col min="8989" max="8989" width="1.44140625" style="57" customWidth="1"/>
    <col min="8990" max="8990" width="10.88671875" style="57" customWidth="1"/>
    <col min="8991" max="8991" width="0.88671875" style="57" customWidth="1"/>
    <col min="8992" max="8992" width="16" style="57" customWidth="1"/>
    <col min="8993" max="8993" width="0.5546875" style="57" customWidth="1"/>
    <col min="8994" max="8994" width="9.44140625" style="57" bestFit="1" customWidth="1"/>
    <col min="8995" max="8995" width="1.109375" style="57" customWidth="1"/>
    <col min="8996" max="9226" width="9.109375" style="57"/>
    <col min="9227" max="9227" width="2.109375" style="57" customWidth="1"/>
    <col min="9228" max="9228" width="14" style="57" customWidth="1"/>
    <col min="9229" max="9229" width="0.6640625" style="57" customWidth="1"/>
    <col min="9230" max="9230" width="17.109375" style="57" customWidth="1"/>
    <col min="9231" max="9231" width="1.109375" style="57" customWidth="1"/>
    <col min="9232" max="9232" width="26.5546875" style="57" customWidth="1"/>
    <col min="9233" max="9233" width="1" style="57" customWidth="1"/>
    <col min="9234" max="9234" width="32.88671875" style="57" customWidth="1"/>
    <col min="9235" max="9235" width="1" style="57" customWidth="1"/>
    <col min="9236" max="9236" width="12.6640625" style="57" customWidth="1"/>
    <col min="9237" max="9237" width="1.33203125" style="57" customWidth="1"/>
    <col min="9238" max="9238" width="11.44140625" style="57" customWidth="1"/>
    <col min="9239" max="9239" width="1" style="57" customWidth="1"/>
    <col min="9240" max="9240" width="10.44140625" style="57" customWidth="1"/>
    <col min="9241" max="9241" width="0.88671875" style="57" customWidth="1"/>
    <col min="9242" max="9242" width="14" style="57" customWidth="1"/>
    <col min="9243" max="9243" width="0.88671875" style="57" customWidth="1"/>
    <col min="9244" max="9244" width="10.88671875" style="57" customWidth="1"/>
    <col min="9245" max="9245" width="1.44140625" style="57" customWidth="1"/>
    <col min="9246" max="9246" width="10.88671875" style="57" customWidth="1"/>
    <col min="9247" max="9247" width="0.88671875" style="57" customWidth="1"/>
    <col min="9248" max="9248" width="16" style="57" customWidth="1"/>
    <col min="9249" max="9249" width="0.5546875" style="57" customWidth="1"/>
    <col min="9250" max="9250" width="9.44140625" style="57" bestFit="1" customWidth="1"/>
    <col min="9251" max="9251" width="1.109375" style="57" customWidth="1"/>
    <col min="9252" max="9482" width="9.109375" style="57"/>
    <col min="9483" max="9483" width="2.109375" style="57" customWidth="1"/>
    <col min="9484" max="9484" width="14" style="57" customWidth="1"/>
    <col min="9485" max="9485" width="0.6640625" style="57" customWidth="1"/>
    <col min="9486" max="9486" width="17.109375" style="57" customWidth="1"/>
    <col min="9487" max="9487" width="1.109375" style="57" customWidth="1"/>
    <col min="9488" max="9488" width="26.5546875" style="57" customWidth="1"/>
    <col min="9489" max="9489" width="1" style="57" customWidth="1"/>
    <col min="9490" max="9490" width="32.88671875" style="57" customWidth="1"/>
    <col min="9491" max="9491" width="1" style="57" customWidth="1"/>
    <col min="9492" max="9492" width="12.6640625" style="57" customWidth="1"/>
    <col min="9493" max="9493" width="1.33203125" style="57" customWidth="1"/>
    <col min="9494" max="9494" width="11.44140625" style="57" customWidth="1"/>
    <col min="9495" max="9495" width="1" style="57" customWidth="1"/>
    <col min="9496" max="9496" width="10.44140625" style="57" customWidth="1"/>
    <col min="9497" max="9497" width="0.88671875" style="57" customWidth="1"/>
    <col min="9498" max="9498" width="14" style="57" customWidth="1"/>
    <col min="9499" max="9499" width="0.88671875" style="57" customWidth="1"/>
    <col min="9500" max="9500" width="10.88671875" style="57" customWidth="1"/>
    <col min="9501" max="9501" width="1.44140625" style="57" customWidth="1"/>
    <col min="9502" max="9502" width="10.88671875" style="57" customWidth="1"/>
    <col min="9503" max="9503" width="0.88671875" style="57" customWidth="1"/>
    <col min="9504" max="9504" width="16" style="57" customWidth="1"/>
    <col min="9505" max="9505" width="0.5546875" style="57" customWidth="1"/>
    <col min="9506" max="9506" width="9.44140625" style="57" bestFit="1" customWidth="1"/>
    <col min="9507" max="9507" width="1.109375" style="57" customWidth="1"/>
    <col min="9508" max="9738" width="9.109375" style="57"/>
    <col min="9739" max="9739" width="2.109375" style="57" customWidth="1"/>
    <col min="9740" max="9740" width="14" style="57" customWidth="1"/>
    <col min="9741" max="9741" width="0.6640625" style="57" customWidth="1"/>
    <col min="9742" max="9742" width="17.109375" style="57" customWidth="1"/>
    <col min="9743" max="9743" width="1.109375" style="57" customWidth="1"/>
    <col min="9744" max="9744" width="26.5546875" style="57" customWidth="1"/>
    <col min="9745" max="9745" width="1" style="57" customWidth="1"/>
    <col min="9746" max="9746" width="32.88671875" style="57" customWidth="1"/>
    <col min="9747" max="9747" width="1" style="57" customWidth="1"/>
    <col min="9748" max="9748" width="12.6640625" style="57" customWidth="1"/>
    <col min="9749" max="9749" width="1.33203125" style="57" customWidth="1"/>
    <col min="9750" max="9750" width="11.44140625" style="57" customWidth="1"/>
    <col min="9751" max="9751" width="1" style="57" customWidth="1"/>
    <col min="9752" max="9752" width="10.44140625" style="57" customWidth="1"/>
    <col min="9753" max="9753" width="0.88671875" style="57" customWidth="1"/>
    <col min="9754" max="9754" width="14" style="57" customWidth="1"/>
    <col min="9755" max="9755" width="0.88671875" style="57" customWidth="1"/>
    <col min="9756" max="9756" width="10.88671875" style="57" customWidth="1"/>
    <col min="9757" max="9757" width="1.44140625" style="57" customWidth="1"/>
    <col min="9758" max="9758" width="10.88671875" style="57" customWidth="1"/>
    <col min="9759" max="9759" width="0.88671875" style="57" customWidth="1"/>
    <col min="9760" max="9760" width="16" style="57" customWidth="1"/>
    <col min="9761" max="9761" width="0.5546875" style="57" customWidth="1"/>
    <col min="9762" max="9762" width="9.44140625" style="57" bestFit="1" customWidth="1"/>
    <col min="9763" max="9763" width="1.109375" style="57" customWidth="1"/>
    <col min="9764" max="9994" width="9.109375" style="57"/>
    <col min="9995" max="9995" width="2.109375" style="57" customWidth="1"/>
    <col min="9996" max="9996" width="14" style="57" customWidth="1"/>
    <col min="9997" max="9997" width="0.6640625" style="57" customWidth="1"/>
    <col min="9998" max="9998" width="17.109375" style="57" customWidth="1"/>
    <col min="9999" max="9999" width="1.109375" style="57" customWidth="1"/>
    <col min="10000" max="10000" width="26.5546875" style="57" customWidth="1"/>
    <col min="10001" max="10001" width="1" style="57" customWidth="1"/>
    <col min="10002" max="10002" width="32.88671875" style="57" customWidth="1"/>
    <col min="10003" max="10003" width="1" style="57" customWidth="1"/>
    <col min="10004" max="10004" width="12.6640625" style="57" customWidth="1"/>
    <col min="10005" max="10005" width="1.33203125" style="57" customWidth="1"/>
    <col min="10006" max="10006" width="11.44140625" style="57" customWidth="1"/>
    <col min="10007" max="10007" width="1" style="57" customWidth="1"/>
    <col min="10008" max="10008" width="10.44140625" style="57" customWidth="1"/>
    <col min="10009" max="10009" width="0.88671875" style="57" customWidth="1"/>
    <col min="10010" max="10010" width="14" style="57" customWidth="1"/>
    <col min="10011" max="10011" width="0.88671875" style="57" customWidth="1"/>
    <col min="10012" max="10012" width="10.88671875" style="57" customWidth="1"/>
    <col min="10013" max="10013" width="1.44140625" style="57" customWidth="1"/>
    <col min="10014" max="10014" width="10.88671875" style="57" customWidth="1"/>
    <col min="10015" max="10015" width="0.88671875" style="57" customWidth="1"/>
    <col min="10016" max="10016" width="16" style="57" customWidth="1"/>
    <col min="10017" max="10017" width="0.5546875" style="57" customWidth="1"/>
    <col min="10018" max="10018" width="9.44140625" style="57" bestFit="1" customWidth="1"/>
    <col min="10019" max="10019" width="1.109375" style="57" customWidth="1"/>
    <col min="10020" max="10250" width="9.109375" style="57"/>
    <col min="10251" max="10251" width="2.109375" style="57" customWidth="1"/>
    <col min="10252" max="10252" width="14" style="57" customWidth="1"/>
    <col min="10253" max="10253" width="0.6640625" style="57" customWidth="1"/>
    <col min="10254" max="10254" width="17.109375" style="57" customWidth="1"/>
    <col min="10255" max="10255" width="1.109375" style="57" customWidth="1"/>
    <col min="10256" max="10256" width="26.5546875" style="57" customWidth="1"/>
    <col min="10257" max="10257" width="1" style="57" customWidth="1"/>
    <col min="10258" max="10258" width="32.88671875" style="57" customWidth="1"/>
    <col min="10259" max="10259" width="1" style="57" customWidth="1"/>
    <col min="10260" max="10260" width="12.6640625" style="57" customWidth="1"/>
    <col min="10261" max="10261" width="1.33203125" style="57" customWidth="1"/>
    <col min="10262" max="10262" width="11.44140625" style="57" customWidth="1"/>
    <col min="10263" max="10263" width="1" style="57" customWidth="1"/>
    <col min="10264" max="10264" width="10.44140625" style="57" customWidth="1"/>
    <col min="10265" max="10265" width="0.88671875" style="57" customWidth="1"/>
    <col min="10266" max="10266" width="14" style="57" customWidth="1"/>
    <col min="10267" max="10267" width="0.88671875" style="57" customWidth="1"/>
    <col min="10268" max="10268" width="10.88671875" style="57" customWidth="1"/>
    <col min="10269" max="10269" width="1.44140625" style="57" customWidth="1"/>
    <col min="10270" max="10270" width="10.88671875" style="57" customWidth="1"/>
    <col min="10271" max="10271" width="0.88671875" style="57" customWidth="1"/>
    <col min="10272" max="10272" width="16" style="57" customWidth="1"/>
    <col min="10273" max="10273" width="0.5546875" style="57" customWidth="1"/>
    <col min="10274" max="10274" width="9.44140625" style="57" bestFit="1" customWidth="1"/>
    <col min="10275" max="10275" width="1.109375" style="57" customWidth="1"/>
    <col min="10276" max="10506" width="9.109375" style="57"/>
    <col min="10507" max="10507" width="2.109375" style="57" customWidth="1"/>
    <col min="10508" max="10508" width="14" style="57" customWidth="1"/>
    <col min="10509" max="10509" width="0.6640625" style="57" customWidth="1"/>
    <col min="10510" max="10510" width="17.109375" style="57" customWidth="1"/>
    <col min="10511" max="10511" width="1.109375" style="57" customWidth="1"/>
    <col min="10512" max="10512" width="26.5546875" style="57" customWidth="1"/>
    <col min="10513" max="10513" width="1" style="57" customWidth="1"/>
    <col min="10514" max="10514" width="32.88671875" style="57" customWidth="1"/>
    <col min="10515" max="10515" width="1" style="57" customWidth="1"/>
    <col min="10516" max="10516" width="12.6640625" style="57" customWidth="1"/>
    <col min="10517" max="10517" width="1.33203125" style="57" customWidth="1"/>
    <col min="10518" max="10518" width="11.44140625" style="57" customWidth="1"/>
    <col min="10519" max="10519" width="1" style="57" customWidth="1"/>
    <col min="10520" max="10520" width="10.44140625" style="57" customWidth="1"/>
    <col min="10521" max="10521" width="0.88671875" style="57" customWidth="1"/>
    <col min="10522" max="10522" width="14" style="57" customWidth="1"/>
    <col min="10523" max="10523" width="0.88671875" style="57" customWidth="1"/>
    <col min="10524" max="10524" width="10.88671875" style="57" customWidth="1"/>
    <col min="10525" max="10525" width="1.44140625" style="57" customWidth="1"/>
    <col min="10526" max="10526" width="10.88671875" style="57" customWidth="1"/>
    <col min="10527" max="10527" width="0.88671875" style="57" customWidth="1"/>
    <col min="10528" max="10528" width="16" style="57" customWidth="1"/>
    <col min="10529" max="10529" width="0.5546875" style="57" customWidth="1"/>
    <col min="10530" max="10530" width="9.44140625" style="57" bestFit="1" customWidth="1"/>
    <col min="10531" max="10531" width="1.109375" style="57" customWidth="1"/>
    <col min="10532" max="10762" width="9.109375" style="57"/>
    <col min="10763" max="10763" width="2.109375" style="57" customWidth="1"/>
    <col min="10764" max="10764" width="14" style="57" customWidth="1"/>
    <col min="10765" max="10765" width="0.6640625" style="57" customWidth="1"/>
    <col min="10766" max="10766" width="17.109375" style="57" customWidth="1"/>
    <col min="10767" max="10767" width="1.109375" style="57" customWidth="1"/>
    <col min="10768" max="10768" width="26.5546875" style="57" customWidth="1"/>
    <col min="10769" max="10769" width="1" style="57" customWidth="1"/>
    <col min="10770" max="10770" width="32.88671875" style="57" customWidth="1"/>
    <col min="10771" max="10771" width="1" style="57" customWidth="1"/>
    <col min="10772" max="10772" width="12.6640625" style="57" customWidth="1"/>
    <col min="10773" max="10773" width="1.33203125" style="57" customWidth="1"/>
    <col min="10774" max="10774" width="11.44140625" style="57" customWidth="1"/>
    <col min="10775" max="10775" width="1" style="57" customWidth="1"/>
    <col min="10776" max="10776" width="10.44140625" style="57" customWidth="1"/>
    <col min="10777" max="10777" width="0.88671875" style="57" customWidth="1"/>
    <col min="10778" max="10778" width="14" style="57" customWidth="1"/>
    <col min="10779" max="10779" width="0.88671875" style="57" customWidth="1"/>
    <col min="10780" max="10780" width="10.88671875" style="57" customWidth="1"/>
    <col min="10781" max="10781" width="1.44140625" style="57" customWidth="1"/>
    <col min="10782" max="10782" width="10.88671875" style="57" customWidth="1"/>
    <col min="10783" max="10783" width="0.88671875" style="57" customWidth="1"/>
    <col min="10784" max="10784" width="16" style="57" customWidth="1"/>
    <col min="10785" max="10785" width="0.5546875" style="57" customWidth="1"/>
    <col min="10786" max="10786" width="9.44140625" style="57" bestFit="1" customWidth="1"/>
    <col min="10787" max="10787" width="1.109375" style="57" customWidth="1"/>
    <col min="10788" max="11018" width="9.109375" style="57"/>
    <col min="11019" max="11019" width="2.109375" style="57" customWidth="1"/>
    <col min="11020" max="11020" width="14" style="57" customWidth="1"/>
    <col min="11021" max="11021" width="0.6640625" style="57" customWidth="1"/>
    <col min="11022" max="11022" width="17.109375" style="57" customWidth="1"/>
    <col min="11023" max="11023" width="1.109375" style="57" customWidth="1"/>
    <col min="11024" max="11024" width="26.5546875" style="57" customWidth="1"/>
    <col min="11025" max="11025" width="1" style="57" customWidth="1"/>
    <col min="11026" max="11026" width="32.88671875" style="57" customWidth="1"/>
    <col min="11027" max="11027" width="1" style="57" customWidth="1"/>
    <col min="11028" max="11028" width="12.6640625" style="57" customWidth="1"/>
    <col min="11029" max="11029" width="1.33203125" style="57" customWidth="1"/>
    <col min="11030" max="11030" width="11.44140625" style="57" customWidth="1"/>
    <col min="11031" max="11031" width="1" style="57" customWidth="1"/>
    <col min="11032" max="11032" width="10.44140625" style="57" customWidth="1"/>
    <col min="11033" max="11033" width="0.88671875" style="57" customWidth="1"/>
    <col min="11034" max="11034" width="14" style="57" customWidth="1"/>
    <col min="11035" max="11035" width="0.88671875" style="57" customWidth="1"/>
    <col min="11036" max="11036" width="10.88671875" style="57" customWidth="1"/>
    <col min="11037" max="11037" width="1.44140625" style="57" customWidth="1"/>
    <col min="11038" max="11038" width="10.88671875" style="57" customWidth="1"/>
    <col min="11039" max="11039" width="0.88671875" style="57" customWidth="1"/>
    <col min="11040" max="11040" width="16" style="57" customWidth="1"/>
    <col min="11041" max="11041" width="0.5546875" style="57" customWidth="1"/>
    <col min="11042" max="11042" width="9.44140625" style="57" bestFit="1" customWidth="1"/>
    <col min="11043" max="11043" width="1.109375" style="57" customWidth="1"/>
    <col min="11044" max="11274" width="9.109375" style="57"/>
    <col min="11275" max="11275" width="2.109375" style="57" customWidth="1"/>
    <col min="11276" max="11276" width="14" style="57" customWidth="1"/>
    <col min="11277" max="11277" width="0.6640625" style="57" customWidth="1"/>
    <col min="11278" max="11278" width="17.109375" style="57" customWidth="1"/>
    <col min="11279" max="11279" width="1.109375" style="57" customWidth="1"/>
    <col min="11280" max="11280" width="26.5546875" style="57" customWidth="1"/>
    <col min="11281" max="11281" width="1" style="57" customWidth="1"/>
    <col min="11282" max="11282" width="32.88671875" style="57" customWidth="1"/>
    <col min="11283" max="11283" width="1" style="57" customWidth="1"/>
    <col min="11284" max="11284" width="12.6640625" style="57" customWidth="1"/>
    <col min="11285" max="11285" width="1.33203125" style="57" customWidth="1"/>
    <col min="11286" max="11286" width="11.44140625" style="57" customWidth="1"/>
    <col min="11287" max="11287" width="1" style="57" customWidth="1"/>
    <col min="11288" max="11288" width="10.44140625" style="57" customWidth="1"/>
    <col min="11289" max="11289" width="0.88671875" style="57" customWidth="1"/>
    <col min="11290" max="11290" width="14" style="57" customWidth="1"/>
    <col min="11291" max="11291" width="0.88671875" style="57" customWidth="1"/>
    <col min="11292" max="11292" width="10.88671875" style="57" customWidth="1"/>
    <col min="11293" max="11293" width="1.44140625" style="57" customWidth="1"/>
    <col min="11294" max="11294" width="10.88671875" style="57" customWidth="1"/>
    <col min="11295" max="11295" width="0.88671875" style="57" customWidth="1"/>
    <col min="11296" max="11296" width="16" style="57" customWidth="1"/>
    <col min="11297" max="11297" width="0.5546875" style="57" customWidth="1"/>
    <col min="11298" max="11298" width="9.44140625" style="57" bestFit="1" customWidth="1"/>
    <col min="11299" max="11299" width="1.109375" style="57" customWidth="1"/>
    <col min="11300" max="11530" width="9.109375" style="57"/>
    <col min="11531" max="11531" width="2.109375" style="57" customWidth="1"/>
    <col min="11532" max="11532" width="14" style="57" customWidth="1"/>
    <col min="11533" max="11533" width="0.6640625" style="57" customWidth="1"/>
    <col min="11534" max="11534" width="17.109375" style="57" customWidth="1"/>
    <col min="11535" max="11535" width="1.109375" style="57" customWidth="1"/>
    <col min="11536" max="11536" width="26.5546875" style="57" customWidth="1"/>
    <col min="11537" max="11537" width="1" style="57" customWidth="1"/>
    <col min="11538" max="11538" width="32.88671875" style="57" customWidth="1"/>
    <col min="11539" max="11539" width="1" style="57" customWidth="1"/>
    <col min="11540" max="11540" width="12.6640625" style="57" customWidth="1"/>
    <col min="11541" max="11541" width="1.33203125" style="57" customWidth="1"/>
    <col min="11542" max="11542" width="11.44140625" style="57" customWidth="1"/>
    <col min="11543" max="11543" width="1" style="57" customWidth="1"/>
    <col min="11544" max="11544" width="10.44140625" style="57" customWidth="1"/>
    <col min="11545" max="11545" width="0.88671875" style="57" customWidth="1"/>
    <col min="11546" max="11546" width="14" style="57" customWidth="1"/>
    <col min="11547" max="11547" width="0.88671875" style="57" customWidth="1"/>
    <col min="11548" max="11548" width="10.88671875" style="57" customWidth="1"/>
    <col min="11549" max="11549" width="1.44140625" style="57" customWidth="1"/>
    <col min="11550" max="11550" width="10.88671875" style="57" customWidth="1"/>
    <col min="11551" max="11551" width="0.88671875" style="57" customWidth="1"/>
    <col min="11552" max="11552" width="16" style="57" customWidth="1"/>
    <col min="11553" max="11553" width="0.5546875" style="57" customWidth="1"/>
    <col min="11554" max="11554" width="9.44140625" style="57" bestFit="1" customWidth="1"/>
    <col min="11555" max="11555" width="1.109375" style="57" customWidth="1"/>
    <col min="11556" max="11786" width="9.109375" style="57"/>
    <col min="11787" max="11787" width="2.109375" style="57" customWidth="1"/>
    <col min="11788" max="11788" width="14" style="57" customWidth="1"/>
    <col min="11789" max="11789" width="0.6640625" style="57" customWidth="1"/>
    <col min="11790" max="11790" width="17.109375" style="57" customWidth="1"/>
    <col min="11791" max="11791" width="1.109375" style="57" customWidth="1"/>
    <col min="11792" max="11792" width="26.5546875" style="57" customWidth="1"/>
    <col min="11793" max="11793" width="1" style="57" customWidth="1"/>
    <col min="11794" max="11794" width="32.88671875" style="57" customWidth="1"/>
    <col min="11795" max="11795" width="1" style="57" customWidth="1"/>
    <col min="11796" max="11796" width="12.6640625" style="57" customWidth="1"/>
    <col min="11797" max="11797" width="1.33203125" style="57" customWidth="1"/>
    <col min="11798" max="11798" width="11.44140625" style="57" customWidth="1"/>
    <col min="11799" max="11799" width="1" style="57" customWidth="1"/>
    <col min="11800" max="11800" width="10.44140625" style="57" customWidth="1"/>
    <col min="11801" max="11801" width="0.88671875" style="57" customWidth="1"/>
    <col min="11802" max="11802" width="14" style="57" customWidth="1"/>
    <col min="11803" max="11803" width="0.88671875" style="57" customWidth="1"/>
    <col min="11804" max="11804" width="10.88671875" style="57" customWidth="1"/>
    <col min="11805" max="11805" width="1.44140625" style="57" customWidth="1"/>
    <col min="11806" max="11806" width="10.88671875" style="57" customWidth="1"/>
    <col min="11807" max="11807" width="0.88671875" style="57" customWidth="1"/>
    <col min="11808" max="11808" width="16" style="57" customWidth="1"/>
    <col min="11809" max="11809" width="0.5546875" style="57" customWidth="1"/>
    <col min="11810" max="11810" width="9.44140625" style="57" bestFit="1" customWidth="1"/>
    <col min="11811" max="11811" width="1.109375" style="57" customWidth="1"/>
    <col min="11812" max="12042" width="9.109375" style="57"/>
    <col min="12043" max="12043" width="2.109375" style="57" customWidth="1"/>
    <col min="12044" max="12044" width="14" style="57" customWidth="1"/>
    <col min="12045" max="12045" width="0.6640625" style="57" customWidth="1"/>
    <col min="12046" max="12046" width="17.109375" style="57" customWidth="1"/>
    <col min="12047" max="12047" width="1.109375" style="57" customWidth="1"/>
    <col min="12048" max="12048" width="26.5546875" style="57" customWidth="1"/>
    <col min="12049" max="12049" width="1" style="57" customWidth="1"/>
    <col min="12050" max="12050" width="32.88671875" style="57" customWidth="1"/>
    <col min="12051" max="12051" width="1" style="57" customWidth="1"/>
    <col min="12052" max="12052" width="12.6640625" style="57" customWidth="1"/>
    <col min="12053" max="12053" width="1.33203125" style="57" customWidth="1"/>
    <col min="12054" max="12054" width="11.44140625" style="57" customWidth="1"/>
    <col min="12055" max="12055" width="1" style="57" customWidth="1"/>
    <col min="12056" max="12056" width="10.44140625" style="57" customWidth="1"/>
    <col min="12057" max="12057" width="0.88671875" style="57" customWidth="1"/>
    <col min="12058" max="12058" width="14" style="57" customWidth="1"/>
    <col min="12059" max="12059" width="0.88671875" style="57" customWidth="1"/>
    <col min="12060" max="12060" width="10.88671875" style="57" customWidth="1"/>
    <col min="12061" max="12061" width="1.44140625" style="57" customWidth="1"/>
    <col min="12062" max="12062" width="10.88671875" style="57" customWidth="1"/>
    <col min="12063" max="12063" width="0.88671875" style="57" customWidth="1"/>
    <col min="12064" max="12064" width="16" style="57" customWidth="1"/>
    <col min="12065" max="12065" width="0.5546875" style="57" customWidth="1"/>
    <col min="12066" max="12066" width="9.44140625" style="57" bestFit="1" customWidth="1"/>
    <col min="12067" max="12067" width="1.109375" style="57" customWidth="1"/>
    <col min="12068" max="12298" width="9.109375" style="57"/>
    <col min="12299" max="12299" width="2.109375" style="57" customWidth="1"/>
    <col min="12300" max="12300" width="14" style="57" customWidth="1"/>
    <col min="12301" max="12301" width="0.6640625" style="57" customWidth="1"/>
    <col min="12302" max="12302" width="17.109375" style="57" customWidth="1"/>
    <col min="12303" max="12303" width="1.109375" style="57" customWidth="1"/>
    <col min="12304" max="12304" width="26.5546875" style="57" customWidth="1"/>
    <col min="12305" max="12305" width="1" style="57" customWidth="1"/>
    <col min="12306" max="12306" width="32.88671875" style="57" customWidth="1"/>
    <col min="12307" max="12307" width="1" style="57" customWidth="1"/>
    <col min="12308" max="12308" width="12.6640625" style="57" customWidth="1"/>
    <col min="12309" max="12309" width="1.33203125" style="57" customWidth="1"/>
    <col min="12310" max="12310" width="11.44140625" style="57" customWidth="1"/>
    <col min="12311" max="12311" width="1" style="57" customWidth="1"/>
    <col min="12312" max="12312" width="10.44140625" style="57" customWidth="1"/>
    <col min="12313" max="12313" width="0.88671875" style="57" customWidth="1"/>
    <col min="12314" max="12314" width="14" style="57" customWidth="1"/>
    <col min="12315" max="12315" width="0.88671875" style="57" customWidth="1"/>
    <col min="12316" max="12316" width="10.88671875" style="57" customWidth="1"/>
    <col min="12317" max="12317" width="1.44140625" style="57" customWidth="1"/>
    <col min="12318" max="12318" width="10.88671875" style="57" customWidth="1"/>
    <col min="12319" max="12319" width="0.88671875" style="57" customWidth="1"/>
    <col min="12320" max="12320" width="16" style="57" customWidth="1"/>
    <col min="12321" max="12321" width="0.5546875" style="57" customWidth="1"/>
    <col min="12322" max="12322" width="9.44140625" style="57" bestFit="1" customWidth="1"/>
    <col min="12323" max="12323" width="1.109375" style="57" customWidth="1"/>
    <col min="12324" max="12554" width="9.109375" style="57"/>
    <col min="12555" max="12555" width="2.109375" style="57" customWidth="1"/>
    <col min="12556" max="12556" width="14" style="57" customWidth="1"/>
    <col min="12557" max="12557" width="0.6640625" style="57" customWidth="1"/>
    <col min="12558" max="12558" width="17.109375" style="57" customWidth="1"/>
    <col min="12559" max="12559" width="1.109375" style="57" customWidth="1"/>
    <col min="12560" max="12560" width="26.5546875" style="57" customWidth="1"/>
    <col min="12561" max="12561" width="1" style="57" customWidth="1"/>
    <col min="12562" max="12562" width="32.88671875" style="57" customWidth="1"/>
    <col min="12563" max="12563" width="1" style="57" customWidth="1"/>
    <col min="12564" max="12564" width="12.6640625" style="57" customWidth="1"/>
    <col min="12565" max="12565" width="1.33203125" style="57" customWidth="1"/>
    <col min="12566" max="12566" width="11.44140625" style="57" customWidth="1"/>
    <col min="12567" max="12567" width="1" style="57" customWidth="1"/>
    <col min="12568" max="12568" width="10.44140625" style="57" customWidth="1"/>
    <col min="12569" max="12569" width="0.88671875" style="57" customWidth="1"/>
    <col min="12570" max="12570" width="14" style="57" customWidth="1"/>
    <col min="12571" max="12571" width="0.88671875" style="57" customWidth="1"/>
    <col min="12572" max="12572" width="10.88671875" style="57" customWidth="1"/>
    <col min="12573" max="12573" width="1.44140625" style="57" customWidth="1"/>
    <col min="12574" max="12574" width="10.88671875" style="57" customWidth="1"/>
    <col min="12575" max="12575" width="0.88671875" style="57" customWidth="1"/>
    <col min="12576" max="12576" width="16" style="57" customWidth="1"/>
    <col min="12577" max="12577" width="0.5546875" style="57" customWidth="1"/>
    <col min="12578" max="12578" width="9.44140625" style="57" bestFit="1" customWidth="1"/>
    <col min="12579" max="12579" width="1.109375" style="57" customWidth="1"/>
    <col min="12580" max="12810" width="9.109375" style="57"/>
    <col min="12811" max="12811" width="2.109375" style="57" customWidth="1"/>
    <col min="12812" max="12812" width="14" style="57" customWidth="1"/>
    <col min="12813" max="12813" width="0.6640625" style="57" customWidth="1"/>
    <col min="12814" max="12814" width="17.109375" style="57" customWidth="1"/>
    <col min="12815" max="12815" width="1.109375" style="57" customWidth="1"/>
    <col min="12816" max="12816" width="26.5546875" style="57" customWidth="1"/>
    <col min="12817" max="12817" width="1" style="57" customWidth="1"/>
    <col min="12818" max="12818" width="32.88671875" style="57" customWidth="1"/>
    <col min="12819" max="12819" width="1" style="57" customWidth="1"/>
    <col min="12820" max="12820" width="12.6640625" style="57" customWidth="1"/>
    <col min="12821" max="12821" width="1.33203125" style="57" customWidth="1"/>
    <col min="12822" max="12822" width="11.44140625" style="57" customWidth="1"/>
    <col min="12823" max="12823" width="1" style="57" customWidth="1"/>
    <col min="12824" max="12824" width="10.44140625" style="57" customWidth="1"/>
    <col min="12825" max="12825" width="0.88671875" style="57" customWidth="1"/>
    <col min="12826" max="12826" width="14" style="57" customWidth="1"/>
    <col min="12827" max="12827" width="0.88671875" style="57" customWidth="1"/>
    <col min="12828" max="12828" width="10.88671875" style="57" customWidth="1"/>
    <col min="12829" max="12829" width="1.44140625" style="57" customWidth="1"/>
    <col min="12830" max="12830" width="10.88671875" style="57" customWidth="1"/>
    <col min="12831" max="12831" width="0.88671875" style="57" customWidth="1"/>
    <col min="12832" max="12832" width="16" style="57" customWidth="1"/>
    <col min="12833" max="12833" width="0.5546875" style="57" customWidth="1"/>
    <col min="12834" max="12834" width="9.44140625" style="57" bestFit="1" customWidth="1"/>
    <col min="12835" max="12835" width="1.109375" style="57" customWidth="1"/>
    <col min="12836" max="13066" width="9.109375" style="57"/>
    <col min="13067" max="13067" width="2.109375" style="57" customWidth="1"/>
    <col min="13068" max="13068" width="14" style="57" customWidth="1"/>
    <col min="13069" max="13069" width="0.6640625" style="57" customWidth="1"/>
    <col min="13070" max="13070" width="17.109375" style="57" customWidth="1"/>
    <col min="13071" max="13071" width="1.109375" style="57" customWidth="1"/>
    <col min="13072" max="13072" width="26.5546875" style="57" customWidth="1"/>
    <col min="13073" max="13073" width="1" style="57" customWidth="1"/>
    <col min="13074" max="13074" width="32.88671875" style="57" customWidth="1"/>
    <col min="13075" max="13075" width="1" style="57" customWidth="1"/>
    <col min="13076" max="13076" width="12.6640625" style="57" customWidth="1"/>
    <col min="13077" max="13077" width="1.33203125" style="57" customWidth="1"/>
    <col min="13078" max="13078" width="11.44140625" style="57" customWidth="1"/>
    <col min="13079" max="13079" width="1" style="57" customWidth="1"/>
    <col min="13080" max="13080" width="10.44140625" style="57" customWidth="1"/>
    <col min="13081" max="13081" width="0.88671875" style="57" customWidth="1"/>
    <col min="13082" max="13082" width="14" style="57" customWidth="1"/>
    <col min="13083" max="13083" width="0.88671875" style="57" customWidth="1"/>
    <col min="13084" max="13084" width="10.88671875" style="57" customWidth="1"/>
    <col min="13085" max="13085" width="1.44140625" style="57" customWidth="1"/>
    <col min="13086" max="13086" width="10.88671875" style="57" customWidth="1"/>
    <col min="13087" max="13087" width="0.88671875" style="57" customWidth="1"/>
    <col min="13088" max="13088" width="16" style="57" customWidth="1"/>
    <col min="13089" max="13089" width="0.5546875" style="57" customWidth="1"/>
    <col min="13090" max="13090" width="9.44140625" style="57" bestFit="1" customWidth="1"/>
    <col min="13091" max="13091" width="1.109375" style="57" customWidth="1"/>
    <col min="13092" max="13322" width="9.109375" style="57"/>
    <col min="13323" max="13323" width="2.109375" style="57" customWidth="1"/>
    <col min="13324" max="13324" width="14" style="57" customWidth="1"/>
    <col min="13325" max="13325" width="0.6640625" style="57" customWidth="1"/>
    <col min="13326" max="13326" width="17.109375" style="57" customWidth="1"/>
    <col min="13327" max="13327" width="1.109375" style="57" customWidth="1"/>
    <col min="13328" max="13328" width="26.5546875" style="57" customWidth="1"/>
    <col min="13329" max="13329" width="1" style="57" customWidth="1"/>
    <col min="13330" max="13330" width="32.88671875" style="57" customWidth="1"/>
    <col min="13331" max="13331" width="1" style="57" customWidth="1"/>
    <col min="13332" max="13332" width="12.6640625" style="57" customWidth="1"/>
    <col min="13333" max="13333" width="1.33203125" style="57" customWidth="1"/>
    <col min="13334" max="13334" width="11.44140625" style="57" customWidth="1"/>
    <col min="13335" max="13335" width="1" style="57" customWidth="1"/>
    <col min="13336" max="13336" width="10.44140625" style="57" customWidth="1"/>
    <col min="13337" max="13337" width="0.88671875" style="57" customWidth="1"/>
    <col min="13338" max="13338" width="14" style="57" customWidth="1"/>
    <col min="13339" max="13339" width="0.88671875" style="57" customWidth="1"/>
    <col min="13340" max="13340" width="10.88671875" style="57" customWidth="1"/>
    <col min="13341" max="13341" width="1.44140625" style="57" customWidth="1"/>
    <col min="13342" max="13342" width="10.88671875" style="57" customWidth="1"/>
    <col min="13343" max="13343" width="0.88671875" style="57" customWidth="1"/>
    <col min="13344" max="13344" width="16" style="57" customWidth="1"/>
    <col min="13345" max="13345" width="0.5546875" style="57" customWidth="1"/>
    <col min="13346" max="13346" width="9.44140625" style="57" bestFit="1" customWidth="1"/>
    <col min="13347" max="13347" width="1.109375" style="57" customWidth="1"/>
    <col min="13348" max="13578" width="9.109375" style="57"/>
    <col min="13579" max="13579" width="2.109375" style="57" customWidth="1"/>
    <col min="13580" max="13580" width="14" style="57" customWidth="1"/>
    <col min="13581" max="13581" width="0.6640625" style="57" customWidth="1"/>
    <col min="13582" max="13582" width="17.109375" style="57" customWidth="1"/>
    <col min="13583" max="13583" width="1.109375" style="57" customWidth="1"/>
    <col min="13584" max="13584" width="26.5546875" style="57" customWidth="1"/>
    <col min="13585" max="13585" width="1" style="57" customWidth="1"/>
    <col min="13586" max="13586" width="32.88671875" style="57" customWidth="1"/>
    <col min="13587" max="13587" width="1" style="57" customWidth="1"/>
    <col min="13588" max="13588" width="12.6640625" style="57" customWidth="1"/>
    <col min="13589" max="13589" width="1.33203125" style="57" customWidth="1"/>
    <col min="13590" max="13590" width="11.44140625" style="57" customWidth="1"/>
    <col min="13591" max="13591" width="1" style="57" customWidth="1"/>
    <col min="13592" max="13592" width="10.44140625" style="57" customWidth="1"/>
    <col min="13593" max="13593" width="0.88671875" style="57" customWidth="1"/>
    <col min="13594" max="13594" width="14" style="57" customWidth="1"/>
    <col min="13595" max="13595" width="0.88671875" style="57" customWidth="1"/>
    <col min="13596" max="13596" width="10.88671875" style="57" customWidth="1"/>
    <col min="13597" max="13597" width="1.44140625" style="57" customWidth="1"/>
    <col min="13598" max="13598" width="10.88671875" style="57" customWidth="1"/>
    <col min="13599" max="13599" width="0.88671875" style="57" customWidth="1"/>
    <col min="13600" max="13600" width="16" style="57" customWidth="1"/>
    <col min="13601" max="13601" width="0.5546875" style="57" customWidth="1"/>
    <col min="13602" max="13602" width="9.44140625" style="57" bestFit="1" customWidth="1"/>
    <col min="13603" max="13603" width="1.109375" style="57" customWidth="1"/>
    <col min="13604" max="13834" width="9.109375" style="57"/>
    <col min="13835" max="13835" width="2.109375" style="57" customWidth="1"/>
    <col min="13836" max="13836" width="14" style="57" customWidth="1"/>
    <col min="13837" max="13837" width="0.6640625" style="57" customWidth="1"/>
    <col min="13838" max="13838" width="17.109375" style="57" customWidth="1"/>
    <col min="13839" max="13839" width="1.109375" style="57" customWidth="1"/>
    <col min="13840" max="13840" width="26.5546875" style="57" customWidth="1"/>
    <col min="13841" max="13841" width="1" style="57" customWidth="1"/>
    <col min="13842" max="13842" width="32.88671875" style="57" customWidth="1"/>
    <col min="13843" max="13843" width="1" style="57" customWidth="1"/>
    <col min="13844" max="13844" width="12.6640625" style="57" customWidth="1"/>
    <col min="13845" max="13845" width="1.33203125" style="57" customWidth="1"/>
    <col min="13846" max="13846" width="11.44140625" style="57" customWidth="1"/>
    <col min="13847" max="13847" width="1" style="57" customWidth="1"/>
    <col min="13848" max="13848" width="10.44140625" style="57" customWidth="1"/>
    <col min="13849" max="13849" width="0.88671875" style="57" customWidth="1"/>
    <col min="13850" max="13850" width="14" style="57" customWidth="1"/>
    <col min="13851" max="13851" width="0.88671875" style="57" customWidth="1"/>
    <col min="13852" max="13852" width="10.88671875" style="57" customWidth="1"/>
    <col min="13853" max="13853" width="1.44140625" style="57" customWidth="1"/>
    <col min="13854" max="13854" width="10.88671875" style="57" customWidth="1"/>
    <col min="13855" max="13855" width="0.88671875" style="57" customWidth="1"/>
    <col min="13856" max="13856" width="16" style="57" customWidth="1"/>
    <col min="13857" max="13857" width="0.5546875" style="57" customWidth="1"/>
    <col min="13858" max="13858" width="9.44140625" style="57" bestFit="1" customWidth="1"/>
    <col min="13859" max="13859" width="1.109375" style="57" customWidth="1"/>
    <col min="13860" max="14090" width="9.109375" style="57"/>
    <col min="14091" max="14091" width="2.109375" style="57" customWidth="1"/>
    <col min="14092" max="14092" width="14" style="57" customWidth="1"/>
    <col min="14093" max="14093" width="0.6640625" style="57" customWidth="1"/>
    <col min="14094" max="14094" width="17.109375" style="57" customWidth="1"/>
    <col min="14095" max="14095" width="1.109375" style="57" customWidth="1"/>
    <col min="14096" max="14096" width="26.5546875" style="57" customWidth="1"/>
    <col min="14097" max="14097" width="1" style="57" customWidth="1"/>
    <col min="14098" max="14098" width="32.88671875" style="57" customWidth="1"/>
    <col min="14099" max="14099" width="1" style="57" customWidth="1"/>
    <col min="14100" max="14100" width="12.6640625" style="57" customWidth="1"/>
    <col min="14101" max="14101" width="1.33203125" style="57" customWidth="1"/>
    <col min="14102" max="14102" width="11.44140625" style="57" customWidth="1"/>
    <col min="14103" max="14103" width="1" style="57" customWidth="1"/>
    <col min="14104" max="14104" width="10.44140625" style="57" customWidth="1"/>
    <col min="14105" max="14105" width="0.88671875" style="57" customWidth="1"/>
    <col min="14106" max="14106" width="14" style="57" customWidth="1"/>
    <col min="14107" max="14107" width="0.88671875" style="57" customWidth="1"/>
    <col min="14108" max="14108" width="10.88671875" style="57" customWidth="1"/>
    <col min="14109" max="14109" width="1.44140625" style="57" customWidth="1"/>
    <col min="14110" max="14110" width="10.88671875" style="57" customWidth="1"/>
    <col min="14111" max="14111" width="0.88671875" style="57" customWidth="1"/>
    <col min="14112" max="14112" width="16" style="57" customWidth="1"/>
    <col min="14113" max="14113" width="0.5546875" style="57" customWidth="1"/>
    <col min="14114" max="14114" width="9.44140625" style="57" bestFit="1" customWidth="1"/>
    <col min="14115" max="14115" width="1.109375" style="57" customWidth="1"/>
    <col min="14116" max="14346" width="9.109375" style="57"/>
    <col min="14347" max="14347" width="2.109375" style="57" customWidth="1"/>
    <col min="14348" max="14348" width="14" style="57" customWidth="1"/>
    <col min="14349" max="14349" width="0.6640625" style="57" customWidth="1"/>
    <col min="14350" max="14350" width="17.109375" style="57" customWidth="1"/>
    <col min="14351" max="14351" width="1.109375" style="57" customWidth="1"/>
    <col min="14352" max="14352" width="26.5546875" style="57" customWidth="1"/>
    <col min="14353" max="14353" width="1" style="57" customWidth="1"/>
    <col min="14354" max="14354" width="32.88671875" style="57" customWidth="1"/>
    <col min="14355" max="14355" width="1" style="57" customWidth="1"/>
    <col min="14356" max="14356" width="12.6640625" style="57" customWidth="1"/>
    <col min="14357" max="14357" width="1.33203125" style="57" customWidth="1"/>
    <col min="14358" max="14358" width="11.44140625" style="57" customWidth="1"/>
    <col min="14359" max="14359" width="1" style="57" customWidth="1"/>
    <col min="14360" max="14360" width="10.44140625" style="57" customWidth="1"/>
    <col min="14361" max="14361" width="0.88671875" style="57" customWidth="1"/>
    <col min="14362" max="14362" width="14" style="57" customWidth="1"/>
    <col min="14363" max="14363" width="0.88671875" style="57" customWidth="1"/>
    <col min="14364" max="14364" width="10.88671875" style="57" customWidth="1"/>
    <col min="14365" max="14365" width="1.44140625" style="57" customWidth="1"/>
    <col min="14366" max="14366" width="10.88671875" style="57" customWidth="1"/>
    <col min="14367" max="14367" width="0.88671875" style="57" customWidth="1"/>
    <col min="14368" max="14368" width="16" style="57" customWidth="1"/>
    <col min="14369" max="14369" width="0.5546875" style="57" customWidth="1"/>
    <col min="14370" max="14370" width="9.44140625" style="57" bestFit="1" customWidth="1"/>
    <col min="14371" max="14371" width="1.109375" style="57" customWidth="1"/>
    <col min="14372" max="14602" width="9.109375" style="57"/>
    <col min="14603" max="14603" width="2.109375" style="57" customWidth="1"/>
    <col min="14604" max="14604" width="14" style="57" customWidth="1"/>
    <col min="14605" max="14605" width="0.6640625" style="57" customWidth="1"/>
    <col min="14606" max="14606" width="17.109375" style="57" customWidth="1"/>
    <col min="14607" max="14607" width="1.109375" style="57" customWidth="1"/>
    <col min="14608" max="14608" width="26.5546875" style="57" customWidth="1"/>
    <col min="14609" max="14609" width="1" style="57" customWidth="1"/>
    <col min="14610" max="14610" width="32.88671875" style="57" customWidth="1"/>
    <col min="14611" max="14611" width="1" style="57" customWidth="1"/>
    <col min="14612" max="14612" width="12.6640625" style="57" customWidth="1"/>
    <col min="14613" max="14613" width="1.33203125" style="57" customWidth="1"/>
    <col min="14614" max="14614" width="11.44140625" style="57" customWidth="1"/>
    <col min="14615" max="14615" width="1" style="57" customWidth="1"/>
    <col min="14616" max="14616" width="10.44140625" style="57" customWidth="1"/>
    <col min="14617" max="14617" width="0.88671875" style="57" customWidth="1"/>
    <col min="14618" max="14618" width="14" style="57" customWidth="1"/>
    <col min="14619" max="14619" width="0.88671875" style="57" customWidth="1"/>
    <col min="14620" max="14620" width="10.88671875" style="57" customWidth="1"/>
    <col min="14621" max="14621" width="1.44140625" style="57" customWidth="1"/>
    <col min="14622" max="14622" width="10.88671875" style="57" customWidth="1"/>
    <col min="14623" max="14623" width="0.88671875" style="57" customWidth="1"/>
    <col min="14624" max="14624" width="16" style="57" customWidth="1"/>
    <col min="14625" max="14625" width="0.5546875" style="57" customWidth="1"/>
    <col min="14626" max="14626" width="9.44140625" style="57" bestFit="1" customWidth="1"/>
    <col min="14627" max="14627" width="1.109375" style="57" customWidth="1"/>
    <col min="14628" max="14858" width="9.109375" style="57"/>
    <col min="14859" max="14859" width="2.109375" style="57" customWidth="1"/>
    <col min="14860" max="14860" width="14" style="57" customWidth="1"/>
    <col min="14861" max="14861" width="0.6640625" style="57" customWidth="1"/>
    <col min="14862" max="14862" width="17.109375" style="57" customWidth="1"/>
    <col min="14863" max="14863" width="1.109375" style="57" customWidth="1"/>
    <col min="14864" max="14864" width="26.5546875" style="57" customWidth="1"/>
    <col min="14865" max="14865" width="1" style="57" customWidth="1"/>
    <col min="14866" max="14866" width="32.88671875" style="57" customWidth="1"/>
    <col min="14867" max="14867" width="1" style="57" customWidth="1"/>
    <col min="14868" max="14868" width="12.6640625" style="57" customWidth="1"/>
    <col min="14869" max="14869" width="1.33203125" style="57" customWidth="1"/>
    <col min="14870" max="14870" width="11.44140625" style="57" customWidth="1"/>
    <col min="14871" max="14871" width="1" style="57" customWidth="1"/>
    <col min="14872" max="14872" width="10.44140625" style="57" customWidth="1"/>
    <col min="14873" max="14873" width="0.88671875" style="57" customWidth="1"/>
    <col min="14874" max="14874" width="14" style="57" customWidth="1"/>
    <col min="14875" max="14875" width="0.88671875" style="57" customWidth="1"/>
    <col min="14876" max="14876" width="10.88671875" style="57" customWidth="1"/>
    <col min="14877" max="14877" width="1.44140625" style="57" customWidth="1"/>
    <col min="14878" max="14878" width="10.88671875" style="57" customWidth="1"/>
    <col min="14879" max="14879" width="0.88671875" style="57" customWidth="1"/>
    <col min="14880" max="14880" width="16" style="57" customWidth="1"/>
    <col min="14881" max="14881" width="0.5546875" style="57" customWidth="1"/>
    <col min="14882" max="14882" width="9.44140625" style="57" bestFit="1" customWidth="1"/>
    <col min="14883" max="14883" width="1.109375" style="57" customWidth="1"/>
    <col min="14884" max="15114" width="9.109375" style="57"/>
    <col min="15115" max="15115" width="2.109375" style="57" customWidth="1"/>
    <col min="15116" max="15116" width="14" style="57" customWidth="1"/>
    <col min="15117" max="15117" width="0.6640625" style="57" customWidth="1"/>
    <col min="15118" max="15118" width="17.109375" style="57" customWidth="1"/>
    <col min="15119" max="15119" width="1.109375" style="57" customWidth="1"/>
    <col min="15120" max="15120" width="26.5546875" style="57" customWidth="1"/>
    <col min="15121" max="15121" width="1" style="57" customWidth="1"/>
    <col min="15122" max="15122" width="32.88671875" style="57" customWidth="1"/>
    <col min="15123" max="15123" width="1" style="57" customWidth="1"/>
    <col min="15124" max="15124" width="12.6640625" style="57" customWidth="1"/>
    <col min="15125" max="15125" width="1.33203125" style="57" customWidth="1"/>
    <col min="15126" max="15126" width="11.44140625" style="57" customWidth="1"/>
    <col min="15127" max="15127" width="1" style="57" customWidth="1"/>
    <col min="15128" max="15128" width="10.44140625" style="57" customWidth="1"/>
    <col min="15129" max="15129" width="0.88671875" style="57" customWidth="1"/>
    <col min="15130" max="15130" width="14" style="57" customWidth="1"/>
    <col min="15131" max="15131" width="0.88671875" style="57" customWidth="1"/>
    <col min="15132" max="15132" width="10.88671875" style="57" customWidth="1"/>
    <col min="15133" max="15133" width="1.44140625" style="57" customWidth="1"/>
    <col min="15134" max="15134" width="10.88671875" style="57" customWidth="1"/>
    <col min="15135" max="15135" width="0.88671875" style="57" customWidth="1"/>
    <col min="15136" max="15136" width="16" style="57" customWidth="1"/>
    <col min="15137" max="15137" width="0.5546875" style="57" customWidth="1"/>
    <col min="15138" max="15138" width="9.44140625" style="57" bestFit="1" customWidth="1"/>
    <col min="15139" max="15139" width="1.109375" style="57" customWidth="1"/>
    <col min="15140" max="15370" width="9.109375" style="57"/>
    <col min="15371" max="15371" width="2.109375" style="57" customWidth="1"/>
    <col min="15372" max="15372" width="14" style="57" customWidth="1"/>
    <col min="15373" max="15373" width="0.6640625" style="57" customWidth="1"/>
    <col min="15374" max="15374" width="17.109375" style="57" customWidth="1"/>
    <col min="15375" max="15375" width="1.109375" style="57" customWidth="1"/>
    <col min="15376" max="15376" width="26.5546875" style="57" customWidth="1"/>
    <col min="15377" max="15377" width="1" style="57" customWidth="1"/>
    <col min="15378" max="15378" width="32.88671875" style="57" customWidth="1"/>
    <col min="15379" max="15379" width="1" style="57" customWidth="1"/>
    <col min="15380" max="15380" width="12.6640625" style="57" customWidth="1"/>
    <col min="15381" max="15381" width="1.33203125" style="57" customWidth="1"/>
    <col min="15382" max="15382" width="11.44140625" style="57" customWidth="1"/>
    <col min="15383" max="15383" width="1" style="57" customWidth="1"/>
    <col min="15384" max="15384" width="10.44140625" style="57" customWidth="1"/>
    <col min="15385" max="15385" width="0.88671875" style="57" customWidth="1"/>
    <col min="15386" max="15386" width="14" style="57" customWidth="1"/>
    <col min="15387" max="15387" width="0.88671875" style="57" customWidth="1"/>
    <col min="15388" max="15388" width="10.88671875" style="57" customWidth="1"/>
    <col min="15389" max="15389" width="1.44140625" style="57" customWidth="1"/>
    <col min="15390" max="15390" width="10.88671875" style="57" customWidth="1"/>
    <col min="15391" max="15391" width="0.88671875" style="57" customWidth="1"/>
    <col min="15392" max="15392" width="16" style="57" customWidth="1"/>
    <col min="15393" max="15393" width="0.5546875" style="57" customWidth="1"/>
    <col min="15394" max="15394" width="9.44140625" style="57" bestFit="1" customWidth="1"/>
    <col min="15395" max="15395" width="1.109375" style="57" customWidth="1"/>
    <col min="15396" max="15626" width="9.109375" style="57"/>
    <col min="15627" max="15627" width="2.109375" style="57" customWidth="1"/>
    <col min="15628" max="15628" width="14" style="57" customWidth="1"/>
    <col min="15629" max="15629" width="0.6640625" style="57" customWidth="1"/>
    <col min="15630" max="15630" width="17.109375" style="57" customWidth="1"/>
    <col min="15631" max="15631" width="1.109375" style="57" customWidth="1"/>
    <col min="15632" max="15632" width="26.5546875" style="57" customWidth="1"/>
    <col min="15633" max="15633" width="1" style="57" customWidth="1"/>
    <col min="15634" max="15634" width="32.88671875" style="57" customWidth="1"/>
    <col min="15635" max="15635" width="1" style="57" customWidth="1"/>
    <col min="15636" max="15636" width="12.6640625" style="57" customWidth="1"/>
    <col min="15637" max="15637" width="1.33203125" style="57" customWidth="1"/>
    <col min="15638" max="15638" width="11.44140625" style="57" customWidth="1"/>
    <col min="15639" max="15639" width="1" style="57" customWidth="1"/>
    <col min="15640" max="15640" width="10.44140625" style="57" customWidth="1"/>
    <col min="15641" max="15641" width="0.88671875" style="57" customWidth="1"/>
    <col min="15642" max="15642" width="14" style="57" customWidth="1"/>
    <col min="15643" max="15643" width="0.88671875" style="57" customWidth="1"/>
    <col min="15644" max="15644" width="10.88671875" style="57" customWidth="1"/>
    <col min="15645" max="15645" width="1.44140625" style="57" customWidth="1"/>
    <col min="15646" max="15646" width="10.88671875" style="57" customWidth="1"/>
    <col min="15647" max="15647" width="0.88671875" style="57" customWidth="1"/>
    <col min="15648" max="15648" width="16" style="57" customWidth="1"/>
    <col min="15649" max="15649" width="0.5546875" style="57" customWidth="1"/>
    <col min="15650" max="15650" width="9.44140625" style="57" bestFit="1" customWidth="1"/>
    <col min="15651" max="15651" width="1.109375" style="57" customWidth="1"/>
    <col min="15652" max="15882" width="9.109375" style="57"/>
    <col min="15883" max="15883" width="2.109375" style="57" customWidth="1"/>
    <col min="15884" max="15884" width="14" style="57" customWidth="1"/>
    <col min="15885" max="15885" width="0.6640625" style="57" customWidth="1"/>
    <col min="15886" max="15886" width="17.109375" style="57" customWidth="1"/>
    <col min="15887" max="15887" width="1.109375" style="57" customWidth="1"/>
    <col min="15888" max="15888" width="26.5546875" style="57" customWidth="1"/>
    <col min="15889" max="15889" width="1" style="57" customWidth="1"/>
    <col min="15890" max="15890" width="32.88671875" style="57" customWidth="1"/>
    <col min="15891" max="15891" width="1" style="57" customWidth="1"/>
    <col min="15892" max="15892" width="12.6640625" style="57" customWidth="1"/>
    <col min="15893" max="15893" width="1.33203125" style="57" customWidth="1"/>
    <col min="15894" max="15894" width="11.44140625" style="57" customWidth="1"/>
    <col min="15895" max="15895" width="1" style="57" customWidth="1"/>
    <col min="15896" max="15896" width="10.44140625" style="57" customWidth="1"/>
    <col min="15897" max="15897" width="0.88671875" style="57" customWidth="1"/>
    <col min="15898" max="15898" width="14" style="57" customWidth="1"/>
    <col min="15899" max="15899" width="0.88671875" style="57" customWidth="1"/>
    <col min="15900" max="15900" width="10.88671875" style="57" customWidth="1"/>
    <col min="15901" max="15901" width="1.44140625" style="57" customWidth="1"/>
    <col min="15902" max="15902" width="10.88671875" style="57" customWidth="1"/>
    <col min="15903" max="15903" width="0.88671875" style="57" customWidth="1"/>
    <col min="15904" max="15904" width="16" style="57" customWidth="1"/>
    <col min="15905" max="15905" width="0.5546875" style="57" customWidth="1"/>
    <col min="15906" max="15906" width="9.44140625" style="57" bestFit="1" customWidth="1"/>
    <col min="15907" max="15907" width="1.109375" style="57" customWidth="1"/>
    <col min="15908" max="16138" width="9.109375" style="57"/>
    <col min="16139" max="16139" width="2.109375" style="57" customWidth="1"/>
    <col min="16140" max="16140" width="14" style="57" customWidth="1"/>
    <col min="16141" max="16141" width="0.6640625" style="57" customWidth="1"/>
    <col min="16142" max="16142" width="17.109375" style="57" customWidth="1"/>
    <col min="16143" max="16143" width="1.109375" style="57" customWidth="1"/>
    <col min="16144" max="16144" width="26.5546875" style="57" customWidth="1"/>
    <col min="16145" max="16145" width="1" style="57" customWidth="1"/>
    <col min="16146" max="16146" width="32.88671875" style="57" customWidth="1"/>
    <col min="16147" max="16147" width="1" style="57" customWidth="1"/>
    <col min="16148" max="16148" width="12.6640625" style="57" customWidth="1"/>
    <col min="16149" max="16149" width="1.33203125" style="57" customWidth="1"/>
    <col min="16150" max="16150" width="11.44140625" style="57" customWidth="1"/>
    <col min="16151" max="16151" width="1" style="57" customWidth="1"/>
    <col min="16152" max="16152" width="10.44140625" style="57" customWidth="1"/>
    <col min="16153" max="16153" width="0.88671875" style="57" customWidth="1"/>
    <col min="16154" max="16154" width="14" style="57" customWidth="1"/>
    <col min="16155" max="16155" width="0.88671875" style="57" customWidth="1"/>
    <col min="16156" max="16156" width="10.88671875" style="57" customWidth="1"/>
    <col min="16157" max="16157" width="1.44140625" style="57" customWidth="1"/>
    <col min="16158" max="16158" width="10.88671875" style="57" customWidth="1"/>
    <col min="16159" max="16159" width="0.88671875" style="57" customWidth="1"/>
    <col min="16160" max="16160" width="16" style="57" customWidth="1"/>
    <col min="16161" max="16161" width="0.5546875" style="57" customWidth="1"/>
    <col min="16162" max="16162" width="9.44140625" style="57" bestFit="1" customWidth="1"/>
    <col min="16163" max="16163" width="1.109375" style="57" customWidth="1"/>
    <col min="16164" max="16384" width="9.109375" style="57"/>
  </cols>
  <sheetData>
    <row r="1" spans="1:51" s="90" customFormat="1" ht="36" x14ac:dyDescent="0.25">
      <c r="A1" s="247"/>
      <c r="B1" s="253" t="s">
        <v>9</v>
      </c>
      <c r="C1" s="253"/>
      <c r="D1" s="253" t="s">
        <v>40</v>
      </c>
      <c r="E1" s="253"/>
      <c r="F1" s="254" t="s">
        <v>0</v>
      </c>
      <c r="G1" s="253"/>
      <c r="H1" s="254" t="s">
        <v>1</v>
      </c>
      <c r="I1" s="253"/>
      <c r="J1" s="255" t="s">
        <v>4</v>
      </c>
      <c r="K1" s="253"/>
      <c r="L1" s="253" t="s">
        <v>2</v>
      </c>
      <c r="M1" s="253"/>
      <c r="N1" s="253" t="s">
        <v>7</v>
      </c>
      <c r="O1" s="253"/>
      <c r="P1" s="253" t="s">
        <v>8</v>
      </c>
      <c r="Q1" s="253" t="s">
        <v>24</v>
      </c>
      <c r="R1" s="256" t="s">
        <v>5</v>
      </c>
      <c r="S1" s="253"/>
      <c r="T1" s="257" t="s">
        <v>6</v>
      </c>
      <c r="U1" s="253"/>
      <c r="V1" s="256" t="s">
        <v>592</v>
      </c>
      <c r="W1" s="253"/>
      <c r="X1" s="257" t="s">
        <v>593</v>
      </c>
      <c r="Y1" s="253"/>
      <c r="Z1" s="256" t="s">
        <v>719</v>
      </c>
      <c r="AA1" s="253"/>
      <c r="AB1" s="257" t="s">
        <v>720</v>
      </c>
      <c r="AC1" s="253"/>
      <c r="AD1" s="256" t="s">
        <v>721</v>
      </c>
      <c r="AE1" s="253"/>
      <c r="AF1" s="257" t="s">
        <v>722</v>
      </c>
      <c r="AG1" s="256" t="s">
        <v>723</v>
      </c>
      <c r="AH1" s="253"/>
      <c r="AI1" s="257" t="s">
        <v>724</v>
      </c>
      <c r="AJ1" s="258"/>
      <c r="AK1" s="258"/>
      <c r="AL1" s="258" t="s">
        <v>25</v>
      </c>
      <c r="AM1" s="258"/>
      <c r="AN1" s="258" t="s">
        <v>3</v>
      </c>
    </row>
    <row r="2" spans="1:51" ht="34.200000000000003" x14ac:dyDescent="0.25">
      <c r="A2" s="219"/>
      <c r="B2" s="220" t="s">
        <v>10</v>
      </c>
      <c r="C2" s="206"/>
      <c r="D2" s="226" t="s">
        <v>363</v>
      </c>
      <c r="E2" s="227"/>
      <c r="F2" s="228" t="s">
        <v>364</v>
      </c>
      <c r="G2" s="226"/>
      <c r="H2" s="228" t="s">
        <v>365</v>
      </c>
      <c r="I2" s="226"/>
      <c r="J2" s="226" t="s">
        <v>366</v>
      </c>
      <c r="K2" s="227"/>
      <c r="L2" s="226" t="s">
        <v>258</v>
      </c>
      <c r="M2" s="227"/>
      <c r="N2" s="226" t="s">
        <v>56</v>
      </c>
      <c r="O2" s="227"/>
      <c r="P2" s="226">
        <v>2007</v>
      </c>
      <c r="Q2" s="230" t="s">
        <v>368</v>
      </c>
      <c r="R2" s="227" t="s">
        <v>367</v>
      </c>
      <c r="S2" s="227"/>
      <c r="T2" s="231">
        <v>1548318</v>
      </c>
      <c r="U2" s="227"/>
      <c r="V2" s="226" t="s">
        <v>367</v>
      </c>
      <c r="W2" s="227"/>
      <c r="X2" s="231">
        <v>1654792</v>
      </c>
      <c r="Y2" s="227"/>
      <c r="Z2" s="226" t="s">
        <v>367</v>
      </c>
      <c r="AA2" s="227"/>
      <c r="AB2" s="231">
        <v>1672377</v>
      </c>
      <c r="AC2" s="227"/>
      <c r="AD2" s="226" t="s">
        <v>367</v>
      </c>
      <c r="AE2" s="227"/>
      <c r="AF2" s="231">
        <v>1962389</v>
      </c>
      <c r="AG2" s="226" t="s">
        <v>367</v>
      </c>
      <c r="AH2" s="227"/>
      <c r="AI2" s="231">
        <v>1907978</v>
      </c>
      <c r="AJ2" s="235"/>
      <c r="AK2" s="205"/>
      <c r="AL2" s="205" t="s">
        <v>369</v>
      </c>
      <c r="AM2" s="205"/>
      <c r="AN2" s="205"/>
      <c r="AO2" s="198"/>
      <c r="AP2" s="198"/>
      <c r="AQ2" s="198"/>
      <c r="AR2" s="198"/>
      <c r="AS2" s="198"/>
      <c r="AT2" s="198"/>
      <c r="AU2" s="198"/>
      <c r="AV2" s="198"/>
      <c r="AW2" s="198"/>
      <c r="AX2" s="198"/>
      <c r="AY2" s="198"/>
    </row>
    <row r="3" spans="1:51" ht="52.95" customHeight="1" x14ac:dyDescent="0.25">
      <c r="A3" s="204"/>
      <c r="B3" s="207" t="s">
        <v>10</v>
      </c>
      <c r="C3" s="204"/>
      <c r="D3" s="226" t="s">
        <v>363</v>
      </c>
      <c r="E3" s="227"/>
      <c r="F3" s="228" t="s">
        <v>370</v>
      </c>
      <c r="G3" s="226"/>
      <c r="H3" s="228" t="s">
        <v>371</v>
      </c>
      <c r="I3" s="226"/>
      <c r="J3" s="229">
        <v>50</v>
      </c>
      <c r="K3" s="227"/>
      <c r="L3" s="226" t="s">
        <v>372</v>
      </c>
      <c r="M3" s="227"/>
      <c r="N3" s="226" t="s">
        <v>56</v>
      </c>
      <c r="O3" s="227"/>
      <c r="P3" s="226">
        <v>2010</v>
      </c>
      <c r="Q3" s="230" t="s">
        <v>373</v>
      </c>
      <c r="R3" s="227" t="s">
        <v>367</v>
      </c>
      <c r="S3" s="227"/>
      <c r="T3" s="231">
        <v>45950</v>
      </c>
      <c r="U3" s="226"/>
      <c r="V3" s="226" t="s">
        <v>367</v>
      </c>
      <c r="W3" s="227"/>
      <c r="X3" s="231">
        <v>674906</v>
      </c>
      <c r="Y3" s="227"/>
      <c r="Z3" s="226" t="s">
        <v>367</v>
      </c>
      <c r="AA3" s="227"/>
      <c r="AB3" s="231">
        <v>145342</v>
      </c>
      <c r="AC3" s="226"/>
      <c r="AD3" s="226" t="s">
        <v>367</v>
      </c>
      <c r="AE3" s="227"/>
      <c r="AF3" s="231">
        <v>99293</v>
      </c>
      <c r="AG3" s="226" t="s">
        <v>367</v>
      </c>
      <c r="AH3" s="227"/>
      <c r="AI3" s="231">
        <v>195898</v>
      </c>
      <c r="AJ3" s="199"/>
      <c r="AK3" s="205"/>
      <c r="AL3" s="205" t="s">
        <v>374</v>
      </c>
      <c r="AM3" s="205"/>
      <c r="AN3" s="205" t="s">
        <v>667</v>
      </c>
      <c r="AO3" s="198"/>
      <c r="AP3" s="198"/>
      <c r="AQ3" s="198"/>
      <c r="AR3" s="198"/>
      <c r="AS3" s="198"/>
      <c r="AT3" s="198"/>
      <c r="AU3" s="198"/>
      <c r="AV3" s="198"/>
      <c r="AW3" s="198"/>
      <c r="AX3" s="198"/>
      <c r="AY3" s="198"/>
    </row>
    <row r="4" spans="1:51" ht="54" customHeight="1" x14ac:dyDescent="0.25">
      <c r="A4" s="206"/>
      <c r="B4" s="207" t="s">
        <v>10</v>
      </c>
      <c r="C4" s="206"/>
      <c r="D4" s="226" t="s">
        <v>363</v>
      </c>
      <c r="E4" s="227"/>
      <c r="F4" s="228" t="s">
        <v>376</v>
      </c>
      <c r="G4" s="226"/>
      <c r="H4" s="228" t="s">
        <v>371</v>
      </c>
      <c r="I4" s="226"/>
      <c r="J4" s="229">
        <v>25</v>
      </c>
      <c r="K4" s="227"/>
      <c r="L4" s="226" t="s">
        <v>372</v>
      </c>
      <c r="M4" s="227"/>
      <c r="N4" s="226" t="s">
        <v>56</v>
      </c>
      <c r="O4" s="227"/>
      <c r="P4" s="226">
        <v>2010</v>
      </c>
      <c r="Q4" s="230" t="s">
        <v>373</v>
      </c>
      <c r="R4" s="227" t="s">
        <v>367</v>
      </c>
      <c r="S4" s="227"/>
      <c r="T4" s="231" t="s">
        <v>377</v>
      </c>
      <c r="U4" s="226"/>
      <c r="V4" s="226" t="s">
        <v>367</v>
      </c>
      <c r="W4" s="227"/>
      <c r="X4" s="231" t="s">
        <v>668</v>
      </c>
      <c r="Y4" s="227"/>
      <c r="Z4" s="226" t="s">
        <v>367</v>
      </c>
      <c r="AA4" s="227"/>
      <c r="AB4" s="231" t="s">
        <v>377</v>
      </c>
      <c r="AC4" s="226"/>
      <c r="AD4" s="226" t="s">
        <v>367</v>
      </c>
      <c r="AE4" s="227"/>
      <c r="AF4" s="231" t="s">
        <v>377</v>
      </c>
      <c r="AG4" s="226" t="s">
        <v>367</v>
      </c>
      <c r="AH4" s="227"/>
      <c r="AI4" s="231" t="s">
        <v>377</v>
      </c>
      <c r="AJ4" s="199"/>
      <c r="AK4" s="205"/>
      <c r="AL4" s="205" t="s">
        <v>374</v>
      </c>
      <c r="AM4" s="205"/>
      <c r="AN4" s="205" t="s">
        <v>375</v>
      </c>
      <c r="AO4" s="198"/>
      <c r="AP4" s="198"/>
      <c r="AQ4" s="198"/>
      <c r="AR4" s="198"/>
      <c r="AS4" s="198"/>
      <c r="AT4" s="198"/>
      <c r="AU4" s="198"/>
      <c r="AV4" s="198"/>
      <c r="AW4" s="198"/>
      <c r="AX4" s="198"/>
      <c r="AY4" s="198"/>
    </row>
    <row r="5" spans="1:51" ht="34.200000000000003" x14ac:dyDescent="0.25">
      <c r="A5" s="204"/>
      <c r="B5" s="207" t="s">
        <v>10</v>
      </c>
      <c r="C5" s="204"/>
      <c r="D5" s="226" t="s">
        <v>363</v>
      </c>
      <c r="E5" s="227"/>
      <c r="F5" s="228" t="s">
        <v>378</v>
      </c>
      <c r="G5" s="226"/>
      <c r="H5" s="228" t="s">
        <v>371</v>
      </c>
      <c r="I5" s="226"/>
      <c r="J5" s="229"/>
      <c r="K5" s="227"/>
      <c r="L5" s="226" t="s">
        <v>372</v>
      </c>
      <c r="M5" s="227"/>
      <c r="N5" s="226" t="s">
        <v>56</v>
      </c>
      <c r="O5" s="227"/>
      <c r="P5" s="226">
        <v>2010</v>
      </c>
      <c r="Q5" s="230" t="s">
        <v>373</v>
      </c>
      <c r="R5" s="227" t="s">
        <v>367</v>
      </c>
      <c r="S5" s="227"/>
      <c r="T5" s="231" t="s">
        <v>377</v>
      </c>
      <c r="U5" s="226"/>
      <c r="V5" s="226" t="s">
        <v>367</v>
      </c>
      <c r="W5" s="227"/>
      <c r="X5" s="231" t="s">
        <v>668</v>
      </c>
      <c r="Y5" s="227"/>
      <c r="Z5" s="226" t="s">
        <v>367</v>
      </c>
      <c r="AA5" s="227"/>
      <c r="AB5" s="231" t="s">
        <v>377</v>
      </c>
      <c r="AC5" s="226"/>
      <c r="AD5" s="226" t="s">
        <v>367</v>
      </c>
      <c r="AE5" s="227"/>
      <c r="AF5" s="231" t="s">
        <v>377</v>
      </c>
      <c r="AG5" s="226" t="s">
        <v>367</v>
      </c>
      <c r="AH5" s="227"/>
      <c r="AI5" s="231" t="s">
        <v>377</v>
      </c>
      <c r="AJ5" s="199"/>
      <c r="AK5" s="205"/>
      <c r="AL5" s="205" t="s">
        <v>374</v>
      </c>
      <c r="AM5" s="205"/>
      <c r="AN5" s="205" t="s">
        <v>379</v>
      </c>
      <c r="AO5" s="198"/>
      <c r="AP5" s="198"/>
      <c r="AQ5" s="198"/>
      <c r="AR5" s="198"/>
      <c r="AS5" s="198"/>
      <c r="AT5" s="198"/>
      <c r="AU5" s="198"/>
      <c r="AV5" s="198"/>
      <c r="AW5" s="198"/>
      <c r="AX5" s="198"/>
      <c r="AY5" s="198"/>
    </row>
    <row r="6" spans="1:51" ht="34.200000000000003" x14ac:dyDescent="0.25">
      <c r="A6" s="206"/>
      <c r="B6" s="207" t="s">
        <v>10</v>
      </c>
      <c r="C6" s="206"/>
      <c r="D6" s="226" t="s">
        <v>363</v>
      </c>
      <c r="E6" s="227"/>
      <c r="F6" s="228" t="s">
        <v>380</v>
      </c>
      <c r="G6" s="226"/>
      <c r="H6" s="228" t="s">
        <v>371</v>
      </c>
      <c r="I6" s="226"/>
      <c r="J6" s="229"/>
      <c r="K6" s="227"/>
      <c r="L6" s="226" t="s">
        <v>372</v>
      </c>
      <c r="M6" s="227"/>
      <c r="N6" s="226" t="s">
        <v>56</v>
      </c>
      <c r="O6" s="227"/>
      <c r="P6" s="226">
        <v>2010</v>
      </c>
      <c r="Q6" s="230" t="s">
        <v>373</v>
      </c>
      <c r="R6" s="227" t="s">
        <v>367</v>
      </c>
      <c r="S6" s="227"/>
      <c r="T6" s="231" t="s">
        <v>377</v>
      </c>
      <c r="U6" s="226"/>
      <c r="V6" s="226" t="s">
        <v>367</v>
      </c>
      <c r="W6" s="227"/>
      <c r="X6" s="231" t="s">
        <v>668</v>
      </c>
      <c r="Y6" s="227"/>
      <c r="Z6" s="226" t="s">
        <v>367</v>
      </c>
      <c r="AA6" s="227"/>
      <c r="AB6" s="231" t="s">
        <v>377</v>
      </c>
      <c r="AC6" s="226"/>
      <c r="AD6" s="226" t="s">
        <v>367</v>
      </c>
      <c r="AE6" s="227"/>
      <c r="AF6" s="231" t="s">
        <v>377</v>
      </c>
      <c r="AG6" s="226" t="s">
        <v>367</v>
      </c>
      <c r="AH6" s="227"/>
      <c r="AI6" s="231" t="s">
        <v>377</v>
      </c>
      <c r="AJ6" s="199"/>
      <c r="AK6" s="205"/>
      <c r="AL6" s="205" t="s">
        <v>374</v>
      </c>
      <c r="AM6" s="205"/>
      <c r="AN6" s="205" t="s">
        <v>379</v>
      </c>
      <c r="AO6" s="198"/>
      <c r="AP6" s="198"/>
      <c r="AQ6" s="198"/>
      <c r="AR6" s="198"/>
      <c r="AS6" s="198"/>
      <c r="AT6" s="198"/>
      <c r="AU6" s="198"/>
      <c r="AV6" s="198"/>
      <c r="AW6" s="198"/>
      <c r="AX6" s="198"/>
      <c r="AY6" s="198"/>
    </row>
    <row r="7" spans="1:51" ht="53.4" customHeight="1" x14ac:dyDescent="0.25">
      <c r="A7" s="204"/>
      <c r="B7" s="207" t="s">
        <v>10</v>
      </c>
      <c r="C7" s="204"/>
      <c r="D7" s="226" t="s">
        <v>363</v>
      </c>
      <c r="E7" s="227"/>
      <c r="F7" s="228" t="s">
        <v>381</v>
      </c>
      <c r="G7" s="226"/>
      <c r="H7" s="228" t="s">
        <v>382</v>
      </c>
      <c r="I7" s="226"/>
      <c r="J7" s="229">
        <v>100</v>
      </c>
      <c r="K7" s="227"/>
      <c r="L7" s="226" t="s">
        <v>762</v>
      </c>
      <c r="M7" s="227"/>
      <c r="N7" s="226" t="s">
        <v>56</v>
      </c>
      <c r="O7" s="227"/>
      <c r="P7" s="226">
        <v>1984</v>
      </c>
      <c r="Q7" s="230" t="s">
        <v>383</v>
      </c>
      <c r="R7" s="227" t="s">
        <v>367</v>
      </c>
      <c r="S7" s="227"/>
      <c r="T7" s="231">
        <v>115995</v>
      </c>
      <c r="U7" s="226"/>
      <c r="V7" s="226" t="s">
        <v>367</v>
      </c>
      <c r="W7" s="227"/>
      <c r="X7" s="231">
        <v>157320</v>
      </c>
      <c r="Y7" s="227"/>
      <c r="Z7" s="226" t="s">
        <v>367</v>
      </c>
      <c r="AA7" s="227"/>
      <c r="AB7" s="231">
        <v>113635</v>
      </c>
      <c r="AC7" s="226"/>
      <c r="AD7" s="226" t="s">
        <v>367</v>
      </c>
      <c r="AE7" s="227"/>
      <c r="AF7" s="231">
        <v>117545</v>
      </c>
      <c r="AG7" s="226" t="s">
        <v>367</v>
      </c>
      <c r="AH7" s="227"/>
      <c r="AI7" s="231">
        <v>119565</v>
      </c>
      <c r="AJ7" s="199"/>
      <c r="AK7" s="205"/>
      <c r="AL7" s="205" t="s">
        <v>374</v>
      </c>
      <c r="AM7" s="205"/>
      <c r="AN7" s="205"/>
      <c r="AO7" s="198"/>
      <c r="AP7" s="198"/>
      <c r="AQ7" s="198"/>
      <c r="AR7" s="198"/>
      <c r="AS7" s="198"/>
      <c r="AT7" s="198"/>
      <c r="AU7" s="198"/>
      <c r="AV7" s="198"/>
      <c r="AW7" s="198"/>
      <c r="AX7" s="198"/>
      <c r="AY7" s="198"/>
    </row>
    <row r="8" spans="1:51" ht="41.4" customHeight="1" x14ac:dyDescent="0.25">
      <c r="A8" s="206"/>
      <c r="B8" s="207" t="s">
        <v>10</v>
      </c>
      <c r="C8" s="206"/>
      <c r="D8" s="226" t="s">
        <v>363</v>
      </c>
      <c r="E8" s="227"/>
      <c r="F8" s="228" t="s">
        <v>384</v>
      </c>
      <c r="G8" s="226"/>
      <c r="H8" s="228" t="s">
        <v>385</v>
      </c>
      <c r="I8" s="226"/>
      <c r="J8" s="229">
        <v>10</v>
      </c>
      <c r="K8" s="227"/>
      <c r="L8" s="226" t="s">
        <v>386</v>
      </c>
      <c r="M8" s="227"/>
      <c r="N8" s="226" t="s">
        <v>56</v>
      </c>
      <c r="O8" s="227"/>
      <c r="P8" s="226">
        <v>1989</v>
      </c>
      <c r="Q8" s="230" t="s">
        <v>387</v>
      </c>
      <c r="R8" s="227" t="s">
        <v>367</v>
      </c>
      <c r="S8" s="227"/>
      <c r="T8" s="231" t="s">
        <v>377</v>
      </c>
      <c r="U8" s="226"/>
      <c r="V8" s="226" t="s">
        <v>367</v>
      </c>
      <c r="W8" s="227"/>
      <c r="X8" s="231" t="s">
        <v>668</v>
      </c>
      <c r="Y8" s="227"/>
      <c r="Z8" s="226" t="s">
        <v>367</v>
      </c>
      <c r="AA8" s="227"/>
      <c r="AB8" s="231" t="s">
        <v>377</v>
      </c>
      <c r="AC8" s="226"/>
      <c r="AD8" s="226" t="s">
        <v>367</v>
      </c>
      <c r="AE8" s="227"/>
      <c r="AF8" s="231" t="s">
        <v>377</v>
      </c>
      <c r="AG8" s="226" t="s">
        <v>367</v>
      </c>
      <c r="AH8" s="227"/>
      <c r="AI8" s="231" t="s">
        <v>377</v>
      </c>
      <c r="AJ8" s="199"/>
      <c r="AK8" s="205"/>
      <c r="AL8" s="205" t="s">
        <v>374</v>
      </c>
      <c r="AM8" s="205"/>
      <c r="AN8" s="205"/>
      <c r="AO8" s="198"/>
      <c r="AP8" s="198"/>
      <c r="AQ8" s="198"/>
      <c r="AR8" s="198"/>
      <c r="AS8" s="198"/>
      <c r="AT8" s="198"/>
      <c r="AU8" s="198"/>
      <c r="AV8" s="198"/>
      <c r="AW8" s="198"/>
      <c r="AX8" s="198"/>
      <c r="AY8" s="198"/>
    </row>
    <row r="9" spans="1:51" ht="54" customHeight="1" x14ac:dyDescent="0.25">
      <c r="A9" s="204"/>
      <c r="B9" s="207" t="s">
        <v>10</v>
      </c>
      <c r="C9" s="204"/>
      <c r="D9" s="226" t="s">
        <v>363</v>
      </c>
      <c r="E9" s="227"/>
      <c r="F9" s="228" t="s">
        <v>388</v>
      </c>
      <c r="G9" s="226"/>
      <c r="H9" s="228" t="s">
        <v>382</v>
      </c>
      <c r="I9" s="226"/>
      <c r="J9" s="229">
        <v>100</v>
      </c>
      <c r="K9" s="227"/>
      <c r="L9" s="226" t="s">
        <v>389</v>
      </c>
      <c r="M9" s="227"/>
      <c r="N9" s="226" t="s">
        <v>56</v>
      </c>
      <c r="O9" s="227"/>
      <c r="P9" s="226" t="s">
        <v>390</v>
      </c>
      <c r="Q9" s="230" t="s">
        <v>391</v>
      </c>
      <c r="R9" s="227" t="s">
        <v>367</v>
      </c>
      <c r="S9" s="227"/>
      <c r="T9" s="231" t="s">
        <v>377</v>
      </c>
      <c r="U9" s="226"/>
      <c r="V9" s="226" t="s">
        <v>367</v>
      </c>
      <c r="W9" s="227"/>
      <c r="X9" s="231" t="s">
        <v>668</v>
      </c>
      <c r="Y9" s="227"/>
      <c r="Z9" s="226" t="s">
        <v>367</v>
      </c>
      <c r="AA9" s="227"/>
      <c r="AB9" s="231" t="s">
        <v>377</v>
      </c>
      <c r="AC9" s="226"/>
      <c r="AD9" s="226" t="s">
        <v>367</v>
      </c>
      <c r="AE9" s="227"/>
      <c r="AF9" s="231" t="s">
        <v>377</v>
      </c>
      <c r="AG9" s="226" t="s">
        <v>367</v>
      </c>
      <c r="AH9" s="227"/>
      <c r="AI9" s="231" t="s">
        <v>377</v>
      </c>
      <c r="AJ9" s="199"/>
      <c r="AK9" s="205"/>
      <c r="AL9" s="205" t="s">
        <v>374</v>
      </c>
      <c r="AM9" s="205"/>
      <c r="AN9" s="205"/>
      <c r="AO9" s="198"/>
      <c r="AP9" s="198"/>
      <c r="AQ9" s="198"/>
      <c r="AR9" s="198"/>
      <c r="AS9" s="198"/>
      <c r="AT9" s="198"/>
      <c r="AU9" s="198"/>
      <c r="AV9" s="198"/>
      <c r="AW9" s="198"/>
      <c r="AX9" s="198"/>
      <c r="AY9" s="198"/>
    </row>
    <row r="10" spans="1:51" ht="68.400000000000006" customHeight="1" x14ac:dyDescent="0.25">
      <c r="A10" s="206"/>
      <c r="B10" s="207" t="s">
        <v>10</v>
      </c>
      <c r="C10" s="206"/>
      <c r="D10" s="226" t="s">
        <v>363</v>
      </c>
      <c r="E10" s="227"/>
      <c r="F10" s="228" t="s">
        <v>392</v>
      </c>
      <c r="G10" s="226"/>
      <c r="H10" s="228" t="s">
        <v>393</v>
      </c>
      <c r="I10" s="226"/>
      <c r="J10" s="229">
        <v>30</v>
      </c>
      <c r="K10" s="227"/>
      <c r="L10" s="226" t="s">
        <v>394</v>
      </c>
      <c r="M10" s="227"/>
      <c r="N10" s="226" t="s">
        <v>56</v>
      </c>
      <c r="O10" s="227"/>
      <c r="P10" s="226" t="s">
        <v>395</v>
      </c>
      <c r="Q10" s="230" t="s">
        <v>396</v>
      </c>
      <c r="R10" s="227" t="s">
        <v>367</v>
      </c>
      <c r="S10" s="227"/>
      <c r="T10" s="231" t="s">
        <v>377</v>
      </c>
      <c r="U10" s="226"/>
      <c r="V10" s="226" t="s">
        <v>367</v>
      </c>
      <c r="W10" s="227"/>
      <c r="X10" s="231" t="s">
        <v>668</v>
      </c>
      <c r="Y10" s="227"/>
      <c r="Z10" s="226" t="s">
        <v>367</v>
      </c>
      <c r="AA10" s="227"/>
      <c r="AB10" s="231" t="s">
        <v>377</v>
      </c>
      <c r="AC10" s="226"/>
      <c r="AD10" s="226" t="s">
        <v>367</v>
      </c>
      <c r="AE10" s="227"/>
      <c r="AF10" s="231" t="s">
        <v>377</v>
      </c>
      <c r="AG10" s="226" t="s">
        <v>367</v>
      </c>
      <c r="AH10" s="227"/>
      <c r="AI10" s="231" t="s">
        <v>377</v>
      </c>
      <c r="AJ10" s="199"/>
      <c r="AK10" s="205"/>
      <c r="AL10" s="205" t="s">
        <v>397</v>
      </c>
      <c r="AM10" s="205"/>
      <c r="AN10" s="205"/>
      <c r="AO10" s="198"/>
      <c r="AP10" s="198"/>
      <c r="AQ10" s="198"/>
      <c r="AR10" s="198"/>
      <c r="AS10" s="198"/>
      <c r="AT10" s="198"/>
      <c r="AU10" s="198"/>
      <c r="AV10" s="198"/>
      <c r="AW10" s="198"/>
      <c r="AX10" s="198"/>
      <c r="AY10" s="198"/>
    </row>
    <row r="11" spans="1:51" ht="34.200000000000003" x14ac:dyDescent="0.2">
      <c r="A11" s="204"/>
      <c r="B11" s="207" t="s">
        <v>10</v>
      </c>
      <c r="C11" s="204"/>
      <c r="D11" s="226" t="s">
        <v>398</v>
      </c>
      <c r="E11" s="227"/>
      <c r="F11" s="228" t="s">
        <v>399</v>
      </c>
      <c r="G11" s="226"/>
      <c r="H11" s="228" t="s">
        <v>400</v>
      </c>
      <c r="I11" s="226"/>
      <c r="J11" s="226" t="s">
        <v>401</v>
      </c>
      <c r="K11" s="227"/>
      <c r="L11" s="226" t="s">
        <v>402</v>
      </c>
      <c r="M11" s="227"/>
      <c r="N11" s="226" t="s">
        <v>56</v>
      </c>
      <c r="O11" s="227"/>
      <c r="P11" s="266">
        <v>40452</v>
      </c>
      <c r="Q11" s="230" t="s">
        <v>403</v>
      </c>
      <c r="R11" s="227" t="s">
        <v>367</v>
      </c>
      <c r="S11" s="227"/>
      <c r="T11" s="231">
        <v>3172778</v>
      </c>
      <c r="U11" s="227"/>
      <c r="V11" s="226" t="s">
        <v>367</v>
      </c>
      <c r="W11" s="227"/>
      <c r="X11" s="231">
        <v>4431958</v>
      </c>
      <c r="Y11" s="227"/>
      <c r="Z11" s="226" t="s">
        <v>367</v>
      </c>
      <c r="AA11" s="227"/>
      <c r="AB11" s="231">
        <v>4698669</v>
      </c>
      <c r="AC11" s="227"/>
      <c r="AD11" s="226" t="s">
        <v>367</v>
      </c>
      <c r="AE11" s="227"/>
      <c r="AF11" s="231">
        <v>4558486</v>
      </c>
      <c r="AG11" s="226" t="s">
        <v>367</v>
      </c>
      <c r="AH11" s="227"/>
      <c r="AI11" s="231">
        <v>5153436</v>
      </c>
      <c r="AJ11" s="238"/>
      <c r="AK11" s="205"/>
      <c r="AL11" s="205" t="s">
        <v>758</v>
      </c>
      <c r="AM11" s="205"/>
      <c r="AN11" s="205"/>
      <c r="AO11" s="198"/>
      <c r="AP11" s="198"/>
      <c r="AQ11" s="198"/>
      <c r="AR11" s="198"/>
      <c r="AS11" s="198"/>
      <c r="AT11" s="198"/>
      <c r="AU11" s="198"/>
      <c r="AV11" s="198"/>
      <c r="AW11" s="198"/>
      <c r="AX11" s="198"/>
      <c r="AY11" s="198"/>
    </row>
    <row r="12" spans="1:51" ht="34.200000000000003" x14ac:dyDescent="0.2">
      <c r="A12" s="206"/>
      <c r="B12" s="207" t="s">
        <v>10</v>
      </c>
      <c r="C12" s="206"/>
      <c r="D12" s="226" t="s">
        <v>398</v>
      </c>
      <c r="E12" s="227"/>
      <c r="F12" s="228" t="s">
        <v>404</v>
      </c>
      <c r="G12" s="226"/>
      <c r="H12" s="228" t="s">
        <v>400</v>
      </c>
      <c r="I12" s="226"/>
      <c r="J12" s="226" t="s">
        <v>405</v>
      </c>
      <c r="K12" s="227"/>
      <c r="L12" s="226" t="s">
        <v>402</v>
      </c>
      <c r="M12" s="227"/>
      <c r="N12" s="226" t="s">
        <v>56</v>
      </c>
      <c r="O12" s="227"/>
      <c r="P12" s="226" t="s">
        <v>367</v>
      </c>
      <c r="Q12" s="230" t="s">
        <v>406</v>
      </c>
      <c r="R12" s="227" t="s">
        <v>367</v>
      </c>
      <c r="S12" s="227"/>
      <c r="T12" s="231">
        <v>5024</v>
      </c>
      <c r="U12" s="227"/>
      <c r="V12" s="226" t="s">
        <v>367</v>
      </c>
      <c r="W12" s="227"/>
      <c r="X12" s="231" t="s">
        <v>668</v>
      </c>
      <c r="Y12" s="227"/>
      <c r="Z12" s="226" t="s">
        <v>367</v>
      </c>
      <c r="AA12" s="227"/>
      <c r="AB12" s="231" t="s">
        <v>668</v>
      </c>
      <c r="AC12" s="227"/>
      <c r="AD12" s="226" t="s">
        <v>367</v>
      </c>
      <c r="AE12" s="227"/>
      <c r="AF12" s="231" t="s">
        <v>668</v>
      </c>
      <c r="AG12" s="226" t="s">
        <v>367</v>
      </c>
      <c r="AH12" s="227"/>
      <c r="AI12" s="231" t="s">
        <v>668</v>
      </c>
      <c r="AJ12" s="238"/>
      <c r="AK12" s="205"/>
      <c r="AL12" s="205" t="s">
        <v>397</v>
      </c>
      <c r="AM12" s="205"/>
      <c r="AN12" s="205"/>
      <c r="AO12" s="198"/>
      <c r="AP12" s="198"/>
      <c r="AQ12" s="198"/>
      <c r="AR12" s="198"/>
      <c r="AS12" s="198"/>
      <c r="AT12" s="198"/>
      <c r="AU12" s="198"/>
      <c r="AV12" s="198"/>
      <c r="AW12" s="198"/>
      <c r="AX12" s="198"/>
      <c r="AY12" s="198"/>
    </row>
    <row r="13" spans="1:51" ht="41.4" customHeight="1" x14ac:dyDescent="0.2">
      <c r="A13" s="204"/>
      <c r="B13" s="207" t="s">
        <v>10</v>
      </c>
      <c r="C13" s="204"/>
      <c r="D13" s="226" t="s">
        <v>398</v>
      </c>
      <c r="E13" s="227"/>
      <c r="F13" s="228" t="s">
        <v>407</v>
      </c>
      <c r="G13" s="226"/>
      <c r="H13" s="228"/>
      <c r="I13" s="226"/>
      <c r="J13" s="229">
        <v>15</v>
      </c>
      <c r="K13" s="227"/>
      <c r="L13" s="226" t="s">
        <v>402</v>
      </c>
      <c r="M13" s="227"/>
      <c r="N13" s="226" t="s">
        <v>56</v>
      </c>
      <c r="O13" s="227"/>
      <c r="P13" s="266">
        <v>40452</v>
      </c>
      <c r="Q13" s="230"/>
      <c r="R13" s="227" t="s">
        <v>367</v>
      </c>
      <c r="S13" s="227"/>
      <c r="T13" s="231" t="s">
        <v>377</v>
      </c>
      <c r="U13" s="227"/>
      <c r="V13" s="226" t="s">
        <v>367</v>
      </c>
      <c r="W13" s="227"/>
      <c r="X13" s="231" t="s">
        <v>668</v>
      </c>
      <c r="Y13" s="227"/>
      <c r="Z13" s="226" t="s">
        <v>367</v>
      </c>
      <c r="AA13" s="227"/>
      <c r="AB13" s="231" t="s">
        <v>668</v>
      </c>
      <c r="AC13" s="227"/>
      <c r="AD13" s="226" t="s">
        <v>367</v>
      </c>
      <c r="AE13" s="227"/>
      <c r="AF13" s="231" t="s">
        <v>668</v>
      </c>
      <c r="AG13" s="226" t="s">
        <v>367</v>
      </c>
      <c r="AH13" s="227"/>
      <c r="AI13" s="231" t="s">
        <v>668</v>
      </c>
      <c r="AJ13" s="238"/>
      <c r="AK13" s="205"/>
      <c r="AL13" s="205"/>
      <c r="AM13" s="205"/>
      <c r="AN13" s="205"/>
      <c r="AO13" s="198"/>
      <c r="AP13" s="198"/>
      <c r="AQ13" s="198"/>
      <c r="AR13" s="198"/>
      <c r="AS13" s="198"/>
      <c r="AT13" s="198"/>
      <c r="AU13" s="198"/>
      <c r="AV13" s="198"/>
      <c r="AW13" s="198"/>
      <c r="AX13" s="198"/>
      <c r="AY13" s="198"/>
    </row>
    <row r="14" spans="1:51" ht="39.6" customHeight="1" x14ac:dyDescent="0.2">
      <c r="A14" s="206"/>
      <c r="B14" s="207" t="s">
        <v>10</v>
      </c>
      <c r="C14" s="206"/>
      <c r="D14" s="226" t="s">
        <v>408</v>
      </c>
      <c r="E14" s="227"/>
      <c r="F14" s="228" t="s">
        <v>409</v>
      </c>
      <c r="G14" s="226"/>
      <c r="H14" s="228" t="s">
        <v>410</v>
      </c>
      <c r="I14" s="226"/>
      <c r="J14" s="226" t="s">
        <v>411</v>
      </c>
      <c r="K14" s="227"/>
      <c r="L14" s="226" t="s">
        <v>412</v>
      </c>
      <c r="M14" s="227"/>
      <c r="N14" s="226" t="s">
        <v>413</v>
      </c>
      <c r="O14" s="227"/>
      <c r="P14" s="226">
        <v>2008</v>
      </c>
      <c r="Q14" s="230" t="s">
        <v>414</v>
      </c>
      <c r="R14" s="227" t="s">
        <v>367</v>
      </c>
      <c r="S14" s="227"/>
      <c r="T14" s="231">
        <v>1058816</v>
      </c>
      <c r="U14" s="227"/>
      <c r="V14" s="226" t="s">
        <v>367</v>
      </c>
      <c r="W14" s="227"/>
      <c r="X14" s="231">
        <v>445952.66</v>
      </c>
      <c r="Y14" s="227"/>
      <c r="Z14" s="226" t="s">
        <v>367</v>
      </c>
      <c r="AA14" s="227"/>
      <c r="AB14" s="231">
        <v>373418</v>
      </c>
      <c r="AC14" s="227"/>
      <c r="AD14" s="226" t="s">
        <v>367</v>
      </c>
      <c r="AE14" s="227"/>
      <c r="AF14" s="231">
        <v>406304</v>
      </c>
      <c r="AG14" s="226" t="s">
        <v>367</v>
      </c>
      <c r="AH14" s="227"/>
      <c r="AI14" s="231">
        <v>338228</v>
      </c>
      <c r="AJ14" s="238"/>
      <c r="AK14" s="205"/>
      <c r="AL14" s="205" t="s">
        <v>415</v>
      </c>
      <c r="AM14" s="205"/>
      <c r="AN14" s="205"/>
      <c r="AO14" s="198"/>
      <c r="AP14" s="198"/>
      <c r="AQ14" s="198"/>
      <c r="AR14" s="198"/>
      <c r="AS14" s="198"/>
      <c r="AT14" s="198"/>
      <c r="AU14" s="198"/>
      <c r="AV14" s="198"/>
      <c r="AW14" s="198"/>
      <c r="AX14" s="198"/>
      <c r="AY14" s="198"/>
    </row>
    <row r="15" spans="1:51" ht="53.4" customHeight="1" x14ac:dyDescent="0.2">
      <c r="A15" s="204"/>
      <c r="B15" s="207" t="s">
        <v>10</v>
      </c>
      <c r="C15" s="204"/>
      <c r="D15" s="226" t="s">
        <v>408</v>
      </c>
      <c r="E15" s="227"/>
      <c r="F15" s="228" t="s">
        <v>416</v>
      </c>
      <c r="G15" s="226"/>
      <c r="H15" s="228" t="s">
        <v>417</v>
      </c>
      <c r="I15" s="226"/>
      <c r="J15" s="226" t="s">
        <v>418</v>
      </c>
      <c r="K15" s="227"/>
      <c r="L15" s="226" t="s">
        <v>419</v>
      </c>
      <c r="M15" s="227"/>
      <c r="N15" s="226" t="s">
        <v>420</v>
      </c>
      <c r="O15" s="227"/>
      <c r="P15" s="226" t="s">
        <v>421</v>
      </c>
      <c r="Q15" s="230" t="s">
        <v>414</v>
      </c>
      <c r="R15" s="227" t="s">
        <v>367</v>
      </c>
      <c r="S15" s="227"/>
      <c r="T15" s="231" t="s">
        <v>367</v>
      </c>
      <c r="U15" s="227"/>
      <c r="V15" s="226" t="s">
        <v>367</v>
      </c>
      <c r="W15" s="227"/>
      <c r="X15" s="231">
        <v>10649202</v>
      </c>
      <c r="Y15" s="227"/>
      <c r="Z15" s="226" t="s">
        <v>367</v>
      </c>
      <c r="AA15" s="227"/>
      <c r="AB15" s="231">
        <v>11427254</v>
      </c>
      <c r="AC15" s="227"/>
      <c r="AD15" s="226" t="s">
        <v>367</v>
      </c>
      <c r="AE15" s="227"/>
      <c r="AF15" s="231">
        <v>12009126</v>
      </c>
      <c r="AG15" s="226" t="s">
        <v>367</v>
      </c>
      <c r="AH15" s="227"/>
      <c r="AI15" s="231">
        <v>9716724</v>
      </c>
      <c r="AJ15" s="238"/>
      <c r="AK15" s="205"/>
      <c r="AL15" s="205" t="s">
        <v>759</v>
      </c>
      <c r="AM15" s="205"/>
      <c r="AN15" s="205"/>
      <c r="AO15" s="198"/>
      <c r="AP15" s="198"/>
      <c r="AQ15" s="198"/>
      <c r="AR15" s="198"/>
      <c r="AS15" s="198"/>
      <c r="AT15" s="198"/>
      <c r="AU15" s="198"/>
      <c r="AV15" s="198"/>
      <c r="AW15" s="198"/>
      <c r="AX15" s="198"/>
      <c r="AY15" s="198"/>
    </row>
    <row r="16" spans="1:51" ht="40.950000000000003" customHeight="1" x14ac:dyDescent="0.2">
      <c r="A16" s="206"/>
      <c r="B16" s="259" t="s">
        <v>10</v>
      </c>
      <c r="C16" s="206"/>
      <c r="D16" s="226" t="s">
        <v>398</v>
      </c>
      <c r="E16" s="227"/>
      <c r="F16" s="228" t="s">
        <v>422</v>
      </c>
      <c r="G16" s="226"/>
      <c r="H16" s="228" t="s">
        <v>54</v>
      </c>
      <c r="I16" s="226"/>
      <c r="J16" s="226" t="s">
        <v>423</v>
      </c>
      <c r="K16" s="227"/>
      <c r="L16" s="226" t="s">
        <v>424</v>
      </c>
      <c r="M16" s="227"/>
      <c r="N16" s="226" t="s">
        <v>425</v>
      </c>
      <c r="O16" s="227"/>
      <c r="P16" s="226" t="s">
        <v>426</v>
      </c>
      <c r="Q16" s="230" t="s">
        <v>427</v>
      </c>
      <c r="R16" s="227" t="s">
        <v>367</v>
      </c>
      <c r="S16" s="227"/>
      <c r="T16" s="231">
        <v>39613</v>
      </c>
      <c r="U16" s="227"/>
      <c r="V16" s="226" t="s">
        <v>367</v>
      </c>
      <c r="W16" s="227"/>
      <c r="X16" s="231">
        <v>37902.28</v>
      </c>
      <c r="Y16" s="227"/>
      <c r="Z16" s="226" t="s">
        <v>367</v>
      </c>
      <c r="AA16" s="227"/>
      <c r="AB16" s="231">
        <v>42788</v>
      </c>
      <c r="AC16" s="227"/>
      <c r="AD16" s="226" t="s">
        <v>367</v>
      </c>
      <c r="AE16" s="227"/>
      <c r="AF16" s="231">
        <v>54912</v>
      </c>
      <c r="AG16" s="226" t="s">
        <v>367</v>
      </c>
      <c r="AH16" s="227"/>
      <c r="AI16" s="231">
        <v>55449</v>
      </c>
      <c r="AJ16" s="267"/>
      <c r="AK16" s="205"/>
      <c r="AL16" s="205" t="s">
        <v>428</v>
      </c>
      <c r="AM16" s="205"/>
      <c r="AN16" s="205"/>
      <c r="AO16" s="198"/>
      <c r="AP16" s="198"/>
      <c r="AQ16" s="198"/>
      <c r="AR16" s="198"/>
      <c r="AS16" s="198"/>
      <c r="AT16" s="198"/>
      <c r="AU16" s="198"/>
      <c r="AV16" s="198"/>
      <c r="AW16" s="198"/>
      <c r="AX16" s="198"/>
      <c r="AY16" s="198"/>
    </row>
    <row r="17" spans="1:51" ht="28.95" customHeight="1" x14ac:dyDescent="0.25">
      <c r="A17" s="248"/>
      <c r="B17" s="225" t="s">
        <v>10</v>
      </c>
      <c r="C17" s="199"/>
      <c r="D17" s="226" t="s">
        <v>429</v>
      </c>
      <c r="E17" s="227"/>
      <c r="F17" s="228" t="s">
        <v>430</v>
      </c>
      <c r="G17" s="226"/>
      <c r="H17" s="228" t="s">
        <v>431</v>
      </c>
      <c r="I17" s="226"/>
      <c r="J17" s="229">
        <v>20</v>
      </c>
      <c r="K17" s="227"/>
      <c r="L17" s="226" t="s">
        <v>419</v>
      </c>
      <c r="M17" s="227"/>
      <c r="N17" s="226" t="s">
        <v>432</v>
      </c>
      <c r="O17" s="227"/>
      <c r="P17" s="226">
        <v>2013</v>
      </c>
      <c r="Q17" s="230" t="s">
        <v>763</v>
      </c>
      <c r="R17" s="227" t="s">
        <v>367</v>
      </c>
      <c r="S17" s="227"/>
      <c r="T17" s="231">
        <v>65300</v>
      </c>
      <c r="U17" s="227"/>
      <c r="V17" s="226" t="s">
        <v>367</v>
      </c>
      <c r="W17" s="227"/>
      <c r="X17" s="231">
        <v>64265</v>
      </c>
      <c r="Y17" s="227"/>
      <c r="Z17" s="226" t="s">
        <v>367</v>
      </c>
      <c r="AA17" s="227"/>
      <c r="AB17" s="231">
        <v>68380</v>
      </c>
      <c r="AC17" s="227"/>
      <c r="AD17" s="226" t="s">
        <v>367</v>
      </c>
      <c r="AE17" s="227"/>
      <c r="AF17" s="231">
        <v>68035</v>
      </c>
      <c r="AG17" s="226" t="s">
        <v>367</v>
      </c>
      <c r="AH17" s="227"/>
      <c r="AI17" s="231">
        <v>135540</v>
      </c>
      <c r="AJ17" s="268"/>
      <c r="AK17" s="199"/>
      <c r="AL17" s="250" t="s">
        <v>433</v>
      </c>
      <c r="AM17" s="199"/>
      <c r="AN17" s="250" t="s">
        <v>434</v>
      </c>
      <c r="AO17" s="198"/>
      <c r="AP17" s="198"/>
      <c r="AQ17" s="198"/>
      <c r="AR17" s="198"/>
      <c r="AS17" s="198"/>
      <c r="AT17" s="198"/>
      <c r="AU17" s="198"/>
      <c r="AV17" s="198"/>
      <c r="AW17" s="198"/>
      <c r="AX17" s="198"/>
      <c r="AY17" s="198"/>
    </row>
    <row r="18" spans="1:51" ht="30" customHeight="1" x14ac:dyDescent="0.25">
      <c r="A18" s="248"/>
      <c r="B18" s="225" t="s">
        <v>10</v>
      </c>
      <c r="C18" s="199"/>
      <c r="D18" s="226" t="s">
        <v>429</v>
      </c>
      <c r="E18" s="227"/>
      <c r="F18" s="228" t="s">
        <v>435</v>
      </c>
      <c r="G18" s="226"/>
      <c r="H18" s="228" t="s">
        <v>431</v>
      </c>
      <c r="I18" s="226"/>
      <c r="J18" s="229">
        <v>25</v>
      </c>
      <c r="K18" s="227"/>
      <c r="L18" s="226" t="s">
        <v>436</v>
      </c>
      <c r="M18" s="227"/>
      <c r="N18" s="226" t="s">
        <v>432</v>
      </c>
      <c r="O18" s="227"/>
      <c r="P18" s="226">
        <v>2013</v>
      </c>
      <c r="Q18" s="230" t="s">
        <v>763</v>
      </c>
      <c r="R18" s="227" t="s">
        <v>367</v>
      </c>
      <c r="S18" s="227"/>
      <c r="T18" s="231" t="s">
        <v>377</v>
      </c>
      <c r="U18" s="227"/>
      <c r="V18" s="226" t="s">
        <v>367</v>
      </c>
      <c r="W18" s="227"/>
      <c r="X18" s="231" t="s">
        <v>668</v>
      </c>
      <c r="Y18" s="227"/>
      <c r="Z18" s="226" t="s">
        <v>367</v>
      </c>
      <c r="AA18" s="227"/>
      <c r="AB18" s="231" t="s">
        <v>668</v>
      </c>
      <c r="AC18" s="227"/>
      <c r="AD18" s="226" t="s">
        <v>367</v>
      </c>
      <c r="AE18" s="227"/>
      <c r="AF18" s="231" t="s">
        <v>668</v>
      </c>
      <c r="AG18" s="226" t="s">
        <v>367</v>
      </c>
      <c r="AH18" s="227"/>
      <c r="AI18" s="231" t="s">
        <v>668</v>
      </c>
      <c r="AJ18" s="268"/>
      <c r="AK18" s="199"/>
      <c r="AL18" s="250" t="s">
        <v>433</v>
      </c>
      <c r="AM18" s="199"/>
      <c r="AN18" s="250" t="s">
        <v>434</v>
      </c>
      <c r="AO18" s="198"/>
      <c r="AP18" s="198"/>
      <c r="AQ18" s="198"/>
      <c r="AR18" s="198"/>
      <c r="AS18" s="198"/>
      <c r="AT18" s="198"/>
      <c r="AU18" s="198"/>
      <c r="AV18" s="198"/>
      <c r="AW18" s="198"/>
      <c r="AX18" s="198"/>
      <c r="AY18" s="198"/>
    </row>
    <row r="19" spans="1:51" ht="39" customHeight="1" x14ac:dyDescent="0.25">
      <c r="A19" s="248"/>
      <c r="B19" s="225" t="s">
        <v>10</v>
      </c>
      <c r="C19" s="199"/>
      <c r="D19" s="226" t="s">
        <v>429</v>
      </c>
      <c r="E19" s="227"/>
      <c r="F19" s="236" t="s">
        <v>764</v>
      </c>
      <c r="G19" s="226"/>
      <c r="H19" s="228" t="s">
        <v>431</v>
      </c>
      <c r="I19" s="226"/>
      <c r="J19" s="229">
        <v>100</v>
      </c>
      <c r="K19" s="227"/>
      <c r="L19" s="226" t="s">
        <v>436</v>
      </c>
      <c r="M19" s="227"/>
      <c r="N19" s="226" t="s">
        <v>432</v>
      </c>
      <c r="O19" s="227"/>
      <c r="P19" s="226">
        <v>2011</v>
      </c>
      <c r="Q19" s="230" t="s">
        <v>765</v>
      </c>
      <c r="R19" s="227"/>
      <c r="S19" s="227"/>
      <c r="T19" s="231"/>
      <c r="U19" s="227"/>
      <c r="V19" s="226"/>
      <c r="W19" s="227"/>
      <c r="X19" s="231"/>
      <c r="Y19" s="227"/>
      <c r="Z19" s="226">
        <v>132</v>
      </c>
      <c r="AA19" s="227"/>
      <c r="AB19" s="231">
        <v>12040</v>
      </c>
      <c r="AC19" s="227"/>
      <c r="AD19" s="226">
        <v>128</v>
      </c>
      <c r="AE19" s="227"/>
      <c r="AF19" s="231">
        <v>16000</v>
      </c>
      <c r="AG19" s="226">
        <v>139</v>
      </c>
      <c r="AH19" s="227"/>
      <c r="AI19" s="231">
        <v>10460</v>
      </c>
      <c r="AJ19" s="268"/>
      <c r="AK19" s="199"/>
      <c r="AL19" s="199"/>
      <c r="AM19" s="199"/>
      <c r="AN19" s="199"/>
      <c r="AO19" s="198"/>
      <c r="AP19" s="198"/>
      <c r="AQ19" s="198"/>
      <c r="AR19" s="198"/>
      <c r="AS19" s="198"/>
      <c r="AT19" s="198"/>
      <c r="AU19" s="198"/>
      <c r="AV19" s="198"/>
      <c r="AW19" s="198"/>
      <c r="AX19" s="198"/>
      <c r="AY19" s="198"/>
    </row>
    <row r="20" spans="1:51" ht="33" customHeight="1" x14ac:dyDescent="0.25">
      <c r="A20" s="248"/>
      <c r="B20" s="225" t="s">
        <v>10</v>
      </c>
      <c r="C20" s="199"/>
      <c r="D20" s="226" t="s">
        <v>429</v>
      </c>
      <c r="E20" s="227"/>
      <c r="F20" s="236" t="s">
        <v>766</v>
      </c>
      <c r="G20" s="226"/>
      <c r="H20" s="228" t="s">
        <v>431</v>
      </c>
      <c r="I20" s="226"/>
      <c r="J20" s="229">
        <v>25</v>
      </c>
      <c r="K20" s="227"/>
      <c r="L20" s="226" t="s">
        <v>436</v>
      </c>
      <c r="M20" s="227"/>
      <c r="N20" s="226" t="s">
        <v>432</v>
      </c>
      <c r="O20" s="227"/>
      <c r="P20" s="226">
        <v>2011</v>
      </c>
      <c r="Q20" s="230" t="s">
        <v>765</v>
      </c>
      <c r="R20" s="227"/>
      <c r="S20" s="227"/>
      <c r="T20" s="231"/>
      <c r="U20" s="227"/>
      <c r="V20" s="226"/>
      <c r="W20" s="227"/>
      <c r="X20" s="231"/>
      <c r="Y20" s="227"/>
      <c r="Z20" s="226" t="s">
        <v>367</v>
      </c>
      <c r="AA20" s="227"/>
      <c r="AB20" s="231" t="s">
        <v>668</v>
      </c>
      <c r="AC20" s="227"/>
      <c r="AD20" s="226" t="s">
        <v>367</v>
      </c>
      <c r="AE20" s="227"/>
      <c r="AF20" s="231" t="s">
        <v>668</v>
      </c>
      <c r="AG20" s="226" t="s">
        <v>367</v>
      </c>
      <c r="AH20" s="227"/>
      <c r="AI20" s="231" t="s">
        <v>668</v>
      </c>
      <c r="AJ20" s="249"/>
      <c r="AK20" s="199"/>
      <c r="AL20" s="199"/>
      <c r="AM20" s="199"/>
      <c r="AN20" s="199"/>
      <c r="AO20" s="198"/>
      <c r="AP20" s="198"/>
      <c r="AQ20" s="198"/>
      <c r="AR20" s="198"/>
      <c r="AS20" s="198"/>
      <c r="AT20" s="198"/>
      <c r="AU20" s="198"/>
      <c r="AV20" s="198"/>
      <c r="AW20" s="198"/>
      <c r="AX20" s="198"/>
      <c r="AY20" s="198"/>
    </row>
    <row r="21" spans="1:51" ht="63.6" customHeight="1" x14ac:dyDescent="0.25">
      <c r="A21" s="248"/>
      <c r="B21" s="225" t="s">
        <v>10</v>
      </c>
      <c r="C21" s="199"/>
      <c r="D21" s="226" t="s">
        <v>429</v>
      </c>
      <c r="E21" s="227"/>
      <c r="F21" s="228" t="s">
        <v>437</v>
      </c>
      <c r="G21" s="226"/>
      <c r="H21" s="228" t="s">
        <v>438</v>
      </c>
      <c r="I21" s="226"/>
      <c r="J21" s="226" t="s">
        <v>439</v>
      </c>
      <c r="K21" s="227"/>
      <c r="L21" s="226" t="s">
        <v>767</v>
      </c>
      <c r="M21" s="227"/>
      <c r="N21" s="226" t="s">
        <v>440</v>
      </c>
      <c r="O21" s="227"/>
      <c r="P21" s="226">
        <v>2013</v>
      </c>
      <c r="Q21" s="230" t="s">
        <v>768</v>
      </c>
      <c r="R21" s="227" t="s">
        <v>367</v>
      </c>
      <c r="S21" s="227"/>
      <c r="T21" s="231">
        <v>24745</v>
      </c>
      <c r="U21" s="227"/>
      <c r="V21" s="226" t="s">
        <v>367</v>
      </c>
      <c r="W21" s="227"/>
      <c r="X21" s="231">
        <v>25440</v>
      </c>
      <c r="Y21" s="227"/>
      <c r="Z21" s="226" t="s">
        <v>367</v>
      </c>
      <c r="AA21" s="227"/>
      <c r="AB21" s="231">
        <v>21950</v>
      </c>
      <c r="AC21" s="227"/>
      <c r="AD21" s="226" t="s">
        <v>367</v>
      </c>
      <c r="AE21" s="227"/>
      <c r="AF21" s="231">
        <v>17735</v>
      </c>
      <c r="AG21" s="226" t="s">
        <v>367</v>
      </c>
      <c r="AH21" s="227"/>
      <c r="AI21" s="231">
        <v>31420</v>
      </c>
      <c r="AJ21" s="249"/>
      <c r="AK21" s="199"/>
      <c r="AL21" s="250" t="s">
        <v>441</v>
      </c>
      <c r="AM21" s="199"/>
      <c r="AN21" s="199"/>
      <c r="AO21" s="198"/>
      <c r="AP21" s="198"/>
      <c r="AQ21" s="198"/>
      <c r="AR21" s="198"/>
      <c r="AS21" s="198"/>
      <c r="AT21" s="198"/>
      <c r="AU21" s="198"/>
      <c r="AV21" s="198"/>
      <c r="AW21" s="198"/>
      <c r="AX21" s="198"/>
      <c r="AY21" s="198"/>
    </row>
    <row r="22" spans="1:51" ht="30.6" customHeight="1" x14ac:dyDescent="0.25">
      <c r="A22" s="248"/>
      <c r="B22" s="225" t="s">
        <v>10</v>
      </c>
      <c r="C22" s="199"/>
      <c r="D22" s="226" t="s">
        <v>429</v>
      </c>
      <c r="E22" s="227"/>
      <c r="F22" s="228" t="s">
        <v>769</v>
      </c>
      <c r="G22" s="226"/>
      <c r="H22" s="228" t="s">
        <v>438</v>
      </c>
      <c r="I22" s="226"/>
      <c r="J22" s="237">
        <v>60</v>
      </c>
      <c r="K22" s="227"/>
      <c r="L22" s="226" t="s">
        <v>767</v>
      </c>
      <c r="M22" s="227"/>
      <c r="N22" s="226" t="s">
        <v>440</v>
      </c>
      <c r="O22" s="227"/>
      <c r="P22" s="226">
        <v>2013</v>
      </c>
      <c r="Q22" s="230" t="s">
        <v>768</v>
      </c>
      <c r="R22" s="227"/>
      <c r="S22" s="227"/>
      <c r="T22" s="231"/>
      <c r="U22" s="227"/>
      <c r="V22" s="226"/>
      <c r="W22" s="227"/>
      <c r="X22" s="231"/>
      <c r="Y22" s="227"/>
      <c r="Z22" s="226" t="s">
        <v>367</v>
      </c>
      <c r="AA22" s="227"/>
      <c r="AB22" s="231" t="s">
        <v>668</v>
      </c>
      <c r="AC22" s="227"/>
      <c r="AD22" s="226" t="s">
        <v>367</v>
      </c>
      <c r="AE22" s="227"/>
      <c r="AF22" s="231" t="s">
        <v>668</v>
      </c>
      <c r="AG22" s="226" t="s">
        <v>367</v>
      </c>
      <c r="AH22" s="227"/>
      <c r="AI22" s="231" t="s">
        <v>668</v>
      </c>
      <c r="AJ22" s="249"/>
      <c r="AK22" s="199"/>
      <c r="AL22" s="199"/>
      <c r="AM22" s="199"/>
      <c r="AN22" s="199"/>
      <c r="AO22" s="198"/>
      <c r="AP22" s="198"/>
      <c r="AQ22" s="198"/>
      <c r="AR22" s="198"/>
      <c r="AS22" s="198"/>
      <c r="AT22" s="198"/>
      <c r="AU22" s="198"/>
      <c r="AV22" s="198"/>
      <c r="AW22" s="198"/>
      <c r="AX22" s="198"/>
      <c r="AY22" s="198"/>
    </row>
    <row r="23" spans="1:51" ht="52.95" customHeight="1" x14ac:dyDescent="0.25">
      <c r="A23" s="248"/>
      <c r="B23" s="225" t="s">
        <v>10</v>
      </c>
      <c r="C23" s="199"/>
      <c r="D23" s="226" t="s">
        <v>429</v>
      </c>
      <c r="E23" s="227"/>
      <c r="F23" s="228" t="s">
        <v>442</v>
      </c>
      <c r="G23" s="226"/>
      <c r="H23" s="228" t="s">
        <v>443</v>
      </c>
      <c r="I23" s="226"/>
      <c r="J23" s="226" t="s">
        <v>444</v>
      </c>
      <c r="K23" s="227"/>
      <c r="L23" s="226" t="s">
        <v>419</v>
      </c>
      <c r="M23" s="227"/>
      <c r="N23" s="226" t="s">
        <v>432</v>
      </c>
      <c r="O23" s="227"/>
      <c r="P23" s="232" t="s">
        <v>547</v>
      </c>
      <c r="Q23" s="230" t="s">
        <v>445</v>
      </c>
      <c r="R23" s="227" t="s">
        <v>367</v>
      </c>
      <c r="S23" s="227"/>
      <c r="T23" s="231">
        <v>55256</v>
      </c>
      <c r="U23" s="227"/>
      <c r="V23" s="226">
        <v>109</v>
      </c>
      <c r="W23" s="227"/>
      <c r="X23" s="231">
        <v>54200</v>
      </c>
      <c r="Y23" s="227"/>
      <c r="Z23" s="227">
        <v>110</v>
      </c>
      <c r="AA23" s="227"/>
      <c r="AB23" s="231">
        <v>59875</v>
      </c>
      <c r="AC23" s="227"/>
      <c r="AD23" s="226">
        <v>110</v>
      </c>
      <c r="AE23" s="227"/>
      <c r="AF23" s="231">
        <v>57325</v>
      </c>
      <c r="AG23" s="226">
        <v>189</v>
      </c>
      <c r="AH23" s="227"/>
      <c r="AI23" s="231">
        <v>86285</v>
      </c>
      <c r="AJ23" s="249"/>
      <c r="AK23" s="199"/>
      <c r="AL23" s="199"/>
      <c r="AM23" s="199"/>
      <c r="AN23" s="199"/>
      <c r="AO23" s="198"/>
      <c r="AP23" s="198"/>
      <c r="AQ23" s="198"/>
      <c r="AR23" s="198"/>
      <c r="AS23" s="198"/>
      <c r="AT23" s="198"/>
      <c r="AU23" s="198"/>
      <c r="AV23" s="198"/>
      <c r="AW23" s="198"/>
      <c r="AX23" s="198"/>
      <c r="AY23" s="198"/>
    </row>
    <row r="24" spans="1:51" ht="63" customHeight="1" x14ac:dyDescent="0.25">
      <c r="A24" s="248"/>
      <c r="B24" s="225" t="s">
        <v>10</v>
      </c>
      <c r="C24" s="199"/>
      <c r="D24" s="226" t="s">
        <v>429</v>
      </c>
      <c r="E24" s="227"/>
      <c r="F24" s="228" t="s">
        <v>446</v>
      </c>
      <c r="G24" s="226"/>
      <c r="H24" s="199"/>
      <c r="I24" s="226"/>
      <c r="J24" s="226" t="s">
        <v>447</v>
      </c>
      <c r="K24" s="227"/>
      <c r="L24" s="226" t="s">
        <v>419</v>
      </c>
      <c r="M24" s="227"/>
      <c r="N24" s="226" t="s">
        <v>432</v>
      </c>
      <c r="O24" s="227"/>
      <c r="P24" s="232" t="s">
        <v>547</v>
      </c>
      <c r="Q24" s="230" t="s">
        <v>445</v>
      </c>
      <c r="R24" s="227" t="s">
        <v>367</v>
      </c>
      <c r="S24" s="227"/>
      <c r="T24" s="231" t="s">
        <v>377</v>
      </c>
      <c r="U24" s="227"/>
      <c r="V24" s="226"/>
      <c r="W24" s="227"/>
      <c r="X24" s="231" t="s">
        <v>668</v>
      </c>
      <c r="Y24" s="227"/>
      <c r="Z24" s="226" t="s">
        <v>367</v>
      </c>
      <c r="AA24" s="227"/>
      <c r="AB24" s="231" t="s">
        <v>668</v>
      </c>
      <c r="AC24" s="227"/>
      <c r="AD24" s="226" t="s">
        <v>367</v>
      </c>
      <c r="AE24" s="227"/>
      <c r="AF24" s="231" t="s">
        <v>668</v>
      </c>
      <c r="AG24" s="226" t="s">
        <v>367</v>
      </c>
      <c r="AH24" s="227"/>
      <c r="AI24" s="231" t="s">
        <v>668</v>
      </c>
      <c r="AJ24" s="249"/>
      <c r="AK24" s="199"/>
      <c r="AL24" s="199"/>
      <c r="AM24" s="199"/>
      <c r="AN24" s="199"/>
      <c r="AO24" s="198"/>
      <c r="AP24" s="198"/>
      <c r="AQ24" s="198"/>
      <c r="AR24" s="198"/>
      <c r="AS24" s="198"/>
      <c r="AT24" s="198"/>
      <c r="AU24" s="198"/>
      <c r="AV24" s="198"/>
      <c r="AW24" s="198"/>
      <c r="AX24" s="198"/>
      <c r="AY24" s="198"/>
    </row>
    <row r="25" spans="1:51" ht="40.950000000000003" customHeight="1" x14ac:dyDescent="0.25">
      <c r="A25" s="248"/>
      <c r="B25" s="225" t="s">
        <v>10</v>
      </c>
      <c r="C25" s="199"/>
      <c r="D25" s="226" t="s">
        <v>429</v>
      </c>
      <c r="E25" s="227"/>
      <c r="F25" s="228" t="s">
        <v>448</v>
      </c>
      <c r="G25" s="226"/>
      <c r="H25" s="228" t="s">
        <v>443</v>
      </c>
      <c r="I25" s="226"/>
      <c r="J25" s="229">
        <v>100</v>
      </c>
      <c r="K25" s="227"/>
      <c r="L25" s="226" t="s">
        <v>419</v>
      </c>
      <c r="M25" s="227"/>
      <c r="N25" s="226" t="s">
        <v>432</v>
      </c>
      <c r="O25" s="227"/>
      <c r="P25" s="232" t="s">
        <v>547</v>
      </c>
      <c r="Q25" s="230" t="s">
        <v>449</v>
      </c>
      <c r="R25" s="227" t="s">
        <v>367</v>
      </c>
      <c r="S25" s="227"/>
      <c r="T25" s="231" t="s">
        <v>377</v>
      </c>
      <c r="U25" s="227"/>
      <c r="V25" s="226"/>
      <c r="W25" s="227"/>
      <c r="X25" s="231" t="s">
        <v>668</v>
      </c>
      <c r="Y25" s="227"/>
      <c r="Z25" s="226" t="s">
        <v>367</v>
      </c>
      <c r="AA25" s="227"/>
      <c r="AB25" s="231" t="s">
        <v>668</v>
      </c>
      <c r="AC25" s="227"/>
      <c r="AD25" s="226" t="s">
        <v>367</v>
      </c>
      <c r="AE25" s="227"/>
      <c r="AF25" s="231" t="s">
        <v>668</v>
      </c>
      <c r="AG25" s="226" t="s">
        <v>367</v>
      </c>
      <c r="AH25" s="227"/>
      <c r="AI25" s="231" t="s">
        <v>668</v>
      </c>
      <c r="AJ25" s="249"/>
      <c r="AK25" s="199"/>
      <c r="AL25" s="199"/>
      <c r="AM25" s="199"/>
      <c r="AN25" s="199"/>
      <c r="AO25" s="198"/>
      <c r="AP25" s="198"/>
      <c r="AQ25" s="198"/>
      <c r="AR25" s="198"/>
      <c r="AS25" s="198"/>
      <c r="AT25" s="198"/>
      <c r="AU25" s="198"/>
      <c r="AV25" s="198"/>
      <c r="AW25" s="198"/>
      <c r="AX25" s="198"/>
      <c r="AY25" s="198"/>
    </row>
    <row r="26" spans="1:51" ht="36" customHeight="1" x14ac:dyDescent="0.25">
      <c r="A26" s="248"/>
      <c r="B26" s="225" t="s">
        <v>10</v>
      </c>
      <c r="C26" s="199"/>
      <c r="D26" s="226" t="s">
        <v>429</v>
      </c>
      <c r="E26" s="227"/>
      <c r="F26" s="228" t="s">
        <v>770</v>
      </c>
      <c r="G26" s="226"/>
      <c r="H26" s="228" t="s">
        <v>443</v>
      </c>
      <c r="I26" s="226"/>
      <c r="J26" s="229">
        <v>50</v>
      </c>
      <c r="K26" s="227"/>
      <c r="L26" s="226" t="s">
        <v>419</v>
      </c>
      <c r="M26" s="227"/>
      <c r="N26" s="226" t="s">
        <v>432</v>
      </c>
      <c r="O26" s="227"/>
      <c r="P26" s="232" t="s">
        <v>547</v>
      </c>
      <c r="Q26" s="230" t="s">
        <v>445</v>
      </c>
      <c r="R26" s="227"/>
      <c r="S26" s="227"/>
      <c r="T26" s="231"/>
      <c r="U26" s="227"/>
      <c r="V26" s="226"/>
      <c r="W26" s="227"/>
      <c r="X26" s="231"/>
      <c r="Y26" s="227"/>
      <c r="Z26" s="226" t="s">
        <v>367</v>
      </c>
      <c r="AA26" s="227"/>
      <c r="AB26" s="231" t="s">
        <v>668</v>
      </c>
      <c r="AC26" s="227"/>
      <c r="AD26" s="226" t="s">
        <v>367</v>
      </c>
      <c r="AE26" s="227"/>
      <c r="AF26" s="231" t="s">
        <v>668</v>
      </c>
      <c r="AG26" s="226" t="s">
        <v>367</v>
      </c>
      <c r="AH26" s="227"/>
      <c r="AI26" s="231" t="s">
        <v>668</v>
      </c>
      <c r="AJ26" s="249"/>
      <c r="AK26" s="199"/>
      <c r="AL26" s="199"/>
      <c r="AM26" s="199"/>
      <c r="AN26" s="199"/>
      <c r="AO26" s="198"/>
      <c r="AP26" s="198"/>
      <c r="AQ26" s="198"/>
      <c r="AR26" s="198"/>
      <c r="AS26" s="198"/>
      <c r="AT26" s="198"/>
      <c r="AU26" s="198"/>
      <c r="AV26" s="198"/>
      <c r="AW26" s="198"/>
      <c r="AX26" s="198"/>
      <c r="AY26" s="198"/>
    </row>
    <row r="27" spans="1:51" ht="33" customHeight="1" x14ac:dyDescent="0.25">
      <c r="A27" s="248"/>
      <c r="B27" s="239" t="s">
        <v>10</v>
      </c>
      <c r="C27" s="239"/>
      <c r="D27" s="240" t="s">
        <v>429</v>
      </c>
      <c r="E27" s="240"/>
      <c r="F27" s="236" t="s">
        <v>771</v>
      </c>
      <c r="G27" s="240"/>
      <c r="H27" s="236" t="s">
        <v>772</v>
      </c>
      <c r="I27" s="240"/>
      <c r="J27" s="241">
        <v>200</v>
      </c>
      <c r="K27" s="240"/>
      <c r="L27" s="240" t="s">
        <v>773</v>
      </c>
      <c r="M27" s="240"/>
      <c r="N27" s="240" t="s">
        <v>432</v>
      </c>
      <c r="O27" s="240"/>
      <c r="P27" s="242" t="s">
        <v>547</v>
      </c>
      <c r="Q27" s="243" t="s">
        <v>774</v>
      </c>
      <c r="R27" s="240"/>
      <c r="S27" s="240"/>
      <c r="T27" s="244"/>
      <c r="U27" s="240"/>
      <c r="V27" s="240"/>
      <c r="W27" s="240"/>
      <c r="X27" s="244"/>
      <c r="Y27" s="240"/>
      <c r="Z27" s="240" t="s">
        <v>367</v>
      </c>
      <c r="AA27" s="240"/>
      <c r="AB27" s="244">
        <v>14212.1</v>
      </c>
      <c r="AC27" s="240"/>
      <c r="AD27" s="226" t="s">
        <v>367</v>
      </c>
      <c r="AE27" s="240"/>
      <c r="AF27" s="244">
        <v>52625</v>
      </c>
      <c r="AG27" s="240" t="s">
        <v>367</v>
      </c>
      <c r="AH27" s="240"/>
      <c r="AI27" s="244" t="s">
        <v>377</v>
      </c>
      <c r="AJ27" s="199"/>
      <c r="AK27" s="199"/>
      <c r="AL27" s="199"/>
      <c r="AM27" s="199"/>
      <c r="AN27" s="199"/>
      <c r="AO27" s="198"/>
      <c r="AP27" s="198"/>
      <c r="AQ27" s="198"/>
      <c r="AR27" s="198"/>
      <c r="AS27" s="198"/>
      <c r="AT27" s="198"/>
      <c r="AU27" s="198"/>
      <c r="AV27" s="198"/>
      <c r="AW27" s="198"/>
      <c r="AX27" s="198"/>
      <c r="AY27" s="198"/>
    </row>
    <row r="28" spans="1:51" ht="30" customHeight="1" x14ac:dyDescent="0.25">
      <c r="A28" s="248"/>
      <c r="B28" s="239" t="s">
        <v>10</v>
      </c>
      <c r="C28" s="239"/>
      <c r="D28" s="240" t="s">
        <v>429</v>
      </c>
      <c r="E28" s="240"/>
      <c r="F28" s="236" t="s">
        <v>775</v>
      </c>
      <c r="G28" s="240"/>
      <c r="H28" s="236" t="s">
        <v>772</v>
      </c>
      <c r="I28" s="240"/>
      <c r="J28" s="241">
        <v>25</v>
      </c>
      <c r="K28" s="240"/>
      <c r="L28" s="240" t="s">
        <v>436</v>
      </c>
      <c r="M28" s="240"/>
      <c r="N28" s="240" t="s">
        <v>432</v>
      </c>
      <c r="O28" s="240"/>
      <c r="P28" s="242" t="s">
        <v>547</v>
      </c>
      <c r="Q28" s="243" t="s">
        <v>774</v>
      </c>
      <c r="R28" s="240"/>
      <c r="S28" s="240"/>
      <c r="T28" s="244"/>
      <c r="U28" s="240"/>
      <c r="V28" s="240"/>
      <c r="W28" s="240"/>
      <c r="X28" s="244"/>
      <c r="Y28" s="240"/>
      <c r="Z28" s="240" t="s">
        <v>367</v>
      </c>
      <c r="AA28" s="240"/>
      <c r="AB28" s="244" t="s">
        <v>377</v>
      </c>
      <c r="AC28" s="240"/>
      <c r="AD28" s="240" t="s">
        <v>367</v>
      </c>
      <c r="AE28" s="240"/>
      <c r="AF28" s="244" t="s">
        <v>377</v>
      </c>
      <c r="AG28" s="240" t="s">
        <v>367</v>
      </c>
      <c r="AH28" s="240"/>
      <c r="AI28" s="244" t="s">
        <v>377</v>
      </c>
      <c r="AJ28" s="199"/>
      <c r="AK28" s="199"/>
      <c r="AL28" s="199"/>
      <c r="AM28" s="199"/>
      <c r="AN28" s="199"/>
      <c r="AO28" s="198"/>
      <c r="AP28" s="198"/>
      <c r="AQ28" s="198"/>
      <c r="AR28" s="198"/>
      <c r="AS28" s="198"/>
      <c r="AT28" s="198"/>
      <c r="AU28" s="198"/>
      <c r="AV28" s="198"/>
      <c r="AW28" s="198"/>
      <c r="AX28" s="198"/>
      <c r="AY28" s="198"/>
    </row>
    <row r="29" spans="1:51" ht="40.200000000000003" customHeight="1" x14ac:dyDescent="0.25">
      <c r="A29" s="248"/>
      <c r="B29" s="239" t="s">
        <v>10</v>
      </c>
      <c r="C29" s="239"/>
      <c r="D29" s="240" t="s">
        <v>429</v>
      </c>
      <c r="E29" s="240"/>
      <c r="F29" s="236" t="s">
        <v>776</v>
      </c>
      <c r="G29" s="240"/>
      <c r="H29" s="236" t="s">
        <v>772</v>
      </c>
      <c r="I29" s="240"/>
      <c r="J29" s="241">
        <v>25</v>
      </c>
      <c r="K29" s="240"/>
      <c r="L29" s="240" t="s">
        <v>773</v>
      </c>
      <c r="M29" s="240"/>
      <c r="N29" s="240" t="s">
        <v>432</v>
      </c>
      <c r="O29" s="240"/>
      <c r="P29" s="242" t="s">
        <v>547</v>
      </c>
      <c r="Q29" s="243" t="s">
        <v>774</v>
      </c>
      <c r="R29" s="240"/>
      <c r="S29" s="240"/>
      <c r="T29" s="244"/>
      <c r="U29" s="240"/>
      <c r="V29" s="240"/>
      <c r="W29" s="240"/>
      <c r="X29" s="244"/>
      <c r="Y29" s="240"/>
      <c r="Z29" s="240" t="s">
        <v>367</v>
      </c>
      <c r="AA29" s="240"/>
      <c r="AB29" s="244" t="s">
        <v>377</v>
      </c>
      <c r="AC29" s="240"/>
      <c r="AD29" s="240" t="s">
        <v>367</v>
      </c>
      <c r="AE29" s="240"/>
      <c r="AF29" s="244" t="s">
        <v>377</v>
      </c>
      <c r="AG29" s="240" t="s">
        <v>367</v>
      </c>
      <c r="AH29" s="240"/>
      <c r="AI29" s="244" t="s">
        <v>377</v>
      </c>
      <c r="AJ29" s="199"/>
      <c r="AK29" s="199"/>
      <c r="AL29" s="199"/>
      <c r="AM29" s="199"/>
      <c r="AN29" s="199"/>
      <c r="AO29" s="198"/>
      <c r="AP29" s="198"/>
      <c r="AQ29" s="198"/>
      <c r="AR29" s="198"/>
      <c r="AS29" s="198"/>
      <c r="AT29" s="198"/>
      <c r="AU29" s="198"/>
      <c r="AV29" s="198"/>
      <c r="AW29" s="198"/>
      <c r="AX29" s="198"/>
      <c r="AY29" s="198"/>
    </row>
    <row r="30" spans="1:51" ht="22.8" x14ac:dyDescent="0.25">
      <c r="A30" s="248"/>
      <c r="B30" s="239" t="s">
        <v>10</v>
      </c>
      <c r="C30" s="239"/>
      <c r="D30" s="240" t="s">
        <v>429</v>
      </c>
      <c r="E30" s="240"/>
      <c r="F30" s="236" t="s">
        <v>777</v>
      </c>
      <c r="G30" s="240"/>
      <c r="H30" s="236" t="s">
        <v>772</v>
      </c>
      <c r="I30" s="240"/>
      <c r="J30" s="241">
        <v>100</v>
      </c>
      <c r="K30" s="240"/>
      <c r="L30" s="240" t="s">
        <v>773</v>
      </c>
      <c r="M30" s="240"/>
      <c r="N30" s="240" t="s">
        <v>432</v>
      </c>
      <c r="O30" s="240"/>
      <c r="P30" s="242" t="s">
        <v>547</v>
      </c>
      <c r="Q30" s="243" t="s">
        <v>774</v>
      </c>
      <c r="R30" s="240"/>
      <c r="S30" s="240"/>
      <c r="T30" s="244"/>
      <c r="U30" s="240"/>
      <c r="V30" s="240"/>
      <c r="W30" s="240"/>
      <c r="X30" s="244"/>
      <c r="Y30" s="240"/>
      <c r="Z30" s="240" t="s">
        <v>367</v>
      </c>
      <c r="AA30" s="240"/>
      <c r="AB30" s="244" t="s">
        <v>377</v>
      </c>
      <c r="AC30" s="240"/>
      <c r="AD30" s="240" t="s">
        <v>367</v>
      </c>
      <c r="AE30" s="240"/>
      <c r="AF30" s="244" t="s">
        <v>377</v>
      </c>
      <c r="AG30" s="240" t="s">
        <v>367</v>
      </c>
      <c r="AH30" s="240"/>
      <c r="AI30" s="244" t="s">
        <v>377</v>
      </c>
      <c r="AJ30" s="199"/>
      <c r="AK30" s="199"/>
      <c r="AL30" s="199"/>
      <c r="AM30" s="199"/>
      <c r="AN30" s="199"/>
      <c r="AO30" s="198"/>
      <c r="AP30" s="198"/>
      <c r="AQ30" s="198"/>
      <c r="AR30" s="198"/>
      <c r="AS30" s="198"/>
      <c r="AT30" s="198"/>
      <c r="AU30" s="198"/>
      <c r="AV30" s="198"/>
      <c r="AW30" s="198"/>
      <c r="AX30" s="198"/>
      <c r="AY30" s="198"/>
    </row>
    <row r="31" spans="1:51" ht="44.4" customHeight="1" x14ac:dyDescent="0.25">
      <c r="A31" s="248"/>
      <c r="B31" s="239" t="s">
        <v>10</v>
      </c>
      <c r="C31" s="239"/>
      <c r="D31" s="240" t="s">
        <v>429</v>
      </c>
      <c r="E31" s="240"/>
      <c r="F31" s="236" t="s">
        <v>778</v>
      </c>
      <c r="G31" s="240"/>
      <c r="H31" s="236" t="s">
        <v>772</v>
      </c>
      <c r="I31" s="240"/>
      <c r="J31" s="241">
        <v>50</v>
      </c>
      <c r="K31" s="240"/>
      <c r="L31" s="240" t="s">
        <v>436</v>
      </c>
      <c r="M31" s="240"/>
      <c r="N31" s="240" t="s">
        <v>432</v>
      </c>
      <c r="O31" s="240"/>
      <c r="P31" s="242" t="s">
        <v>547</v>
      </c>
      <c r="Q31" s="243" t="s">
        <v>779</v>
      </c>
      <c r="R31" s="240"/>
      <c r="S31" s="240"/>
      <c r="T31" s="244"/>
      <c r="U31" s="240"/>
      <c r="V31" s="240"/>
      <c r="W31" s="240"/>
      <c r="X31" s="244"/>
      <c r="Y31" s="240"/>
      <c r="Z31" s="240" t="s">
        <v>367</v>
      </c>
      <c r="AA31" s="240"/>
      <c r="AB31" s="244" t="s">
        <v>377</v>
      </c>
      <c r="AC31" s="240"/>
      <c r="AD31" s="240" t="s">
        <v>367</v>
      </c>
      <c r="AE31" s="240"/>
      <c r="AF31" s="244" t="s">
        <v>377</v>
      </c>
      <c r="AG31" s="240" t="s">
        <v>367</v>
      </c>
      <c r="AH31" s="240"/>
      <c r="AI31" s="244" t="s">
        <v>377</v>
      </c>
      <c r="AJ31" s="199"/>
      <c r="AK31" s="199"/>
      <c r="AL31" s="199"/>
      <c r="AM31" s="199"/>
      <c r="AN31" s="199"/>
      <c r="AO31" s="198"/>
      <c r="AP31" s="198"/>
      <c r="AQ31" s="198"/>
      <c r="AR31" s="198"/>
      <c r="AS31" s="198"/>
      <c r="AT31" s="198"/>
      <c r="AU31" s="198"/>
      <c r="AV31" s="198"/>
      <c r="AW31" s="198"/>
      <c r="AX31" s="198"/>
      <c r="AY31" s="198"/>
    </row>
    <row r="32" spans="1:51" ht="22.8" x14ac:dyDescent="0.25">
      <c r="A32" s="248"/>
      <c r="B32" s="239" t="s">
        <v>10</v>
      </c>
      <c r="C32" s="239"/>
      <c r="D32" s="240" t="s">
        <v>429</v>
      </c>
      <c r="E32" s="240"/>
      <c r="F32" s="236" t="s">
        <v>780</v>
      </c>
      <c r="G32" s="240"/>
      <c r="H32" s="236" t="s">
        <v>443</v>
      </c>
      <c r="I32" s="240"/>
      <c r="J32" s="241">
        <v>300</v>
      </c>
      <c r="K32" s="240"/>
      <c r="L32" s="240" t="s">
        <v>767</v>
      </c>
      <c r="M32" s="240"/>
      <c r="N32" s="240" t="s">
        <v>432</v>
      </c>
      <c r="O32" s="240"/>
      <c r="P32" s="242" t="s">
        <v>781</v>
      </c>
      <c r="Q32" s="243" t="s">
        <v>782</v>
      </c>
      <c r="R32" s="240"/>
      <c r="S32" s="240"/>
      <c r="T32" s="244"/>
      <c r="U32" s="240"/>
      <c r="V32" s="240"/>
      <c r="W32" s="240"/>
      <c r="X32" s="244"/>
      <c r="Y32" s="240"/>
      <c r="Z32" s="240">
        <v>170</v>
      </c>
      <c r="AA32" s="240"/>
      <c r="AB32" s="244">
        <v>87705</v>
      </c>
      <c r="AC32" s="240"/>
      <c r="AD32" s="240">
        <v>70</v>
      </c>
      <c r="AE32" s="240"/>
      <c r="AF32" s="244">
        <v>33900</v>
      </c>
      <c r="AG32" s="240">
        <v>46</v>
      </c>
      <c r="AH32" s="240"/>
      <c r="AI32" s="245">
        <v>15410</v>
      </c>
      <c r="AJ32" s="199"/>
      <c r="AK32" s="199"/>
      <c r="AL32" s="199"/>
      <c r="AM32" s="199"/>
      <c r="AN32" s="199"/>
      <c r="AO32" s="198"/>
      <c r="AP32" s="198"/>
      <c r="AQ32" s="198"/>
      <c r="AR32" s="198"/>
      <c r="AS32" s="198"/>
      <c r="AT32" s="198"/>
      <c r="AU32" s="198"/>
      <c r="AV32" s="198"/>
      <c r="AW32" s="198"/>
      <c r="AX32" s="198"/>
      <c r="AY32" s="198"/>
    </row>
    <row r="33" spans="1:51" ht="32.4" customHeight="1" x14ac:dyDescent="0.25">
      <c r="A33" s="248"/>
      <c r="B33" s="239" t="s">
        <v>10</v>
      </c>
      <c r="C33" s="239"/>
      <c r="D33" s="240" t="s">
        <v>429</v>
      </c>
      <c r="E33" s="240"/>
      <c r="F33" s="236" t="s">
        <v>783</v>
      </c>
      <c r="G33" s="240"/>
      <c r="H33" s="236" t="s">
        <v>443</v>
      </c>
      <c r="I33" s="240"/>
      <c r="J33" s="241">
        <v>50</v>
      </c>
      <c r="K33" s="240"/>
      <c r="L33" s="240" t="s">
        <v>767</v>
      </c>
      <c r="M33" s="240"/>
      <c r="N33" s="240" t="s">
        <v>432</v>
      </c>
      <c r="O33" s="240"/>
      <c r="P33" s="246">
        <v>2013</v>
      </c>
      <c r="Q33" s="243" t="s">
        <v>782</v>
      </c>
      <c r="R33" s="240"/>
      <c r="S33" s="240"/>
      <c r="T33" s="244"/>
      <c r="U33" s="240"/>
      <c r="V33" s="240"/>
      <c r="W33" s="240"/>
      <c r="X33" s="244"/>
      <c r="Y33" s="240"/>
      <c r="Z33" s="240" t="s">
        <v>367</v>
      </c>
      <c r="AA33" s="240"/>
      <c r="AB33" s="244" t="s">
        <v>377</v>
      </c>
      <c r="AC33" s="240"/>
      <c r="AD33" s="240" t="s">
        <v>367</v>
      </c>
      <c r="AE33" s="240"/>
      <c r="AF33" s="244" t="s">
        <v>377</v>
      </c>
      <c r="AG33" s="240" t="s">
        <v>367</v>
      </c>
      <c r="AH33" s="240"/>
      <c r="AI33" s="244" t="s">
        <v>377</v>
      </c>
      <c r="AJ33" s="199"/>
      <c r="AK33" s="199"/>
      <c r="AL33" s="199"/>
      <c r="AM33" s="198"/>
      <c r="AN33" s="198"/>
      <c r="AO33" s="198"/>
      <c r="AP33" s="198"/>
      <c r="AQ33" s="198"/>
      <c r="AR33" s="198"/>
      <c r="AS33" s="198"/>
      <c r="AT33" s="198"/>
      <c r="AU33" s="198"/>
      <c r="AV33" s="198"/>
      <c r="AW33" s="198"/>
      <c r="AX33" s="198"/>
      <c r="AY33" s="198"/>
    </row>
    <row r="34" spans="1:51" ht="29.4" customHeight="1" x14ac:dyDescent="0.25">
      <c r="A34" s="248"/>
      <c r="B34" s="239" t="s">
        <v>10</v>
      </c>
      <c r="C34" s="239"/>
      <c r="D34" s="240" t="s">
        <v>429</v>
      </c>
      <c r="E34" s="240"/>
      <c r="F34" s="236" t="s">
        <v>784</v>
      </c>
      <c r="G34" s="240"/>
      <c r="H34" s="236" t="s">
        <v>443</v>
      </c>
      <c r="I34" s="240"/>
      <c r="J34" s="241">
        <v>100</v>
      </c>
      <c r="K34" s="240"/>
      <c r="L34" s="240" t="s">
        <v>436</v>
      </c>
      <c r="M34" s="240"/>
      <c r="N34" s="240" t="s">
        <v>432</v>
      </c>
      <c r="O34" s="240"/>
      <c r="P34" s="246">
        <v>2013</v>
      </c>
      <c r="Q34" s="243" t="s">
        <v>782</v>
      </c>
      <c r="R34" s="240"/>
      <c r="S34" s="240"/>
      <c r="T34" s="244"/>
      <c r="U34" s="240"/>
      <c r="V34" s="240"/>
      <c r="W34" s="240"/>
      <c r="X34" s="244"/>
      <c r="Y34" s="240"/>
      <c r="Z34" s="240" t="s">
        <v>367</v>
      </c>
      <c r="AA34" s="240"/>
      <c r="AB34" s="244" t="s">
        <v>377</v>
      </c>
      <c r="AC34" s="240"/>
      <c r="AD34" s="240" t="s">
        <v>367</v>
      </c>
      <c r="AE34" s="240"/>
      <c r="AF34" s="244" t="s">
        <v>377</v>
      </c>
      <c r="AG34" s="240" t="s">
        <v>367</v>
      </c>
      <c r="AH34" s="240"/>
      <c r="AI34" s="244" t="s">
        <v>377</v>
      </c>
      <c r="AJ34" s="199"/>
      <c r="AK34" s="199"/>
      <c r="AL34" s="199"/>
      <c r="AM34" s="198"/>
      <c r="AN34" s="198"/>
      <c r="AO34" s="198"/>
      <c r="AP34" s="198"/>
      <c r="AQ34" s="198"/>
      <c r="AR34" s="198"/>
      <c r="AS34" s="198"/>
      <c r="AT34" s="198"/>
      <c r="AU34" s="198"/>
      <c r="AV34" s="198"/>
      <c r="AW34" s="198"/>
      <c r="AX34" s="198"/>
      <c r="AY34" s="198"/>
    </row>
    <row r="35" spans="1:51" ht="30" customHeight="1" x14ac:dyDescent="0.25">
      <c r="A35" s="248"/>
      <c r="B35" s="239" t="s">
        <v>10</v>
      </c>
      <c r="C35" s="239"/>
      <c r="D35" s="240" t="s">
        <v>429</v>
      </c>
      <c r="E35" s="240"/>
      <c r="F35" s="236" t="s">
        <v>785</v>
      </c>
      <c r="G35" s="240"/>
      <c r="H35" s="236" t="s">
        <v>443</v>
      </c>
      <c r="I35" s="240"/>
      <c r="J35" s="241">
        <v>50</v>
      </c>
      <c r="K35" s="240"/>
      <c r="L35" s="240" t="s">
        <v>767</v>
      </c>
      <c r="M35" s="240"/>
      <c r="N35" s="240" t="s">
        <v>432</v>
      </c>
      <c r="O35" s="240"/>
      <c r="P35" s="246">
        <v>2013</v>
      </c>
      <c r="Q35" s="243" t="s">
        <v>782</v>
      </c>
      <c r="R35" s="240"/>
      <c r="S35" s="240"/>
      <c r="T35" s="244"/>
      <c r="U35" s="240"/>
      <c r="V35" s="240"/>
      <c r="W35" s="240"/>
      <c r="X35" s="244"/>
      <c r="Y35" s="240"/>
      <c r="Z35" s="240" t="s">
        <v>367</v>
      </c>
      <c r="AA35" s="240"/>
      <c r="AB35" s="244" t="s">
        <v>377</v>
      </c>
      <c r="AC35" s="240"/>
      <c r="AD35" s="240" t="s">
        <v>367</v>
      </c>
      <c r="AE35" s="240"/>
      <c r="AF35" s="244" t="s">
        <v>377</v>
      </c>
      <c r="AG35" s="240" t="s">
        <v>367</v>
      </c>
      <c r="AH35" s="240"/>
      <c r="AI35" s="244" t="s">
        <v>377</v>
      </c>
      <c r="AJ35" s="199"/>
      <c r="AK35" s="199"/>
      <c r="AL35" s="199"/>
      <c r="AM35" s="198"/>
      <c r="AN35" s="198"/>
      <c r="AO35" s="198"/>
      <c r="AP35" s="198"/>
      <c r="AQ35" s="198"/>
      <c r="AR35" s="198"/>
      <c r="AS35" s="198"/>
      <c r="AT35" s="198"/>
      <c r="AU35" s="198"/>
      <c r="AV35" s="198"/>
      <c r="AW35" s="198"/>
      <c r="AX35" s="198"/>
      <c r="AY35" s="198"/>
    </row>
    <row r="36" spans="1:51" ht="42" customHeight="1" x14ac:dyDescent="0.25">
      <c r="A36" s="248"/>
      <c r="B36" s="239" t="s">
        <v>10</v>
      </c>
      <c r="C36" s="239"/>
      <c r="D36" s="240" t="s">
        <v>429</v>
      </c>
      <c r="E36" s="240"/>
      <c r="F36" s="236" t="s">
        <v>786</v>
      </c>
      <c r="G36" s="240"/>
      <c r="H36" s="236" t="s">
        <v>772</v>
      </c>
      <c r="I36" s="240"/>
      <c r="J36" s="241">
        <v>150</v>
      </c>
      <c r="K36" s="240"/>
      <c r="L36" s="240" t="s">
        <v>767</v>
      </c>
      <c r="M36" s="240"/>
      <c r="N36" s="240" t="s">
        <v>432</v>
      </c>
      <c r="O36" s="240"/>
      <c r="P36" s="242" t="s">
        <v>781</v>
      </c>
      <c r="Q36" s="243" t="s">
        <v>782</v>
      </c>
      <c r="R36" s="240"/>
      <c r="S36" s="240"/>
      <c r="T36" s="244"/>
      <c r="U36" s="240"/>
      <c r="V36" s="240"/>
      <c r="W36" s="240"/>
      <c r="X36" s="244"/>
      <c r="Y36" s="240"/>
      <c r="Z36" s="240" t="s">
        <v>367</v>
      </c>
      <c r="AA36" s="240"/>
      <c r="AB36" s="244" t="s">
        <v>377</v>
      </c>
      <c r="AC36" s="240"/>
      <c r="AD36" s="240" t="s">
        <v>367</v>
      </c>
      <c r="AE36" s="240"/>
      <c r="AF36" s="244" t="s">
        <v>377</v>
      </c>
      <c r="AG36" s="240" t="s">
        <v>367</v>
      </c>
      <c r="AH36" s="240"/>
      <c r="AI36" s="244" t="s">
        <v>377</v>
      </c>
      <c r="AJ36" s="199"/>
      <c r="AK36" s="199"/>
      <c r="AL36" s="199"/>
      <c r="AM36" s="198"/>
      <c r="AN36" s="198"/>
      <c r="AO36" s="198"/>
      <c r="AP36" s="198"/>
      <c r="AQ36" s="198"/>
      <c r="AR36" s="198"/>
      <c r="AS36" s="198"/>
      <c r="AT36" s="198"/>
      <c r="AU36" s="198"/>
      <c r="AV36" s="198"/>
      <c r="AW36" s="198"/>
      <c r="AX36" s="198"/>
      <c r="AY36" s="198"/>
    </row>
    <row r="37" spans="1:51" ht="30.6" customHeight="1" x14ac:dyDescent="0.25">
      <c r="A37" s="248"/>
      <c r="B37" s="239" t="s">
        <v>10</v>
      </c>
      <c r="C37" s="239"/>
      <c r="D37" s="240" t="s">
        <v>429</v>
      </c>
      <c r="E37" s="240"/>
      <c r="F37" s="236" t="s">
        <v>787</v>
      </c>
      <c r="G37" s="240"/>
      <c r="H37" s="236" t="s">
        <v>772</v>
      </c>
      <c r="I37" s="240"/>
      <c r="J37" s="241">
        <v>50</v>
      </c>
      <c r="K37" s="240"/>
      <c r="L37" s="240" t="s">
        <v>436</v>
      </c>
      <c r="M37" s="240"/>
      <c r="N37" s="240" t="s">
        <v>432</v>
      </c>
      <c r="O37" s="240"/>
      <c r="P37" s="246">
        <v>2013</v>
      </c>
      <c r="Q37" s="243" t="s">
        <v>782</v>
      </c>
      <c r="R37" s="240"/>
      <c r="S37" s="240"/>
      <c r="T37" s="244"/>
      <c r="U37" s="240"/>
      <c r="V37" s="240"/>
      <c r="W37" s="240"/>
      <c r="X37" s="244"/>
      <c r="Y37" s="240"/>
      <c r="Z37" s="240" t="s">
        <v>367</v>
      </c>
      <c r="AA37" s="240"/>
      <c r="AB37" s="244" t="s">
        <v>377</v>
      </c>
      <c r="AC37" s="240"/>
      <c r="AD37" s="240" t="s">
        <v>367</v>
      </c>
      <c r="AE37" s="240"/>
      <c r="AF37" s="244" t="s">
        <v>377</v>
      </c>
      <c r="AG37" s="240" t="s">
        <v>367</v>
      </c>
      <c r="AH37" s="240"/>
      <c r="AI37" s="244" t="s">
        <v>377</v>
      </c>
      <c r="AJ37" s="199"/>
      <c r="AK37" s="199"/>
      <c r="AL37" s="199"/>
      <c r="AM37" s="198"/>
      <c r="AN37" s="198"/>
      <c r="AO37" s="198"/>
      <c r="AP37" s="198"/>
      <c r="AQ37" s="198"/>
      <c r="AR37" s="198"/>
      <c r="AS37" s="198"/>
      <c r="AT37" s="198"/>
      <c r="AU37" s="198"/>
      <c r="AV37" s="198"/>
      <c r="AW37" s="198"/>
      <c r="AX37" s="198"/>
      <c r="AY37" s="198"/>
    </row>
    <row r="38" spans="1:51" ht="39.6" customHeight="1" x14ac:dyDescent="0.25">
      <c r="A38" s="248"/>
      <c r="B38" s="239" t="s">
        <v>10</v>
      </c>
      <c r="C38" s="239"/>
      <c r="D38" s="240" t="s">
        <v>429</v>
      </c>
      <c r="E38" s="240"/>
      <c r="F38" s="236" t="s">
        <v>788</v>
      </c>
      <c r="G38" s="240"/>
      <c r="H38" s="236" t="s">
        <v>772</v>
      </c>
      <c r="I38" s="240"/>
      <c r="J38" s="241">
        <v>25</v>
      </c>
      <c r="K38" s="240"/>
      <c r="L38" s="240" t="s">
        <v>767</v>
      </c>
      <c r="M38" s="240"/>
      <c r="N38" s="240" t="s">
        <v>432</v>
      </c>
      <c r="O38" s="240"/>
      <c r="P38" s="246">
        <v>2013</v>
      </c>
      <c r="Q38" s="243" t="s">
        <v>782</v>
      </c>
      <c r="R38" s="240"/>
      <c r="S38" s="240"/>
      <c r="T38" s="244"/>
      <c r="U38" s="240"/>
      <c r="V38" s="240"/>
      <c r="W38" s="240"/>
      <c r="X38" s="244"/>
      <c r="Y38" s="240"/>
      <c r="Z38" s="240" t="s">
        <v>367</v>
      </c>
      <c r="AA38" s="240"/>
      <c r="AB38" s="244" t="s">
        <v>377</v>
      </c>
      <c r="AC38" s="240"/>
      <c r="AD38" s="240" t="s">
        <v>367</v>
      </c>
      <c r="AE38" s="240"/>
      <c r="AF38" s="244" t="s">
        <v>377</v>
      </c>
      <c r="AG38" s="240" t="s">
        <v>367</v>
      </c>
      <c r="AH38" s="240"/>
      <c r="AI38" s="244" t="s">
        <v>377</v>
      </c>
      <c r="AJ38" s="199"/>
      <c r="AK38" s="199"/>
      <c r="AL38" s="199"/>
      <c r="AM38" s="198"/>
      <c r="AN38" s="198"/>
      <c r="AO38" s="198"/>
      <c r="AP38" s="198"/>
      <c r="AQ38" s="198"/>
      <c r="AR38" s="198"/>
      <c r="AS38" s="198"/>
      <c r="AT38" s="198"/>
      <c r="AU38" s="198"/>
      <c r="AV38" s="198"/>
      <c r="AW38" s="198"/>
      <c r="AX38" s="198"/>
      <c r="AY38" s="198"/>
    </row>
    <row r="39" spans="1:51" ht="30" customHeight="1" x14ac:dyDescent="0.25">
      <c r="A39" s="248"/>
      <c r="B39" s="239" t="s">
        <v>10</v>
      </c>
      <c r="C39" s="239"/>
      <c r="D39" s="240" t="s">
        <v>429</v>
      </c>
      <c r="E39" s="240"/>
      <c r="F39" s="236" t="s">
        <v>789</v>
      </c>
      <c r="G39" s="240"/>
      <c r="H39" s="236" t="s">
        <v>772</v>
      </c>
      <c r="I39" s="240"/>
      <c r="J39" s="241">
        <v>50</v>
      </c>
      <c r="K39" s="240"/>
      <c r="L39" s="240" t="s">
        <v>419</v>
      </c>
      <c r="M39" s="240"/>
      <c r="N39" s="240" t="s">
        <v>432</v>
      </c>
      <c r="O39" s="240"/>
      <c r="P39" s="246">
        <v>2013</v>
      </c>
      <c r="Q39" s="243" t="s">
        <v>782</v>
      </c>
      <c r="R39" s="240"/>
      <c r="S39" s="240"/>
      <c r="T39" s="244"/>
      <c r="U39" s="240"/>
      <c r="V39" s="240"/>
      <c r="W39" s="240"/>
      <c r="X39" s="244"/>
      <c r="Y39" s="240"/>
      <c r="Z39" s="240" t="s">
        <v>367</v>
      </c>
      <c r="AA39" s="240"/>
      <c r="AB39" s="244" t="s">
        <v>377</v>
      </c>
      <c r="AC39" s="240"/>
      <c r="AD39" s="240" t="s">
        <v>367</v>
      </c>
      <c r="AE39" s="240"/>
      <c r="AF39" s="244" t="s">
        <v>377</v>
      </c>
      <c r="AG39" s="240" t="s">
        <v>367</v>
      </c>
      <c r="AH39" s="240"/>
      <c r="AI39" s="244" t="s">
        <v>377</v>
      </c>
      <c r="AJ39" s="199"/>
      <c r="AK39" s="199"/>
      <c r="AL39" s="199"/>
      <c r="AM39" s="198"/>
      <c r="AN39" s="198"/>
      <c r="AO39" s="198"/>
      <c r="AP39" s="198"/>
      <c r="AQ39" s="198"/>
      <c r="AR39" s="198"/>
      <c r="AS39" s="198"/>
      <c r="AT39" s="198"/>
      <c r="AU39" s="198"/>
      <c r="AV39" s="198"/>
      <c r="AW39" s="198"/>
      <c r="AX39" s="198"/>
      <c r="AY39" s="198"/>
    </row>
    <row r="40" spans="1:51" ht="52.95" customHeight="1" x14ac:dyDescent="0.25">
      <c r="A40" s="248"/>
      <c r="B40" s="225" t="s">
        <v>10</v>
      </c>
      <c r="C40" s="199"/>
      <c r="D40" s="226" t="s">
        <v>429</v>
      </c>
      <c r="E40" s="227"/>
      <c r="F40" s="228" t="s">
        <v>450</v>
      </c>
      <c r="G40" s="226"/>
      <c r="H40" s="228" t="s">
        <v>451</v>
      </c>
      <c r="I40" s="226"/>
      <c r="J40" s="229" t="s">
        <v>452</v>
      </c>
      <c r="K40" s="227"/>
      <c r="L40" s="226" t="s">
        <v>453</v>
      </c>
      <c r="M40" s="227"/>
      <c r="N40" s="226" t="s">
        <v>440</v>
      </c>
      <c r="O40" s="227"/>
      <c r="P40" s="232" t="s">
        <v>548</v>
      </c>
      <c r="Q40" s="230" t="s">
        <v>454</v>
      </c>
      <c r="R40" s="227" t="s">
        <v>367</v>
      </c>
      <c r="S40" s="227"/>
      <c r="T40" s="231">
        <v>295000</v>
      </c>
      <c r="U40" s="227"/>
      <c r="V40" s="226">
        <v>262</v>
      </c>
      <c r="W40" s="227"/>
      <c r="X40" s="231">
        <v>67760</v>
      </c>
      <c r="Y40" s="227"/>
      <c r="Z40" s="227">
        <v>339</v>
      </c>
      <c r="AA40" s="227"/>
      <c r="AB40" s="231">
        <v>386352</v>
      </c>
      <c r="AC40" s="227"/>
      <c r="AD40" s="226">
        <v>326</v>
      </c>
      <c r="AE40" s="227"/>
      <c r="AF40" s="231">
        <v>528410</v>
      </c>
      <c r="AG40" s="226">
        <v>294</v>
      </c>
      <c r="AH40" s="227"/>
      <c r="AI40" s="231">
        <v>485831</v>
      </c>
      <c r="AJ40" s="249"/>
      <c r="AK40" s="199"/>
      <c r="AL40" s="250" t="s">
        <v>441</v>
      </c>
      <c r="AM40" s="198"/>
      <c r="AN40" s="198"/>
      <c r="AO40" s="198"/>
      <c r="AP40" s="198"/>
      <c r="AQ40" s="198"/>
      <c r="AR40" s="198"/>
      <c r="AS40" s="198"/>
      <c r="AT40" s="198"/>
      <c r="AU40" s="198"/>
      <c r="AV40" s="198"/>
      <c r="AW40" s="198"/>
      <c r="AX40" s="198"/>
      <c r="AY40" s="198"/>
    </row>
    <row r="41" spans="1:51" ht="34.950000000000003" customHeight="1" x14ac:dyDescent="0.25">
      <c r="A41" s="248"/>
      <c r="B41" s="225" t="s">
        <v>10</v>
      </c>
      <c r="C41" s="199"/>
      <c r="D41" s="226" t="s">
        <v>429</v>
      </c>
      <c r="E41" s="227"/>
      <c r="F41" s="228" t="s">
        <v>455</v>
      </c>
      <c r="G41" s="226"/>
      <c r="H41" s="228" t="s">
        <v>451</v>
      </c>
      <c r="I41" s="226"/>
      <c r="J41" s="226" t="s">
        <v>456</v>
      </c>
      <c r="K41" s="227"/>
      <c r="L41" s="226" t="s">
        <v>453</v>
      </c>
      <c r="M41" s="227"/>
      <c r="N41" s="226" t="s">
        <v>440</v>
      </c>
      <c r="O41" s="227"/>
      <c r="P41" s="232" t="s">
        <v>548</v>
      </c>
      <c r="Q41" s="230" t="s">
        <v>454</v>
      </c>
      <c r="R41" s="227" t="s">
        <v>367</v>
      </c>
      <c r="S41" s="227"/>
      <c r="T41" s="231" t="s">
        <v>377</v>
      </c>
      <c r="U41" s="227"/>
      <c r="V41" s="226">
        <v>123</v>
      </c>
      <c r="W41" s="227"/>
      <c r="X41" s="231">
        <v>246000</v>
      </c>
      <c r="Y41" s="227"/>
      <c r="Z41" s="226" t="s">
        <v>367</v>
      </c>
      <c r="AA41" s="227"/>
      <c r="AB41" s="231" t="s">
        <v>668</v>
      </c>
      <c r="AC41" s="227"/>
      <c r="AD41" s="226" t="s">
        <v>367</v>
      </c>
      <c r="AE41" s="227"/>
      <c r="AF41" s="231" t="s">
        <v>668</v>
      </c>
      <c r="AG41" s="226" t="s">
        <v>367</v>
      </c>
      <c r="AH41" s="227"/>
      <c r="AI41" s="231" t="s">
        <v>668</v>
      </c>
      <c r="AJ41" s="249"/>
      <c r="AK41" s="199"/>
      <c r="AL41" s="250" t="s">
        <v>441</v>
      </c>
      <c r="AM41" s="198"/>
      <c r="AN41" s="198"/>
      <c r="AO41" s="198"/>
      <c r="AP41" s="198"/>
      <c r="AQ41" s="198"/>
      <c r="AR41" s="198"/>
      <c r="AS41" s="198"/>
      <c r="AT41" s="198"/>
      <c r="AU41" s="198"/>
      <c r="AV41" s="198"/>
      <c r="AW41" s="198"/>
      <c r="AX41" s="198"/>
      <c r="AY41" s="198"/>
    </row>
    <row r="42" spans="1:51" ht="34.950000000000003" customHeight="1" x14ac:dyDescent="0.25">
      <c r="A42" s="248"/>
      <c r="B42" s="225" t="s">
        <v>10</v>
      </c>
      <c r="C42" s="199"/>
      <c r="D42" s="226" t="s">
        <v>429</v>
      </c>
      <c r="E42" s="227"/>
      <c r="F42" s="228" t="s">
        <v>790</v>
      </c>
      <c r="G42" s="226"/>
      <c r="H42" s="228" t="s">
        <v>451</v>
      </c>
      <c r="I42" s="226"/>
      <c r="J42" s="229">
        <v>100</v>
      </c>
      <c r="K42" s="227"/>
      <c r="L42" s="226" t="s">
        <v>453</v>
      </c>
      <c r="M42" s="227"/>
      <c r="N42" s="226" t="s">
        <v>440</v>
      </c>
      <c r="O42" s="227"/>
      <c r="P42" s="232" t="s">
        <v>548</v>
      </c>
      <c r="Q42" s="230" t="s">
        <v>454</v>
      </c>
      <c r="R42" s="227" t="s">
        <v>367</v>
      </c>
      <c r="S42" s="227"/>
      <c r="T42" s="231">
        <v>65900</v>
      </c>
      <c r="U42" s="227"/>
      <c r="V42" s="226"/>
      <c r="W42" s="227"/>
      <c r="X42" s="231">
        <v>74200</v>
      </c>
      <c r="Y42" s="227"/>
      <c r="Z42" s="227">
        <v>167</v>
      </c>
      <c r="AA42" s="227"/>
      <c r="AB42" s="231">
        <v>62503</v>
      </c>
      <c r="AC42" s="227"/>
      <c r="AD42" s="226">
        <v>166</v>
      </c>
      <c r="AE42" s="227"/>
      <c r="AF42" s="231">
        <v>47900</v>
      </c>
      <c r="AG42" s="226">
        <v>146</v>
      </c>
      <c r="AH42" s="227"/>
      <c r="AI42" s="231">
        <v>44700</v>
      </c>
      <c r="AJ42" s="249"/>
      <c r="AK42" s="199"/>
      <c r="AL42" s="250" t="s">
        <v>441</v>
      </c>
      <c r="AM42" s="198"/>
      <c r="AN42" s="198"/>
      <c r="AO42" s="198"/>
      <c r="AP42" s="198"/>
      <c r="AQ42" s="198"/>
      <c r="AR42" s="198"/>
      <c r="AS42" s="198"/>
      <c r="AT42" s="198"/>
      <c r="AU42" s="198"/>
      <c r="AV42" s="198"/>
      <c r="AW42" s="198"/>
      <c r="AX42" s="198"/>
      <c r="AY42" s="198"/>
    </row>
    <row r="43" spans="1:51" ht="34.950000000000003" customHeight="1" x14ac:dyDescent="0.25">
      <c r="A43" s="248"/>
      <c r="B43" s="225" t="s">
        <v>10</v>
      </c>
      <c r="C43" s="199"/>
      <c r="D43" s="226" t="s">
        <v>429</v>
      </c>
      <c r="E43" s="227"/>
      <c r="F43" s="228" t="s">
        <v>791</v>
      </c>
      <c r="G43" s="226"/>
      <c r="H43" s="228" t="s">
        <v>451</v>
      </c>
      <c r="I43" s="226"/>
      <c r="J43" s="229">
        <v>200</v>
      </c>
      <c r="K43" s="227"/>
      <c r="L43" s="226" t="s">
        <v>453</v>
      </c>
      <c r="M43" s="227"/>
      <c r="N43" s="226" t="s">
        <v>440</v>
      </c>
      <c r="O43" s="227"/>
      <c r="P43" s="232" t="s">
        <v>548</v>
      </c>
      <c r="Q43" s="230" t="s">
        <v>454</v>
      </c>
      <c r="R43" s="227"/>
      <c r="S43" s="227"/>
      <c r="T43" s="231" t="s">
        <v>377</v>
      </c>
      <c r="U43" s="227"/>
      <c r="V43" s="226"/>
      <c r="W43" s="227"/>
      <c r="X43" s="231" t="s">
        <v>668</v>
      </c>
      <c r="Y43" s="227"/>
      <c r="Z43" s="226" t="s">
        <v>367</v>
      </c>
      <c r="AA43" s="227"/>
      <c r="AB43" s="231" t="s">
        <v>668</v>
      </c>
      <c r="AC43" s="227"/>
      <c r="AD43" s="226" t="s">
        <v>367</v>
      </c>
      <c r="AE43" s="227"/>
      <c r="AF43" s="231" t="s">
        <v>668</v>
      </c>
      <c r="AG43" s="226" t="s">
        <v>367</v>
      </c>
      <c r="AH43" s="227"/>
      <c r="AI43" s="231" t="s">
        <v>668</v>
      </c>
      <c r="AJ43" s="249"/>
      <c r="AK43" s="199"/>
      <c r="AL43" s="199"/>
      <c r="AM43" s="198"/>
      <c r="AN43" s="198"/>
      <c r="AO43" s="198"/>
      <c r="AP43" s="198"/>
      <c r="AQ43" s="198"/>
      <c r="AR43" s="198"/>
      <c r="AS43" s="198"/>
      <c r="AT43" s="198"/>
      <c r="AU43" s="198"/>
      <c r="AV43" s="198"/>
      <c r="AW43" s="198"/>
      <c r="AX43" s="198"/>
      <c r="AY43" s="198"/>
    </row>
    <row r="44" spans="1:51" ht="34.950000000000003" customHeight="1" x14ac:dyDescent="0.25">
      <c r="A44" s="248"/>
      <c r="B44" s="225" t="s">
        <v>10</v>
      </c>
      <c r="C44" s="199"/>
      <c r="D44" s="226" t="s">
        <v>429</v>
      </c>
      <c r="E44" s="227"/>
      <c r="F44" s="228" t="s">
        <v>457</v>
      </c>
      <c r="G44" s="226"/>
      <c r="H44" s="228" t="s">
        <v>451</v>
      </c>
      <c r="I44" s="226"/>
      <c r="J44" s="229">
        <v>400</v>
      </c>
      <c r="K44" s="227"/>
      <c r="L44" s="226" t="s">
        <v>453</v>
      </c>
      <c r="M44" s="227"/>
      <c r="N44" s="226" t="s">
        <v>440</v>
      </c>
      <c r="O44" s="227"/>
      <c r="P44" s="232" t="s">
        <v>548</v>
      </c>
      <c r="Q44" s="230" t="s">
        <v>454</v>
      </c>
      <c r="R44" s="227"/>
      <c r="S44" s="227"/>
      <c r="T44" s="231" t="s">
        <v>377</v>
      </c>
      <c r="U44" s="227"/>
      <c r="V44" s="226"/>
      <c r="W44" s="227"/>
      <c r="X44" s="231" t="s">
        <v>668</v>
      </c>
      <c r="Y44" s="227"/>
      <c r="Z44" s="226" t="s">
        <v>367</v>
      </c>
      <c r="AA44" s="227"/>
      <c r="AB44" s="231" t="s">
        <v>668</v>
      </c>
      <c r="AC44" s="227"/>
      <c r="AD44" s="226" t="s">
        <v>367</v>
      </c>
      <c r="AE44" s="227"/>
      <c r="AF44" s="231" t="s">
        <v>668</v>
      </c>
      <c r="AG44" s="226" t="s">
        <v>367</v>
      </c>
      <c r="AH44" s="227"/>
      <c r="AI44" s="231" t="s">
        <v>668</v>
      </c>
      <c r="AJ44" s="249"/>
      <c r="AK44" s="199"/>
      <c r="AL44" s="199"/>
      <c r="AM44" s="198"/>
      <c r="AN44" s="198"/>
      <c r="AO44" s="198"/>
      <c r="AP44" s="198"/>
      <c r="AQ44" s="198"/>
      <c r="AR44" s="198"/>
      <c r="AS44" s="198"/>
      <c r="AT44" s="198"/>
      <c r="AU44" s="198"/>
      <c r="AV44" s="198"/>
      <c r="AW44" s="198"/>
      <c r="AX44" s="198"/>
      <c r="AY44" s="198"/>
    </row>
    <row r="45" spans="1:51" ht="34.950000000000003" customHeight="1" x14ac:dyDescent="0.25">
      <c r="A45" s="248"/>
      <c r="B45" s="225" t="s">
        <v>10</v>
      </c>
      <c r="C45" s="199"/>
      <c r="D45" s="226" t="s">
        <v>429</v>
      </c>
      <c r="E45" s="227"/>
      <c r="F45" s="228" t="s">
        <v>792</v>
      </c>
      <c r="G45" s="226"/>
      <c r="H45" s="228" t="s">
        <v>451</v>
      </c>
      <c r="I45" s="226"/>
      <c r="J45" s="229">
        <v>100</v>
      </c>
      <c r="K45" s="227"/>
      <c r="L45" s="226" t="s">
        <v>453</v>
      </c>
      <c r="M45" s="227"/>
      <c r="N45" s="226" t="s">
        <v>440</v>
      </c>
      <c r="O45" s="227"/>
      <c r="P45" s="232" t="s">
        <v>548</v>
      </c>
      <c r="Q45" s="230" t="s">
        <v>454</v>
      </c>
      <c r="R45" s="227"/>
      <c r="S45" s="227"/>
      <c r="T45" s="231">
        <v>52100</v>
      </c>
      <c r="U45" s="227"/>
      <c r="V45" s="226"/>
      <c r="W45" s="227"/>
      <c r="X45" s="231">
        <v>59225</v>
      </c>
      <c r="Y45" s="227"/>
      <c r="Z45" s="227">
        <v>223</v>
      </c>
      <c r="AA45" s="227"/>
      <c r="AB45" s="231">
        <v>53300</v>
      </c>
      <c r="AC45" s="227"/>
      <c r="AD45" s="226">
        <v>163</v>
      </c>
      <c r="AE45" s="227"/>
      <c r="AF45" s="231">
        <v>43300</v>
      </c>
      <c r="AG45" s="226">
        <v>186</v>
      </c>
      <c r="AH45" s="227"/>
      <c r="AI45" s="231">
        <v>42620</v>
      </c>
      <c r="AJ45" s="249"/>
      <c r="AK45" s="199"/>
      <c r="AL45" s="199"/>
      <c r="AM45" s="198"/>
      <c r="AN45" s="198"/>
      <c r="AO45" s="198"/>
      <c r="AP45" s="198"/>
      <c r="AQ45" s="198"/>
      <c r="AR45" s="198"/>
      <c r="AS45" s="198"/>
      <c r="AT45" s="198"/>
      <c r="AU45" s="198"/>
      <c r="AV45" s="198"/>
      <c r="AW45" s="198"/>
      <c r="AX45" s="198"/>
      <c r="AY45" s="198"/>
    </row>
    <row r="46" spans="1:51" ht="34.950000000000003" customHeight="1" x14ac:dyDescent="0.25">
      <c r="A46" s="248"/>
      <c r="B46" s="225" t="s">
        <v>10</v>
      </c>
      <c r="C46" s="199"/>
      <c r="D46" s="226" t="s">
        <v>429</v>
      </c>
      <c r="E46" s="227"/>
      <c r="F46" s="228" t="s">
        <v>793</v>
      </c>
      <c r="G46" s="226"/>
      <c r="H46" s="228" t="s">
        <v>451</v>
      </c>
      <c r="I46" s="226"/>
      <c r="J46" s="229">
        <v>200</v>
      </c>
      <c r="K46" s="227"/>
      <c r="L46" s="226" t="s">
        <v>453</v>
      </c>
      <c r="M46" s="227"/>
      <c r="N46" s="226" t="s">
        <v>440</v>
      </c>
      <c r="O46" s="227"/>
      <c r="P46" s="232" t="s">
        <v>548</v>
      </c>
      <c r="Q46" s="230" t="s">
        <v>454</v>
      </c>
      <c r="R46" s="227"/>
      <c r="S46" s="227"/>
      <c r="T46" s="231" t="s">
        <v>377</v>
      </c>
      <c r="U46" s="227"/>
      <c r="V46" s="226"/>
      <c r="W46" s="227"/>
      <c r="X46" s="231" t="s">
        <v>668</v>
      </c>
      <c r="Y46" s="227"/>
      <c r="Z46" s="226" t="s">
        <v>367</v>
      </c>
      <c r="AA46" s="227"/>
      <c r="AB46" s="231" t="s">
        <v>668</v>
      </c>
      <c r="AC46" s="227"/>
      <c r="AD46" s="226" t="s">
        <v>367</v>
      </c>
      <c r="AE46" s="227"/>
      <c r="AF46" s="231" t="s">
        <v>668</v>
      </c>
      <c r="AG46" s="226" t="s">
        <v>367</v>
      </c>
      <c r="AH46" s="227"/>
      <c r="AI46" s="231" t="s">
        <v>668</v>
      </c>
      <c r="AJ46" s="249"/>
      <c r="AK46" s="199"/>
      <c r="AL46" s="199"/>
      <c r="AM46" s="198"/>
      <c r="AN46" s="198"/>
      <c r="AO46" s="198"/>
      <c r="AP46" s="198"/>
      <c r="AQ46" s="198"/>
      <c r="AR46" s="198"/>
      <c r="AS46" s="198"/>
      <c r="AT46" s="198"/>
      <c r="AU46" s="198"/>
      <c r="AV46" s="198"/>
      <c r="AW46" s="198"/>
      <c r="AX46" s="198"/>
      <c r="AY46" s="198"/>
    </row>
    <row r="47" spans="1:51" ht="34.950000000000003" customHeight="1" x14ac:dyDescent="0.25">
      <c r="A47" s="248"/>
      <c r="B47" s="225" t="s">
        <v>10</v>
      </c>
      <c r="C47" s="199"/>
      <c r="D47" s="226" t="s">
        <v>429</v>
      </c>
      <c r="E47" s="227"/>
      <c r="F47" s="228" t="s">
        <v>458</v>
      </c>
      <c r="G47" s="226"/>
      <c r="H47" s="228" t="s">
        <v>451</v>
      </c>
      <c r="I47" s="226"/>
      <c r="J47" s="229">
        <v>400</v>
      </c>
      <c r="K47" s="227"/>
      <c r="L47" s="226" t="s">
        <v>453</v>
      </c>
      <c r="M47" s="227"/>
      <c r="N47" s="226" t="s">
        <v>440</v>
      </c>
      <c r="O47" s="227"/>
      <c r="P47" s="232" t="s">
        <v>548</v>
      </c>
      <c r="Q47" s="230" t="s">
        <v>454</v>
      </c>
      <c r="R47" s="227"/>
      <c r="S47" s="227"/>
      <c r="T47" s="231" t="s">
        <v>377</v>
      </c>
      <c r="U47" s="227"/>
      <c r="V47" s="226"/>
      <c r="W47" s="227"/>
      <c r="X47" s="231" t="s">
        <v>668</v>
      </c>
      <c r="Y47" s="227"/>
      <c r="Z47" s="226" t="s">
        <v>367</v>
      </c>
      <c r="AA47" s="227"/>
      <c r="AB47" s="231" t="s">
        <v>668</v>
      </c>
      <c r="AC47" s="227"/>
      <c r="AD47" s="226" t="s">
        <v>367</v>
      </c>
      <c r="AE47" s="227"/>
      <c r="AF47" s="231" t="s">
        <v>668</v>
      </c>
      <c r="AG47" s="226" t="s">
        <v>367</v>
      </c>
      <c r="AH47" s="227"/>
      <c r="AI47" s="231" t="s">
        <v>668</v>
      </c>
      <c r="AJ47" s="249"/>
      <c r="AK47" s="199"/>
      <c r="AL47" s="199"/>
      <c r="AM47" s="198"/>
      <c r="AN47" s="198"/>
      <c r="AO47" s="198"/>
      <c r="AP47" s="198"/>
      <c r="AQ47" s="198"/>
      <c r="AR47" s="198"/>
      <c r="AS47" s="198"/>
      <c r="AT47" s="198"/>
      <c r="AU47" s="198"/>
      <c r="AV47" s="198"/>
      <c r="AW47" s="198"/>
      <c r="AX47" s="198"/>
      <c r="AY47" s="198"/>
    </row>
    <row r="48" spans="1:51" ht="34.950000000000003" customHeight="1" x14ac:dyDescent="0.25">
      <c r="A48" s="248"/>
      <c r="B48" s="225" t="s">
        <v>10</v>
      </c>
      <c r="C48" s="199"/>
      <c r="D48" s="226" t="s">
        <v>429</v>
      </c>
      <c r="E48" s="227"/>
      <c r="F48" s="228" t="s">
        <v>459</v>
      </c>
      <c r="G48" s="226"/>
      <c r="H48" s="199"/>
      <c r="I48" s="226"/>
      <c r="J48" s="226" t="s">
        <v>460</v>
      </c>
      <c r="K48" s="227"/>
      <c r="L48" s="226" t="s">
        <v>461</v>
      </c>
      <c r="M48" s="227"/>
      <c r="N48" s="226" t="s">
        <v>440</v>
      </c>
      <c r="O48" s="227"/>
      <c r="P48" s="232" t="s">
        <v>547</v>
      </c>
      <c r="Q48" s="230" t="s">
        <v>462</v>
      </c>
      <c r="R48" s="227"/>
      <c r="S48" s="227"/>
      <c r="T48" s="231">
        <v>18887</v>
      </c>
      <c r="U48" s="227"/>
      <c r="V48" s="226">
        <v>18</v>
      </c>
      <c r="W48" s="227"/>
      <c r="X48" s="231">
        <v>13725</v>
      </c>
      <c r="Y48" s="227"/>
      <c r="Z48" s="226" t="s">
        <v>367</v>
      </c>
      <c r="AA48" s="227"/>
      <c r="AB48" s="231" t="s">
        <v>668</v>
      </c>
      <c r="AC48" s="227"/>
      <c r="AD48" s="226" t="s">
        <v>367</v>
      </c>
      <c r="AE48" s="227"/>
      <c r="AF48" s="231" t="s">
        <v>668</v>
      </c>
      <c r="AG48" s="226" t="s">
        <v>367</v>
      </c>
      <c r="AH48" s="227"/>
      <c r="AI48" s="231" t="s">
        <v>668</v>
      </c>
      <c r="AJ48" s="249"/>
      <c r="AK48" s="199"/>
      <c r="AL48" s="250" t="s">
        <v>441</v>
      </c>
      <c r="AM48" s="198"/>
      <c r="AN48" s="198"/>
      <c r="AO48" s="198"/>
      <c r="AP48" s="198"/>
      <c r="AQ48" s="198"/>
      <c r="AR48" s="198"/>
      <c r="AS48" s="198"/>
      <c r="AT48" s="198"/>
      <c r="AU48" s="198"/>
      <c r="AV48" s="198"/>
      <c r="AW48" s="198"/>
      <c r="AX48" s="198"/>
      <c r="AY48" s="198"/>
    </row>
    <row r="49" spans="1:51" ht="34.950000000000003" customHeight="1" x14ac:dyDescent="0.25">
      <c r="A49" s="248"/>
      <c r="B49" s="225" t="s">
        <v>10</v>
      </c>
      <c r="C49" s="199"/>
      <c r="D49" s="226" t="s">
        <v>429</v>
      </c>
      <c r="E49" s="227"/>
      <c r="F49" s="228" t="s">
        <v>463</v>
      </c>
      <c r="G49" s="226"/>
      <c r="H49" s="199"/>
      <c r="I49" s="226"/>
      <c r="J49" s="226">
        <v>900</v>
      </c>
      <c r="K49" s="227"/>
      <c r="L49" s="226" t="s">
        <v>461</v>
      </c>
      <c r="M49" s="227"/>
      <c r="N49" s="226" t="s">
        <v>440</v>
      </c>
      <c r="O49" s="227"/>
      <c r="P49" s="232" t="s">
        <v>547</v>
      </c>
      <c r="Q49" s="230" t="s">
        <v>462</v>
      </c>
      <c r="R49" s="227"/>
      <c r="S49" s="227"/>
      <c r="T49" s="231">
        <v>7200</v>
      </c>
      <c r="U49" s="227"/>
      <c r="V49" s="226">
        <v>11</v>
      </c>
      <c r="W49" s="227"/>
      <c r="X49" s="231">
        <v>9900</v>
      </c>
      <c r="Y49" s="227"/>
      <c r="Z49" s="226" t="s">
        <v>367</v>
      </c>
      <c r="AA49" s="227"/>
      <c r="AB49" s="231" t="s">
        <v>668</v>
      </c>
      <c r="AC49" s="227"/>
      <c r="AD49" s="226" t="s">
        <v>367</v>
      </c>
      <c r="AE49" s="227"/>
      <c r="AF49" s="231" t="s">
        <v>668</v>
      </c>
      <c r="AG49" s="226" t="s">
        <v>367</v>
      </c>
      <c r="AH49" s="227"/>
      <c r="AI49" s="231" t="s">
        <v>668</v>
      </c>
      <c r="AJ49" s="249"/>
      <c r="AK49" s="199"/>
      <c r="AL49" s="199"/>
      <c r="AM49" s="199"/>
      <c r="AN49" s="199"/>
      <c r="AO49" s="199"/>
      <c r="AP49" s="199"/>
      <c r="AQ49" s="199"/>
      <c r="AR49" s="198"/>
      <c r="AS49" s="198"/>
      <c r="AT49" s="198"/>
      <c r="AU49" s="198"/>
      <c r="AV49" s="198"/>
      <c r="AW49" s="198"/>
      <c r="AX49" s="198"/>
      <c r="AY49" s="198"/>
    </row>
    <row r="50" spans="1:51" ht="34.950000000000003" customHeight="1" x14ac:dyDescent="0.25">
      <c r="A50" s="248"/>
      <c r="B50" s="225" t="s">
        <v>10</v>
      </c>
      <c r="C50" s="199"/>
      <c r="D50" s="226" t="s">
        <v>429</v>
      </c>
      <c r="E50" s="227"/>
      <c r="F50" s="228" t="s">
        <v>464</v>
      </c>
      <c r="G50" s="226"/>
      <c r="H50" s="199"/>
      <c r="I50" s="226"/>
      <c r="J50" s="226" t="s">
        <v>460</v>
      </c>
      <c r="K50" s="227"/>
      <c r="L50" s="226" t="s">
        <v>461</v>
      </c>
      <c r="M50" s="227"/>
      <c r="N50" s="226" t="s">
        <v>440</v>
      </c>
      <c r="O50" s="227"/>
      <c r="P50" s="232" t="s">
        <v>547</v>
      </c>
      <c r="Q50" s="230" t="s">
        <v>465</v>
      </c>
      <c r="R50" s="227"/>
      <c r="S50" s="227"/>
      <c r="T50" s="231">
        <v>41928</v>
      </c>
      <c r="U50" s="227"/>
      <c r="V50" s="226">
        <v>110</v>
      </c>
      <c r="W50" s="227"/>
      <c r="X50" s="231">
        <v>72765</v>
      </c>
      <c r="Y50" s="227"/>
      <c r="Z50" s="226" t="s">
        <v>367</v>
      </c>
      <c r="AA50" s="227"/>
      <c r="AB50" s="231" t="s">
        <v>668</v>
      </c>
      <c r="AC50" s="227"/>
      <c r="AD50" s="226" t="s">
        <v>367</v>
      </c>
      <c r="AE50" s="227"/>
      <c r="AF50" s="231" t="s">
        <v>668</v>
      </c>
      <c r="AG50" s="226" t="s">
        <v>367</v>
      </c>
      <c r="AH50" s="227"/>
      <c r="AI50" s="231" t="s">
        <v>668</v>
      </c>
      <c r="AJ50" s="249"/>
      <c r="AK50" s="199"/>
      <c r="AL50" s="199"/>
      <c r="AM50" s="199"/>
      <c r="AN50" s="199"/>
      <c r="AO50" s="199"/>
      <c r="AP50" s="199"/>
      <c r="AQ50" s="199"/>
      <c r="AR50" s="198"/>
      <c r="AS50" s="198"/>
      <c r="AT50" s="198"/>
      <c r="AU50" s="198"/>
      <c r="AV50" s="198"/>
      <c r="AW50" s="198"/>
      <c r="AX50" s="198"/>
      <c r="AY50" s="198"/>
    </row>
    <row r="51" spans="1:51" ht="34.950000000000003" customHeight="1" x14ac:dyDescent="0.25">
      <c r="A51" s="248"/>
      <c r="B51" s="225" t="s">
        <v>10</v>
      </c>
      <c r="C51" s="199"/>
      <c r="D51" s="226" t="s">
        <v>429</v>
      </c>
      <c r="E51" s="227"/>
      <c r="F51" s="228" t="s">
        <v>466</v>
      </c>
      <c r="G51" s="226"/>
      <c r="H51" s="199"/>
      <c r="I51" s="226"/>
      <c r="J51" s="229">
        <v>25</v>
      </c>
      <c r="K51" s="227"/>
      <c r="L51" s="226" t="s">
        <v>461</v>
      </c>
      <c r="M51" s="227"/>
      <c r="N51" s="226" t="s">
        <v>440</v>
      </c>
      <c r="O51" s="227"/>
      <c r="P51" s="226" t="s">
        <v>467</v>
      </c>
      <c r="Q51" s="230" t="s">
        <v>468</v>
      </c>
      <c r="R51" s="227"/>
      <c r="S51" s="227"/>
      <c r="T51" s="231">
        <v>1615</v>
      </c>
      <c r="U51" s="227"/>
      <c r="V51" s="226"/>
      <c r="W51" s="227"/>
      <c r="X51" s="231">
        <v>350</v>
      </c>
      <c r="Y51" s="227"/>
      <c r="Z51" s="226" t="s">
        <v>367</v>
      </c>
      <c r="AA51" s="227"/>
      <c r="AB51" s="231" t="s">
        <v>668</v>
      </c>
      <c r="AC51" s="227"/>
      <c r="AD51" s="226" t="s">
        <v>367</v>
      </c>
      <c r="AE51" s="227"/>
      <c r="AF51" s="231" t="s">
        <v>668</v>
      </c>
      <c r="AG51" s="226" t="s">
        <v>367</v>
      </c>
      <c r="AH51" s="227"/>
      <c r="AI51" s="231" t="s">
        <v>668</v>
      </c>
      <c r="AJ51" s="249"/>
      <c r="AK51" s="199"/>
      <c r="AL51" s="250" t="s">
        <v>441</v>
      </c>
      <c r="AM51" s="199"/>
      <c r="AN51" s="199"/>
      <c r="AO51" s="199"/>
      <c r="AP51" s="199"/>
      <c r="AQ51" s="199"/>
      <c r="AR51" s="198"/>
      <c r="AS51" s="198"/>
      <c r="AT51" s="198"/>
      <c r="AU51" s="198"/>
      <c r="AV51" s="198"/>
      <c r="AW51" s="198"/>
      <c r="AX51" s="198"/>
      <c r="AY51" s="198"/>
    </row>
    <row r="52" spans="1:51" ht="64.2" customHeight="1" x14ac:dyDescent="0.2">
      <c r="A52" s="248"/>
      <c r="B52" s="225" t="s">
        <v>10</v>
      </c>
      <c r="C52" s="224"/>
      <c r="D52" s="226" t="s">
        <v>429</v>
      </c>
      <c r="E52" s="227"/>
      <c r="F52" s="228" t="s">
        <v>469</v>
      </c>
      <c r="G52" s="226"/>
      <c r="H52" s="228"/>
      <c r="I52" s="226"/>
      <c r="J52" s="229">
        <v>25</v>
      </c>
      <c r="K52" s="227"/>
      <c r="L52" s="226" t="s">
        <v>419</v>
      </c>
      <c r="M52" s="227"/>
      <c r="N52" s="226" t="s">
        <v>432</v>
      </c>
      <c r="O52" s="227"/>
      <c r="P52" s="226" t="s">
        <v>467</v>
      </c>
      <c r="Q52" s="230" t="s">
        <v>470</v>
      </c>
      <c r="R52" s="227"/>
      <c r="S52" s="227"/>
      <c r="T52" s="231">
        <v>31390</v>
      </c>
      <c r="U52" s="227"/>
      <c r="V52" s="226"/>
      <c r="W52" s="227"/>
      <c r="X52" s="231">
        <v>49025</v>
      </c>
      <c r="Y52" s="227"/>
      <c r="Z52" s="226" t="s">
        <v>367</v>
      </c>
      <c r="AA52" s="227"/>
      <c r="AB52" s="231">
        <v>18200</v>
      </c>
      <c r="AC52" s="227"/>
      <c r="AD52" s="226" t="s">
        <v>367</v>
      </c>
      <c r="AE52" s="227"/>
      <c r="AF52" s="231">
        <v>33625</v>
      </c>
      <c r="AG52" s="226" t="s">
        <v>367</v>
      </c>
      <c r="AH52" s="227"/>
      <c r="AI52" s="231">
        <v>34700</v>
      </c>
      <c r="AJ52" s="251"/>
      <c r="AK52" s="250"/>
      <c r="AL52" s="250"/>
      <c r="AM52" s="250"/>
      <c r="AN52" s="250"/>
      <c r="AO52" s="250"/>
      <c r="AP52" s="250"/>
      <c r="AQ52" s="250"/>
      <c r="AR52" s="198"/>
      <c r="AS52" s="198"/>
      <c r="AT52" s="198"/>
      <c r="AU52" s="198"/>
      <c r="AV52" s="198"/>
      <c r="AW52" s="198"/>
      <c r="AX52" s="198"/>
      <c r="AY52" s="198"/>
    </row>
    <row r="53" spans="1:51" ht="52.95" customHeight="1" x14ac:dyDescent="0.2">
      <c r="A53" s="248"/>
      <c r="B53" s="225" t="s">
        <v>10</v>
      </c>
      <c r="C53" s="224"/>
      <c r="D53" s="226" t="s">
        <v>429</v>
      </c>
      <c r="E53" s="227"/>
      <c r="F53" s="228" t="s">
        <v>471</v>
      </c>
      <c r="G53" s="226"/>
      <c r="H53" s="228"/>
      <c r="I53" s="226"/>
      <c r="J53" s="229">
        <v>10</v>
      </c>
      <c r="K53" s="227"/>
      <c r="L53" s="226" t="s">
        <v>419</v>
      </c>
      <c r="M53" s="227"/>
      <c r="N53" s="226" t="s">
        <v>432</v>
      </c>
      <c r="O53" s="227"/>
      <c r="P53" s="226" t="s">
        <v>467</v>
      </c>
      <c r="Q53" s="230" t="s">
        <v>470</v>
      </c>
      <c r="R53" s="227"/>
      <c r="S53" s="227"/>
      <c r="T53" s="231" t="s">
        <v>377</v>
      </c>
      <c r="U53" s="227"/>
      <c r="V53" s="226"/>
      <c r="W53" s="227"/>
      <c r="X53" s="231" t="s">
        <v>668</v>
      </c>
      <c r="Y53" s="227"/>
      <c r="Z53" s="226" t="s">
        <v>367</v>
      </c>
      <c r="AA53" s="227"/>
      <c r="AB53" s="231" t="s">
        <v>668</v>
      </c>
      <c r="AC53" s="227"/>
      <c r="AD53" s="226" t="s">
        <v>367</v>
      </c>
      <c r="AE53" s="227"/>
      <c r="AF53" s="231" t="s">
        <v>668</v>
      </c>
      <c r="AG53" s="226" t="s">
        <v>367</v>
      </c>
      <c r="AH53" s="227"/>
      <c r="AI53" s="231" t="s">
        <v>668</v>
      </c>
      <c r="AJ53" s="251"/>
      <c r="AK53" s="250"/>
      <c r="AL53" s="250"/>
      <c r="AM53" s="250"/>
      <c r="AN53" s="250"/>
      <c r="AO53" s="250"/>
      <c r="AP53" s="250"/>
      <c r="AQ53" s="250"/>
      <c r="AR53" s="198"/>
      <c r="AS53" s="198"/>
      <c r="AT53" s="198"/>
      <c r="AU53" s="198"/>
      <c r="AV53" s="198"/>
      <c r="AW53" s="198"/>
      <c r="AX53" s="198"/>
      <c r="AY53" s="198"/>
    </row>
    <row r="54" spans="1:51" ht="30" customHeight="1" x14ac:dyDescent="0.2">
      <c r="A54" s="248"/>
      <c r="B54" s="225" t="s">
        <v>10</v>
      </c>
      <c r="C54" s="224"/>
      <c r="D54" s="226" t="s">
        <v>429</v>
      </c>
      <c r="E54" s="227"/>
      <c r="F54" s="228" t="s">
        <v>472</v>
      </c>
      <c r="G54" s="226"/>
      <c r="H54" s="228"/>
      <c r="I54" s="226"/>
      <c r="J54" s="229">
        <v>100</v>
      </c>
      <c r="K54" s="227"/>
      <c r="L54" s="226" t="s">
        <v>419</v>
      </c>
      <c r="M54" s="227"/>
      <c r="N54" s="226" t="s">
        <v>432</v>
      </c>
      <c r="O54" s="227"/>
      <c r="P54" s="226" t="s">
        <v>467</v>
      </c>
      <c r="Q54" s="230" t="s">
        <v>470</v>
      </c>
      <c r="R54" s="227"/>
      <c r="S54" s="227"/>
      <c r="T54" s="231" t="s">
        <v>377</v>
      </c>
      <c r="U54" s="227"/>
      <c r="V54" s="226"/>
      <c r="W54" s="227"/>
      <c r="X54" s="231" t="s">
        <v>668</v>
      </c>
      <c r="Y54" s="227"/>
      <c r="Z54" s="226" t="s">
        <v>367</v>
      </c>
      <c r="AA54" s="227"/>
      <c r="AB54" s="231" t="s">
        <v>668</v>
      </c>
      <c r="AC54" s="227"/>
      <c r="AD54" s="226" t="s">
        <v>367</v>
      </c>
      <c r="AE54" s="227"/>
      <c r="AF54" s="231" t="s">
        <v>668</v>
      </c>
      <c r="AG54" s="226" t="s">
        <v>367</v>
      </c>
      <c r="AH54" s="227"/>
      <c r="AI54" s="231" t="s">
        <v>668</v>
      </c>
      <c r="AJ54" s="251"/>
      <c r="AK54" s="250"/>
      <c r="AL54" s="250"/>
      <c r="AM54" s="250"/>
      <c r="AN54" s="250"/>
      <c r="AO54" s="250"/>
      <c r="AP54" s="250"/>
      <c r="AQ54" s="250"/>
      <c r="AR54" s="198"/>
      <c r="AS54" s="198"/>
      <c r="AT54" s="198"/>
      <c r="AU54" s="198"/>
      <c r="AV54" s="198"/>
      <c r="AW54" s="198"/>
      <c r="AX54" s="198"/>
      <c r="AY54" s="198"/>
    </row>
    <row r="55" spans="1:51" ht="43.95" customHeight="1" x14ac:dyDescent="0.2">
      <c r="A55" s="248"/>
      <c r="B55" s="225" t="s">
        <v>10</v>
      </c>
      <c r="C55" s="224"/>
      <c r="D55" s="226" t="s">
        <v>429</v>
      </c>
      <c r="E55" s="227"/>
      <c r="F55" s="228" t="s">
        <v>473</v>
      </c>
      <c r="G55" s="226"/>
      <c r="H55" s="228"/>
      <c r="I55" s="226"/>
      <c r="J55" s="229">
        <v>100</v>
      </c>
      <c r="K55" s="227"/>
      <c r="L55" s="226" t="s">
        <v>419</v>
      </c>
      <c r="M55" s="227"/>
      <c r="N55" s="226" t="s">
        <v>432</v>
      </c>
      <c r="O55" s="227"/>
      <c r="P55" s="226" t="s">
        <v>474</v>
      </c>
      <c r="Q55" s="230" t="s">
        <v>475</v>
      </c>
      <c r="R55" s="227"/>
      <c r="S55" s="227"/>
      <c r="T55" s="231" t="s">
        <v>377</v>
      </c>
      <c r="U55" s="227"/>
      <c r="V55" s="226"/>
      <c r="W55" s="227"/>
      <c r="X55" s="231" t="s">
        <v>668</v>
      </c>
      <c r="Y55" s="227"/>
      <c r="Z55" s="226" t="s">
        <v>367</v>
      </c>
      <c r="AA55" s="227"/>
      <c r="AB55" s="231" t="s">
        <v>668</v>
      </c>
      <c r="AC55" s="227"/>
      <c r="AD55" s="226" t="s">
        <v>367</v>
      </c>
      <c r="AE55" s="227"/>
      <c r="AF55" s="231" t="s">
        <v>668</v>
      </c>
      <c r="AG55" s="226" t="s">
        <v>367</v>
      </c>
      <c r="AH55" s="227"/>
      <c r="AI55" s="231" t="s">
        <v>668</v>
      </c>
      <c r="AJ55" s="251"/>
      <c r="AK55" s="250"/>
      <c r="AL55" s="250"/>
      <c r="AM55" s="250"/>
      <c r="AN55" s="250"/>
      <c r="AO55" s="250"/>
      <c r="AP55" s="250"/>
      <c r="AQ55" s="250"/>
      <c r="AR55" s="198"/>
      <c r="AS55" s="198"/>
      <c r="AT55" s="198"/>
      <c r="AU55" s="198"/>
      <c r="AV55" s="198"/>
      <c r="AW55" s="198"/>
      <c r="AX55" s="198"/>
      <c r="AY55" s="198"/>
    </row>
    <row r="56" spans="1:51" ht="50.4" customHeight="1" x14ac:dyDescent="0.2">
      <c r="A56" s="248"/>
      <c r="B56" s="224" t="s">
        <v>10</v>
      </c>
      <c r="C56" s="224"/>
      <c r="D56" s="226" t="s">
        <v>429</v>
      </c>
      <c r="E56" s="224"/>
      <c r="F56" s="228" t="s">
        <v>476</v>
      </c>
      <c r="G56" s="225"/>
      <c r="H56" s="228"/>
      <c r="I56" s="225"/>
      <c r="J56" s="229">
        <v>300</v>
      </c>
      <c r="K56" s="227"/>
      <c r="L56" s="226" t="s">
        <v>794</v>
      </c>
      <c r="M56" s="227"/>
      <c r="N56" s="226" t="s">
        <v>432</v>
      </c>
      <c r="O56" s="227"/>
      <c r="P56" s="226" t="s">
        <v>467</v>
      </c>
      <c r="Q56" s="230" t="s">
        <v>477</v>
      </c>
      <c r="R56" s="227"/>
      <c r="S56" s="227"/>
      <c r="T56" s="233" t="s">
        <v>377</v>
      </c>
      <c r="U56" s="227"/>
      <c r="V56" s="226"/>
      <c r="W56" s="227"/>
      <c r="X56" s="231" t="s">
        <v>668</v>
      </c>
      <c r="Y56" s="227"/>
      <c r="Z56" s="226" t="s">
        <v>367</v>
      </c>
      <c r="AA56" s="227"/>
      <c r="AB56" s="231" t="s">
        <v>668</v>
      </c>
      <c r="AC56" s="227"/>
      <c r="AD56" s="226" t="s">
        <v>367</v>
      </c>
      <c r="AE56" s="227"/>
      <c r="AF56" s="231" t="s">
        <v>668</v>
      </c>
      <c r="AG56" s="226" t="s">
        <v>367</v>
      </c>
      <c r="AH56" s="227"/>
      <c r="AI56" s="231" t="s">
        <v>668</v>
      </c>
      <c r="AJ56" s="251"/>
      <c r="AK56" s="250"/>
      <c r="AL56" s="250"/>
      <c r="AM56" s="250"/>
      <c r="AN56" s="250"/>
      <c r="AO56" s="250"/>
      <c r="AP56" s="250"/>
      <c r="AQ56" s="250"/>
      <c r="AR56" s="198"/>
      <c r="AS56" s="198"/>
      <c r="AT56" s="198"/>
      <c r="AU56" s="198"/>
      <c r="AV56" s="198"/>
      <c r="AW56" s="198"/>
      <c r="AX56" s="198"/>
      <c r="AY56" s="198"/>
    </row>
    <row r="57" spans="1:51" ht="53.4" customHeight="1" x14ac:dyDescent="0.2">
      <c r="A57" s="248"/>
      <c r="B57" s="224" t="s">
        <v>10</v>
      </c>
      <c r="C57" s="224"/>
      <c r="D57" s="226" t="s">
        <v>429</v>
      </c>
      <c r="E57" s="224"/>
      <c r="F57" s="228" t="s">
        <v>478</v>
      </c>
      <c r="G57" s="225"/>
      <c r="H57" s="228"/>
      <c r="I57" s="225"/>
      <c r="J57" s="229">
        <v>50</v>
      </c>
      <c r="K57" s="227"/>
      <c r="L57" s="226" t="s">
        <v>419</v>
      </c>
      <c r="M57" s="227"/>
      <c r="N57" s="226" t="s">
        <v>432</v>
      </c>
      <c r="O57" s="227"/>
      <c r="P57" s="226" t="s">
        <v>467</v>
      </c>
      <c r="Q57" s="230" t="s">
        <v>477</v>
      </c>
      <c r="R57" s="227"/>
      <c r="S57" s="227"/>
      <c r="T57" s="233" t="s">
        <v>377</v>
      </c>
      <c r="U57" s="227"/>
      <c r="V57" s="226"/>
      <c r="W57" s="227"/>
      <c r="X57" s="231" t="s">
        <v>668</v>
      </c>
      <c r="Y57" s="227"/>
      <c r="Z57" s="226" t="s">
        <v>367</v>
      </c>
      <c r="AA57" s="227"/>
      <c r="AB57" s="231" t="s">
        <v>668</v>
      </c>
      <c r="AC57" s="227"/>
      <c r="AD57" s="226" t="s">
        <v>367</v>
      </c>
      <c r="AE57" s="227"/>
      <c r="AF57" s="231" t="s">
        <v>668</v>
      </c>
      <c r="AG57" s="226" t="s">
        <v>367</v>
      </c>
      <c r="AH57" s="227"/>
      <c r="AI57" s="231" t="s">
        <v>668</v>
      </c>
      <c r="AJ57" s="251"/>
      <c r="AK57" s="250"/>
      <c r="AL57" s="250"/>
      <c r="AM57" s="250"/>
      <c r="AN57" s="250"/>
      <c r="AO57" s="250"/>
      <c r="AP57" s="250"/>
      <c r="AQ57" s="250"/>
      <c r="AR57" s="198"/>
      <c r="AS57" s="198"/>
      <c r="AT57" s="198"/>
      <c r="AU57" s="198"/>
      <c r="AV57" s="198"/>
      <c r="AW57" s="198"/>
      <c r="AX57" s="198"/>
      <c r="AY57" s="198"/>
    </row>
    <row r="58" spans="1:51" ht="53.4" customHeight="1" x14ac:dyDescent="0.2">
      <c r="A58" s="248"/>
      <c r="B58" s="224" t="s">
        <v>10</v>
      </c>
      <c r="C58" s="224"/>
      <c r="D58" s="226" t="s">
        <v>429</v>
      </c>
      <c r="E58" s="224"/>
      <c r="F58" s="228" t="s">
        <v>479</v>
      </c>
      <c r="G58" s="225"/>
      <c r="H58" s="228"/>
      <c r="I58" s="225"/>
      <c r="J58" s="229">
        <v>100</v>
      </c>
      <c r="K58" s="227"/>
      <c r="L58" s="226" t="s">
        <v>419</v>
      </c>
      <c r="M58" s="227"/>
      <c r="N58" s="226" t="s">
        <v>432</v>
      </c>
      <c r="O58" s="227"/>
      <c r="P58" s="226" t="s">
        <v>467</v>
      </c>
      <c r="Q58" s="230" t="s">
        <v>477</v>
      </c>
      <c r="R58" s="227"/>
      <c r="S58" s="227"/>
      <c r="T58" s="233" t="s">
        <v>377</v>
      </c>
      <c r="U58" s="227"/>
      <c r="V58" s="226"/>
      <c r="W58" s="227"/>
      <c r="X58" s="231" t="s">
        <v>668</v>
      </c>
      <c r="Y58" s="227"/>
      <c r="Z58" s="226" t="s">
        <v>367</v>
      </c>
      <c r="AA58" s="227"/>
      <c r="AB58" s="231" t="s">
        <v>668</v>
      </c>
      <c r="AC58" s="227"/>
      <c r="AD58" s="226" t="s">
        <v>367</v>
      </c>
      <c r="AE58" s="227"/>
      <c r="AF58" s="231" t="s">
        <v>668</v>
      </c>
      <c r="AG58" s="226" t="s">
        <v>367</v>
      </c>
      <c r="AH58" s="227"/>
      <c r="AI58" s="231" t="s">
        <v>668</v>
      </c>
      <c r="AJ58" s="251"/>
      <c r="AK58" s="250"/>
      <c r="AL58" s="250"/>
      <c r="AM58" s="250"/>
      <c r="AN58" s="250"/>
      <c r="AO58" s="250"/>
      <c r="AP58" s="250"/>
      <c r="AQ58" s="250"/>
      <c r="AR58" s="198"/>
      <c r="AS58" s="198"/>
      <c r="AT58" s="198"/>
      <c r="AU58" s="198"/>
      <c r="AV58" s="198"/>
      <c r="AW58" s="198"/>
      <c r="AX58" s="198"/>
      <c r="AY58" s="198"/>
    </row>
    <row r="59" spans="1:51" ht="52.2" customHeight="1" x14ac:dyDescent="0.2">
      <c r="A59" s="248"/>
      <c r="B59" s="224" t="s">
        <v>10</v>
      </c>
      <c r="C59" s="224"/>
      <c r="D59" s="226" t="s">
        <v>429</v>
      </c>
      <c r="E59" s="224"/>
      <c r="F59" s="228" t="s">
        <v>480</v>
      </c>
      <c r="G59" s="225"/>
      <c r="H59" s="228"/>
      <c r="I59" s="225"/>
      <c r="J59" s="229">
        <v>100</v>
      </c>
      <c r="K59" s="227"/>
      <c r="L59" s="226" t="s">
        <v>419</v>
      </c>
      <c r="M59" s="227"/>
      <c r="N59" s="226" t="s">
        <v>432</v>
      </c>
      <c r="O59" s="227"/>
      <c r="P59" s="226" t="s">
        <v>467</v>
      </c>
      <c r="Q59" s="230" t="s">
        <v>481</v>
      </c>
      <c r="R59" s="227"/>
      <c r="S59" s="227"/>
      <c r="T59" s="233" t="s">
        <v>377</v>
      </c>
      <c r="U59" s="227"/>
      <c r="V59" s="226"/>
      <c r="W59" s="227"/>
      <c r="X59" s="231" t="s">
        <v>668</v>
      </c>
      <c r="Y59" s="227"/>
      <c r="Z59" s="226" t="s">
        <v>367</v>
      </c>
      <c r="AA59" s="227"/>
      <c r="AB59" s="231" t="s">
        <v>668</v>
      </c>
      <c r="AC59" s="227"/>
      <c r="AD59" s="226" t="s">
        <v>367</v>
      </c>
      <c r="AE59" s="227"/>
      <c r="AF59" s="231" t="s">
        <v>668</v>
      </c>
      <c r="AG59" s="226" t="s">
        <v>367</v>
      </c>
      <c r="AH59" s="227"/>
      <c r="AI59" s="231" t="s">
        <v>668</v>
      </c>
      <c r="AJ59" s="251"/>
      <c r="AK59" s="250"/>
      <c r="AL59" s="250"/>
      <c r="AM59" s="250"/>
      <c r="AN59" s="250"/>
      <c r="AO59" s="250"/>
      <c r="AP59" s="250"/>
      <c r="AQ59" s="250"/>
      <c r="AR59" s="198"/>
      <c r="AS59" s="198"/>
      <c r="AT59" s="198"/>
      <c r="AU59" s="198"/>
      <c r="AV59" s="198"/>
      <c r="AW59" s="198"/>
      <c r="AX59" s="198"/>
      <c r="AY59" s="198"/>
    </row>
    <row r="60" spans="1:51" ht="50.4" customHeight="1" x14ac:dyDescent="0.2">
      <c r="A60" s="248"/>
      <c r="B60" s="224" t="s">
        <v>10</v>
      </c>
      <c r="C60" s="224"/>
      <c r="D60" s="226" t="s">
        <v>429</v>
      </c>
      <c r="E60" s="224"/>
      <c r="F60" s="228" t="s">
        <v>482</v>
      </c>
      <c r="G60" s="225"/>
      <c r="H60" s="228"/>
      <c r="I60" s="225"/>
      <c r="J60" s="229">
        <v>30</v>
      </c>
      <c r="K60" s="227"/>
      <c r="L60" s="226" t="s">
        <v>419</v>
      </c>
      <c r="M60" s="227"/>
      <c r="N60" s="226" t="s">
        <v>440</v>
      </c>
      <c r="O60" s="227"/>
      <c r="P60" s="226" t="s">
        <v>467</v>
      </c>
      <c r="Q60" s="230" t="s">
        <v>483</v>
      </c>
      <c r="R60" s="227"/>
      <c r="S60" s="227"/>
      <c r="T60" s="233">
        <v>31405</v>
      </c>
      <c r="U60" s="227"/>
      <c r="V60" s="226"/>
      <c r="W60" s="227"/>
      <c r="X60" s="231"/>
      <c r="Y60" s="227"/>
      <c r="Z60" s="226" t="s">
        <v>367</v>
      </c>
      <c r="AA60" s="227"/>
      <c r="AB60" s="233">
        <v>45590</v>
      </c>
      <c r="AC60" s="227"/>
      <c r="AD60" s="226" t="s">
        <v>367</v>
      </c>
      <c r="AE60" s="227"/>
      <c r="AF60" s="231">
        <v>39555</v>
      </c>
      <c r="AG60" s="226" t="s">
        <v>367</v>
      </c>
      <c r="AH60" s="227"/>
      <c r="AI60" s="231">
        <v>53925</v>
      </c>
      <c r="AJ60" s="251"/>
      <c r="AK60" s="250"/>
      <c r="AL60" s="250" t="s">
        <v>441</v>
      </c>
      <c r="AM60" s="250"/>
      <c r="AN60" s="250"/>
      <c r="AO60" s="250"/>
      <c r="AP60" s="250"/>
      <c r="AQ60" s="250"/>
      <c r="AR60" s="198"/>
      <c r="AS60" s="198"/>
      <c r="AT60" s="198"/>
      <c r="AU60" s="198"/>
      <c r="AV60" s="198"/>
      <c r="AW60" s="198"/>
      <c r="AX60" s="198"/>
      <c r="AY60" s="198"/>
    </row>
    <row r="61" spans="1:51" ht="51" customHeight="1" x14ac:dyDescent="0.2">
      <c r="A61" s="248"/>
      <c r="B61" s="224" t="s">
        <v>10</v>
      </c>
      <c r="C61" s="224"/>
      <c r="D61" s="226" t="s">
        <v>429</v>
      </c>
      <c r="E61" s="224"/>
      <c r="F61" s="228" t="s">
        <v>484</v>
      </c>
      <c r="G61" s="225"/>
      <c r="H61" s="228"/>
      <c r="I61" s="225"/>
      <c r="J61" s="229">
        <v>10</v>
      </c>
      <c r="K61" s="227"/>
      <c r="L61" s="226" t="s">
        <v>419</v>
      </c>
      <c r="M61" s="227"/>
      <c r="N61" s="226" t="s">
        <v>440</v>
      </c>
      <c r="O61" s="227"/>
      <c r="P61" s="226" t="s">
        <v>467</v>
      </c>
      <c r="Q61" s="230" t="s">
        <v>483</v>
      </c>
      <c r="R61" s="227"/>
      <c r="S61" s="227"/>
      <c r="T61" s="233" t="s">
        <v>377</v>
      </c>
      <c r="U61" s="227"/>
      <c r="V61" s="226"/>
      <c r="W61" s="227"/>
      <c r="X61" s="231" t="s">
        <v>668</v>
      </c>
      <c r="Y61" s="227"/>
      <c r="Z61" s="226" t="s">
        <v>367</v>
      </c>
      <c r="AA61" s="227"/>
      <c r="AB61" s="231" t="s">
        <v>668</v>
      </c>
      <c r="AC61" s="227"/>
      <c r="AD61" s="226" t="s">
        <v>367</v>
      </c>
      <c r="AE61" s="227"/>
      <c r="AF61" s="231" t="s">
        <v>668</v>
      </c>
      <c r="AG61" s="226" t="s">
        <v>367</v>
      </c>
      <c r="AH61" s="227"/>
      <c r="AI61" s="231" t="s">
        <v>668</v>
      </c>
      <c r="AJ61" s="251"/>
      <c r="AK61" s="250"/>
      <c r="AL61" s="250"/>
      <c r="AM61" s="250"/>
      <c r="AN61" s="250"/>
      <c r="AO61" s="250"/>
      <c r="AP61" s="250"/>
      <c r="AQ61" s="250"/>
      <c r="AR61" s="198"/>
      <c r="AS61" s="198"/>
      <c r="AT61" s="198"/>
      <c r="AU61" s="198"/>
      <c r="AV61" s="198"/>
      <c r="AW61" s="198"/>
      <c r="AX61" s="198"/>
      <c r="AY61" s="198"/>
    </row>
    <row r="62" spans="1:51" ht="50.4" customHeight="1" x14ac:dyDescent="0.2">
      <c r="A62" s="248"/>
      <c r="B62" s="224" t="s">
        <v>10</v>
      </c>
      <c r="C62" s="224"/>
      <c r="D62" s="226" t="s">
        <v>429</v>
      </c>
      <c r="E62" s="224"/>
      <c r="F62" s="228" t="s">
        <v>485</v>
      </c>
      <c r="G62" s="225"/>
      <c r="H62" s="228"/>
      <c r="I62" s="225"/>
      <c r="J62" s="229">
        <v>10</v>
      </c>
      <c r="K62" s="227"/>
      <c r="L62" s="226" t="s">
        <v>419</v>
      </c>
      <c r="M62" s="227"/>
      <c r="N62" s="226" t="s">
        <v>440</v>
      </c>
      <c r="O62" s="227"/>
      <c r="P62" s="226" t="s">
        <v>467</v>
      </c>
      <c r="Q62" s="230" t="s">
        <v>483</v>
      </c>
      <c r="R62" s="227"/>
      <c r="S62" s="227"/>
      <c r="T62" s="233" t="s">
        <v>377</v>
      </c>
      <c r="U62" s="227"/>
      <c r="V62" s="226"/>
      <c r="W62" s="227"/>
      <c r="X62" s="231" t="s">
        <v>668</v>
      </c>
      <c r="Y62" s="227"/>
      <c r="Z62" s="226" t="s">
        <v>367</v>
      </c>
      <c r="AA62" s="227"/>
      <c r="AB62" s="231" t="s">
        <v>668</v>
      </c>
      <c r="AC62" s="227"/>
      <c r="AD62" s="226" t="s">
        <v>367</v>
      </c>
      <c r="AE62" s="227"/>
      <c r="AF62" s="231" t="s">
        <v>668</v>
      </c>
      <c r="AG62" s="226" t="s">
        <v>367</v>
      </c>
      <c r="AH62" s="227"/>
      <c r="AI62" s="231" t="s">
        <v>668</v>
      </c>
      <c r="AJ62" s="251"/>
      <c r="AK62" s="250"/>
      <c r="AL62" s="250"/>
      <c r="AM62" s="250"/>
      <c r="AN62" s="250"/>
      <c r="AO62" s="250"/>
      <c r="AP62" s="250"/>
      <c r="AQ62" s="250"/>
      <c r="AR62" s="198"/>
      <c r="AS62" s="198"/>
      <c r="AT62" s="198"/>
      <c r="AU62" s="198"/>
      <c r="AV62" s="198"/>
      <c r="AW62" s="198"/>
      <c r="AX62" s="198"/>
      <c r="AY62" s="198"/>
    </row>
    <row r="63" spans="1:51" ht="51" customHeight="1" x14ac:dyDescent="0.2">
      <c r="A63" s="248"/>
      <c r="B63" s="224" t="s">
        <v>10</v>
      </c>
      <c r="C63" s="224"/>
      <c r="D63" s="226" t="s">
        <v>429</v>
      </c>
      <c r="E63" s="224"/>
      <c r="F63" s="228" t="s">
        <v>486</v>
      </c>
      <c r="G63" s="225"/>
      <c r="H63" s="228"/>
      <c r="I63" s="225"/>
      <c r="J63" s="229">
        <v>15</v>
      </c>
      <c r="K63" s="227"/>
      <c r="L63" s="226" t="s">
        <v>419</v>
      </c>
      <c r="M63" s="227"/>
      <c r="N63" s="226" t="s">
        <v>440</v>
      </c>
      <c r="O63" s="227"/>
      <c r="P63" s="226" t="s">
        <v>467</v>
      </c>
      <c r="Q63" s="230" t="s">
        <v>483</v>
      </c>
      <c r="R63" s="227"/>
      <c r="S63" s="227"/>
      <c r="T63" s="233" t="s">
        <v>377</v>
      </c>
      <c r="U63" s="227"/>
      <c r="V63" s="226"/>
      <c r="W63" s="227"/>
      <c r="X63" s="231" t="s">
        <v>668</v>
      </c>
      <c r="Y63" s="227"/>
      <c r="Z63" s="226" t="s">
        <v>367</v>
      </c>
      <c r="AA63" s="227"/>
      <c r="AB63" s="231" t="s">
        <v>668</v>
      </c>
      <c r="AC63" s="227"/>
      <c r="AD63" s="226" t="s">
        <v>367</v>
      </c>
      <c r="AE63" s="227"/>
      <c r="AF63" s="231" t="s">
        <v>668</v>
      </c>
      <c r="AG63" s="226" t="s">
        <v>367</v>
      </c>
      <c r="AH63" s="227"/>
      <c r="AI63" s="231" t="s">
        <v>668</v>
      </c>
      <c r="AJ63" s="251"/>
      <c r="AK63" s="250"/>
      <c r="AL63" s="250"/>
      <c r="AM63" s="250"/>
      <c r="AN63" s="250"/>
      <c r="AO63" s="250"/>
      <c r="AP63" s="250"/>
      <c r="AQ63" s="250"/>
      <c r="AR63" s="198"/>
      <c r="AS63" s="198"/>
      <c r="AT63" s="198"/>
      <c r="AU63" s="198"/>
      <c r="AV63" s="198"/>
      <c r="AW63" s="198"/>
      <c r="AX63" s="198"/>
      <c r="AY63" s="198"/>
    </row>
    <row r="64" spans="1:51" ht="51" customHeight="1" x14ac:dyDescent="0.2">
      <c r="A64" s="248"/>
      <c r="B64" s="224" t="s">
        <v>10</v>
      </c>
      <c r="C64" s="224"/>
      <c r="D64" s="226" t="s">
        <v>429</v>
      </c>
      <c r="E64" s="224"/>
      <c r="F64" s="228" t="s">
        <v>487</v>
      </c>
      <c r="G64" s="225"/>
      <c r="H64" s="228"/>
      <c r="I64" s="225"/>
      <c r="J64" s="234">
        <v>7.5</v>
      </c>
      <c r="K64" s="227"/>
      <c r="L64" s="226" t="s">
        <v>419</v>
      </c>
      <c r="M64" s="227"/>
      <c r="N64" s="226" t="s">
        <v>440</v>
      </c>
      <c r="O64" s="227"/>
      <c r="P64" s="226" t="s">
        <v>467</v>
      </c>
      <c r="Q64" s="230" t="s">
        <v>483</v>
      </c>
      <c r="R64" s="227"/>
      <c r="S64" s="227"/>
      <c r="T64" s="233" t="s">
        <v>377</v>
      </c>
      <c r="U64" s="227"/>
      <c r="V64" s="226"/>
      <c r="W64" s="227"/>
      <c r="X64" s="231" t="s">
        <v>668</v>
      </c>
      <c r="Y64" s="227"/>
      <c r="Z64" s="226" t="s">
        <v>367</v>
      </c>
      <c r="AA64" s="227"/>
      <c r="AB64" s="231" t="s">
        <v>668</v>
      </c>
      <c r="AC64" s="227"/>
      <c r="AD64" s="226" t="s">
        <v>367</v>
      </c>
      <c r="AE64" s="227"/>
      <c r="AF64" s="231" t="s">
        <v>668</v>
      </c>
      <c r="AG64" s="226" t="s">
        <v>367</v>
      </c>
      <c r="AH64" s="227"/>
      <c r="AI64" s="231" t="s">
        <v>668</v>
      </c>
      <c r="AJ64" s="251"/>
      <c r="AK64" s="250"/>
      <c r="AL64" s="250"/>
      <c r="AM64" s="250"/>
      <c r="AN64" s="250"/>
      <c r="AO64" s="250"/>
      <c r="AP64" s="250"/>
      <c r="AQ64" s="250"/>
      <c r="AR64" s="198"/>
      <c r="AS64" s="198"/>
      <c r="AT64" s="198"/>
      <c r="AU64" s="198"/>
      <c r="AV64" s="198"/>
      <c r="AW64" s="198"/>
      <c r="AX64" s="198"/>
      <c r="AY64" s="198"/>
    </row>
    <row r="65" spans="1:51" ht="51" customHeight="1" x14ac:dyDescent="0.25">
      <c r="A65" s="248"/>
      <c r="B65" s="224" t="s">
        <v>10</v>
      </c>
      <c r="C65" s="199"/>
      <c r="D65" s="226" t="s">
        <v>429</v>
      </c>
      <c r="E65" s="199"/>
      <c r="F65" s="228" t="s">
        <v>488</v>
      </c>
      <c r="G65" s="225"/>
      <c r="H65" s="301"/>
      <c r="I65" s="225"/>
      <c r="J65" s="226" t="s">
        <v>489</v>
      </c>
      <c r="K65" s="227"/>
      <c r="L65" s="226" t="s">
        <v>419</v>
      </c>
      <c r="M65" s="227"/>
      <c r="N65" s="226" t="s">
        <v>440</v>
      </c>
      <c r="O65" s="227"/>
      <c r="P65" s="226">
        <v>2001</v>
      </c>
      <c r="Q65" s="230" t="s">
        <v>490</v>
      </c>
      <c r="R65" s="227"/>
      <c r="S65" s="227"/>
      <c r="T65" s="233">
        <v>71478</v>
      </c>
      <c r="U65" s="227"/>
      <c r="V65" s="226"/>
      <c r="W65" s="227"/>
      <c r="X65" s="231">
        <v>77657</v>
      </c>
      <c r="Y65" s="227"/>
      <c r="Z65" s="226" t="s">
        <v>367</v>
      </c>
      <c r="AA65" s="227"/>
      <c r="AB65" s="233">
        <v>66695</v>
      </c>
      <c r="AC65" s="227"/>
      <c r="AD65" s="226" t="s">
        <v>367</v>
      </c>
      <c r="AE65" s="227"/>
      <c r="AF65" s="231">
        <v>76547</v>
      </c>
      <c r="AG65" s="226" t="s">
        <v>367</v>
      </c>
      <c r="AH65" s="227"/>
      <c r="AI65" s="231">
        <v>56955</v>
      </c>
      <c r="AJ65" s="199"/>
      <c r="AK65" s="199"/>
      <c r="AL65" s="250" t="s">
        <v>441</v>
      </c>
      <c r="AM65" s="199"/>
      <c r="AN65" s="199"/>
      <c r="AO65" s="199"/>
      <c r="AP65" s="199"/>
      <c r="AQ65" s="199"/>
      <c r="AR65" s="199"/>
      <c r="AS65" s="199"/>
      <c r="AT65" s="199"/>
      <c r="AU65" s="199"/>
      <c r="AV65" s="199"/>
      <c r="AW65" s="199"/>
      <c r="AX65" s="199"/>
      <c r="AY65" s="199"/>
    </row>
    <row r="66" spans="1:51" ht="51.6" customHeight="1" x14ac:dyDescent="0.25">
      <c r="A66" s="248"/>
      <c r="B66" s="224" t="s">
        <v>10</v>
      </c>
      <c r="C66" s="199"/>
      <c r="D66" s="226" t="s">
        <v>429</v>
      </c>
      <c r="E66" s="199"/>
      <c r="F66" s="228" t="s">
        <v>491</v>
      </c>
      <c r="G66" s="225"/>
      <c r="H66" s="228"/>
      <c r="I66" s="225"/>
      <c r="J66" s="226" t="s">
        <v>489</v>
      </c>
      <c r="K66" s="227"/>
      <c r="L66" s="226" t="s">
        <v>419</v>
      </c>
      <c r="M66" s="227"/>
      <c r="N66" s="226" t="s">
        <v>440</v>
      </c>
      <c r="O66" s="227"/>
      <c r="P66" s="226">
        <v>2001</v>
      </c>
      <c r="Q66" s="230" t="s">
        <v>490</v>
      </c>
      <c r="R66" s="227"/>
      <c r="S66" s="227"/>
      <c r="T66" s="233" t="s">
        <v>377</v>
      </c>
      <c r="U66" s="227"/>
      <c r="V66" s="226"/>
      <c r="W66" s="227"/>
      <c r="X66" s="231" t="s">
        <v>668</v>
      </c>
      <c r="Y66" s="227"/>
      <c r="Z66" s="226" t="s">
        <v>367</v>
      </c>
      <c r="AA66" s="227"/>
      <c r="AB66" s="231" t="s">
        <v>668</v>
      </c>
      <c r="AC66" s="227"/>
      <c r="AD66" s="226" t="s">
        <v>367</v>
      </c>
      <c r="AE66" s="227"/>
      <c r="AF66" s="231" t="s">
        <v>668</v>
      </c>
      <c r="AG66" s="226" t="s">
        <v>367</v>
      </c>
      <c r="AH66" s="227"/>
      <c r="AI66" s="231" t="s">
        <v>668</v>
      </c>
      <c r="AJ66" s="199"/>
      <c r="AK66" s="199"/>
      <c r="AL66" s="250" t="s">
        <v>441</v>
      </c>
      <c r="AM66" s="199"/>
      <c r="AN66" s="199"/>
      <c r="AO66" s="199"/>
      <c r="AP66" s="199"/>
      <c r="AQ66" s="199"/>
      <c r="AR66" s="199"/>
      <c r="AS66" s="199"/>
      <c r="AT66" s="199"/>
      <c r="AU66" s="199"/>
      <c r="AV66" s="199"/>
      <c r="AW66" s="199"/>
      <c r="AX66" s="199"/>
      <c r="AY66" s="199"/>
    </row>
    <row r="67" spans="1:51" ht="53.4" customHeight="1" x14ac:dyDescent="0.25">
      <c r="A67" s="248"/>
      <c r="B67" s="224" t="s">
        <v>10</v>
      </c>
      <c r="C67" s="199"/>
      <c r="D67" s="226" t="s">
        <v>429</v>
      </c>
      <c r="E67" s="199"/>
      <c r="F67" s="228" t="s">
        <v>492</v>
      </c>
      <c r="G67" s="225"/>
      <c r="H67" s="301"/>
      <c r="I67" s="225"/>
      <c r="J67" s="226" t="s">
        <v>493</v>
      </c>
      <c r="K67" s="227"/>
      <c r="L67" s="226" t="s">
        <v>419</v>
      </c>
      <c r="M67" s="227"/>
      <c r="N67" s="226" t="s">
        <v>440</v>
      </c>
      <c r="O67" s="227"/>
      <c r="P67" s="226">
        <v>2001</v>
      </c>
      <c r="Q67" s="230" t="s">
        <v>490</v>
      </c>
      <c r="R67" s="227"/>
      <c r="S67" s="227"/>
      <c r="T67" s="233" t="s">
        <v>377</v>
      </c>
      <c r="U67" s="227"/>
      <c r="V67" s="226"/>
      <c r="W67" s="227"/>
      <c r="X67" s="231" t="s">
        <v>668</v>
      </c>
      <c r="Y67" s="227"/>
      <c r="Z67" s="226" t="s">
        <v>367</v>
      </c>
      <c r="AA67" s="227"/>
      <c r="AB67" s="231" t="s">
        <v>668</v>
      </c>
      <c r="AC67" s="227"/>
      <c r="AD67" s="226" t="s">
        <v>367</v>
      </c>
      <c r="AE67" s="227"/>
      <c r="AF67" s="231" t="s">
        <v>668</v>
      </c>
      <c r="AG67" s="226" t="s">
        <v>367</v>
      </c>
      <c r="AH67" s="227"/>
      <c r="AI67" s="231" t="s">
        <v>668</v>
      </c>
      <c r="AJ67" s="199"/>
      <c r="AK67" s="199"/>
      <c r="AL67" s="250" t="s">
        <v>441</v>
      </c>
      <c r="AM67" s="199"/>
      <c r="AN67" s="199"/>
      <c r="AO67" s="199"/>
      <c r="AP67" s="199"/>
      <c r="AQ67" s="199"/>
      <c r="AR67" s="199"/>
      <c r="AS67" s="199"/>
      <c r="AT67" s="199"/>
      <c r="AU67" s="199"/>
      <c r="AV67" s="199"/>
      <c r="AW67" s="199"/>
      <c r="AX67" s="199"/>
      <c r="AY67" s="199"/>
    </row>
    <row r="68" spans="1:51" ht="54" customHeight="1" x14ac:dyDescent="0.25">
      <c r="A68" s="248"/>
      <c r="B68" s="224" t="s">
        <v>10</v>
      </c>
      <c r="C68" s="199"/>
      <c r="D68" s="226" t="s">
        <v>429</v>
      </c>
      <c r="E68" s="199"/>
      <c r="F68" s="228" t="s">
        <v>494</v>
      </c>
      <c r="G68" s="225"/>
      <c r="H68" s="228"/>
      <c r="I68" s="225"/>
      <c r="J68" s="226" t="s">
        <v>493</v>
      </c>
      <c r="K68" s="227"/>
      <c r="L68" s="226" t="s">
        <v>419</v>
      </c>
      <c r="M68" s="227"/>
      <c r="N68" s="226" t="s">
        <v>440</v>
      </c>
      <c r="O68" s="227"/>
      <c r="P68" s="226">
        <v>2001</v>
      </c>
      <c r="Q68" s="230" t="s">
        <v>490</v>
      </c>
      <c r="R68" s="227"/>
      <c r="S68" s="227"/>
      <c r="T68" s="233">
        <v>54423</v>
      </c>
      <c r="U68" s="227"/>
      <c r="V68" s="226"/>
      <c r="W68" s="227"/>
      <c r="X68" s="231">
        <v>60818</v>
      </c>
      <c r="Y68" s="227"/>
      <c r="Z68" s="226" t="s">
        <v>367</v>
      </c>
      <c r="AA68" s="227"/>
      <c r="AB68" s="233">
        <v>64655</v>
      </c>
      <c r="AC68" s="227"/>
      <c r="AD68" s="226" t="s">
        <v>367</v>
      </c>
      <c r="AE68" s="227"/>
      <c r="AF68" s="231">
        <v>73020</v>
      </c>
      <c r="AG68" s="226" t="s">
        <v>367</v>
      </c>
      <c r="AH68" s="227"/>
      <c r="AI68" s="231">
        <v>66540</v>
      </c>
      <c r="AJ68" s="199"/>
      <c r="AK68" s="199"/>
      <c r="AL68" s="250" t="s">
        <v>441</v>
      </c>
      <c r="AM68" s="199"/>
      <c r="AN68" s="199"/>
      <c r="AO68" s="199"/>
      <c r="AP68" s="199"/>
      <c r="AQ68" s="199"/>
      <c r="AR68" s="199"/>
      <c r="AS68" s="199"/>
      <c r="AT68" s="199"/>
      <c r="AU68" s="199"/>
      <c r="AV68" s="199"/>
      <c r="AW68" s="199"/>
      <c r="AX68" s="199"/>
      <c r="AY68" s="199"/>
    </row>
    <row r="69" spans="1:51" ht="24" customHeight="1" x14ac:dyDescent="0.25">
      <c r="A69" s="248"/>
      <c r="B69" s="224" t="s">
        <v>10</v>
      </c>
      <c r="C69" s="199"/>
      <c r="D69" s="226" t="s">
        <v>429</v>
      </c>
      <c r="E69" s="199"/>
      <c r="F69" s="228" t="s">
        <v>495</v>
      </c>
      <c r="G69" s="225"/>
      <c r="H69" s="301"/>
      <c r="I69" s="225"/>
      <c r="J69" s="226" t="s">
        <v>496</v>
      </c>
      <c r="K69" s="227"/>
      <c r="L69" s="226" t="s">
        <v>419</v>
      </c>
      <c r="M69" s="227"/>
      <c r="N69" s="226" t="s">
        <v>440</v>
      </c>
      <c r="O69" s="227"/>
      <c r="P69" s="226">
        <v>2001</v>
      </c>
      <c r="Q69" s="230" t="s">
        <v>490</v>
      </c>
      <c r="R69" s="227"/>
      <c r="S69" s="227"/>
      <c r="T69" s="233" t="s">
        <v>377</v>
      </c>
      <c r="U69" s="227"/>
      <c r="V69" s="226"/>
      <c r="W69" s="227"/>
      <c r="X69" s="231" t="s">
        <v>668</v>
      </c>
      <c r="Y69" s="227"/>
      <c r="Z69" s="226" t="s">
        <v>367</v>
      </c>
      <c r="AA69" s="227"/>
      <c r="AB69" s="231" t="s">
        <v>668</v>
      </c>
      <c r="AC69" s="227"/>
      <c r="AD69" s="226" t="s">
        <v>367</v>
      </c>
      <c r="AE69" s="227"/>
      <c r="AF69" s="231" t="s">
        <v>668</v>
      </c>
      <c r="AG69" s="226" t="s">
        <v>367</v>
      </c>
      <c r="AH69" s="227"/>
      <c r="AI69" s="231" t="s">
        <v>668</v>
      </c>
      <c r="AJ69" s="199"/>
      <c r="AK69" s="199"/>
      <c r="AL69" s="250" t="s">
        <v>441</v>
      </c>
      <c r="AM69" s="199"/>
      <c r="AN69" s="199"/>
      <c r="AO69" s="199"/>
      <c r="AP69" s="199"/>
      <c r="AQ69" s="199"/>
      <c r="AR69" s="199"/>
      <c r="AS69" s="199"/>
      <c r="AT69" s="199"/>
      <c r="AU69" s="199"/>
      <c r="AV69" s="199"/>
      <c r="AW69" s="199"/>
      <c r="AX69" s="199"/>
      <c r="AY69" s="199"/>
    </row>
    <row r="70" spans="1:51" ht="22.8" x14ac:dyDescent="0.25">
      <c r="A70" s="248"/>
      <c r="B70" s="224" t="s">
        <v>10</v>
      </c>
      <c r="C70" s="199"/>
      <c r="D70" s="226" t="s">
        <v>429</v>
      </c>
      <c r="E70" s="199"/>
      <c r="F70" s="228" t="s">
        <v>497</v>
      </c>
      <c r="G70" s="225"/>
      <c r="H70" s="228"/>
      <c r="I70" s="225"/>
      <c r="J70" s="226" t="s">
        <v>498</v>
      </c>
      <c r="K70" s="227"/>
      <c r="L70" s="226" t="s">
        <v>419</v>
      </c>
      <c r="M70" s="227"/>
      <c r="N70" s="226" t="s">
        <v>440</v>
      </c>
      <c r="O70" s="227"/>
      <c r="P70" s="226">
        <v>2001</v>
      </c>
      <c r="Q70" s="230" t="s">
        <v>490</v>
      </c>
      <c r="R70" s="227"/>
      <c r="S70" s="227"/>
      <c r="T70" s="233">
        <v>5790</v>
      </c>
      <c r="U70" s="227"/>
      <c r="V70" s="226"/>
      <c r="W70" s="227"/>
      <c r="X70" s="231">
        <v>10455</v>
      </c>
      <c r="Y70" s="227"/>
      <c r="Z70" s="226" t="s">
        <v>367</v>
      </c>
      <c r="AA70" s="227"/>
      <c r="AB70" s="233">
        <v>8052</v>
      </c>
      <c r="AC70" s="227"/>
      <c r="AD70" s="226" t="s">
        <v>367</v>
      </c>
      <c r="AE70" s="227"/>
      <c r="AF70" s="231">
        <v>2825</v>
      </c>
      <c r="AG70" s="226" t="s">
        <v>367</v>
      </c>
      <c r="AH70" s="227"/>
      <c r="AI70" s="231">
        <v>4432</v>
      </c>
      <c r="AJ70" s="199"/>
      <c r="AK70" s="199"/>
      <c r="AL70" s="250" t="s">
        <v>441</v>
      </c>
      <c r="AM70" s="199"/>
      <c r="AN70" s="199"/>
      <c r="AO70" s="199"/>
      <c r="AP70" s="199"/>
      <c r="AQ70" s="199"/>
      <c r="AR70" s="199"/>
      <c r="AS70" s="199"/>
      <c r="AT70" s="199"/>
      <c r="AU70" s="199"/>
      <c r="AV70" s="199"/>
      <c r="AW70" s="199"/>
      <c r="AX70" s="199"/>
      <c r="AY70" s="199"/>
    </row>
    <row r="71" spans="1:51" s="133" customFormat="1" ht="19.8" customHeight="1" x14ac:dyDescent="0.25">
      <c r="A71" s="248"/>
      <c r="B71" s="224" t="s">
        <v>10</v>
      </c>
      <c r="C71" s="224"/>
      <c r="D71" s="226" t="s">
        <v>429</v>
      </c>
      <c r="E71" s="224"/>
      <c r="F71" s="228" t="s">
        <v>499</v>
      </c>
      <c r="G71" s="225"/>
      <c r="H71" s="228"/>
      <c r="I71" s="225"/>
      <c r="J71" s="226" t="s">
        <v>500</v>
      </c>
      <c r="K71" s="227"/>
      <c r="L71" s="226" t="s">
        <v>501</v>
      </c>
      <c r="M71" s="227"/>
      <c r="N71" s="226" t="s">
        <v>440</v>
      </c>
      <c r="O71" s="227"/>
      <c r="P71" s="226">
        <v>2001</v>
      </c>
      <c r="Q71" s="230" t="s">
        <v>490</v>
      </c>
      <c r="R71" s="227"/>
      <c r="S71" s="227"/>
      <c r="T71" s="233" t="s">
        <v>377</v>
      </c>
      <c r="U71" s="227"/>
      <c r="V71" s="226"/>
      <c r="W71" s="227"/>
      <c r="X71" s="231" t="s">
        <v>668</v>
      </c>
      <c r="Y71" s="227"/>
      <c r="Z71" s="226" t="s">
        <v>367</v>
      </c>
      <c r="AA71" s="227"/>
      <c r="AB71" s="231" t="s">
        <v>668</v>
      </c>
      <c r="AC71" s="227"/>
      <c r="AD71" s="226" t="s">
        <v>367</v>
      </c>
      <c r="AE71" s="227"/>
      <c r="AF71" s="231" t="s">
        <v>668</v>
      </c>
      <c r="AG71" s="226" t="s">
        <v>367</v>
      </c>
      <c r="AH71" s="227"/>
      <c r="AI71" s="231" t="s">
        <v>668</v>
      </c>
      <c r="AJ71" s="251"/>
      <c r="AK71" s="250"/>
      <c r="AL71" s="250" t="s">
        <v>441</v>
      </c>
      <c r="AM71" s="250"/>
      <c r="AN71" s="250"/>
      <c r="AO71" s="250"/>
      <c r="AP71" s="250"/>
      <c r="AQ71" s="250"/>
      <c r="AR71" s="252"/>
      <c r="AS71" s="252"/>
      <c r="AT71" s="252"/>
      <c r="AU71" s="252"/>
      <c r="AV71" s="252"/>
      <c r="AW71" s="252"/>
      <c r="AX71" s="252"/>
      <c r="AY71" s="252"/>
    </row>
    <row r="72" spans="1:51" ht="45.6" x14ac:dyDescent="0.25">
      <c r="A72" s="248"/>
      <c r="B72" s="224" t="s">
        <v>10</v>
      </c>
      <c r="C72" s="224"/>
      <c r="D72" s="226" t="s">
        <v>429</v>
      </c>
      <c r="E72" s="224"/>
      <c r="F72" s="228" t="s">
        <v>502</v>
      </c>
      <c r="G72" s="225"/>
      <c r="H72" s="228"/>
      <c r="I72" s="225"/>
      <c r="J72" s="229">
        <v>100</v>
      </c>
      <c r="K72" s="227"/>
      <c r="L72" s="226" t="s">
        <v>501</v>
      </c>
      <c r="M72" s="227"/>
      <c r="N72" s="226" t="s">
        <v>440</v>
      </c>
      <c r="O72" s="227"/>
      <c r="P72" s="226">
        <v>2001</v>
      </c>
      <c r="Q72" s="230" t="s">
        <v>490</v>
      </c>
      <c r="R72" s="227"/>
      <c r="S72" s="227"/>
      <c r="T72" s="233" t="s">
        <v>377</v>
      </c>
      <c r="U72" s="227"/>
      <c r="V72" s="226"/>
      <c r="W72" s="227"/>
      <c r="X72" s="231" t="s">
        <v>668</v>
      </c>
      <c r="Y72" s="227"/>
      <c r="Z72" s="226" t="s">
        <v>367</v>
      </c>
      <c r="AA72" s="227"/>
      <c r="AB72" s="231" t="s">
        <v>668</v>
      </c>
      <c r="AC72" s="227"/>
      <c r="AD72" s="226" t="s">
        <v>367</v>
      </c>
      <c r="AE72" s="227"/>
      <c r="AF72" s="231" t="s">
        <v>668</v>
      </c>
      <c r="AG72" s="226" t="s">
        <v>367</v>
      </c>
      <c r="AH72" s="227"/>
      <c r="AI72" s="231" t="s">
        <v>668</v>
      </c>
      <c r="AJ72" s="251"/>
      <c r="AK72" s="250"/>
      <c r="AL72" s="250" t="s">
        <v>441</v>
      </c>
      <c r="AM72" s="250"/>
      <c r="AN72" s="250"/>
      <c r="AO72" s="250"/>
      <c r="AP72" s="250"/>
      <c r="AQ72" s="250"/>
      <c r="AR72" s="252"/>
      <c r="AS72" s="252"/>
      <c r="AT72" s="252"/>
      <c r="AU72" s="252"/>
      <c r="AV72" s="252"/>
      <c r="AW72" s="252"/>
      <c r="AX72" s="252"/>
      <c r="AY72" s="252"/>
    </row>
    <row r="73" spans="1:51" ht="23.4" x14ac:dyDescent="0.25">
      <c r="A73" s="219"/>
      <c r="B73" s="224" t="s">
        <v>10</v>
      </c>
      <c r="C73" s="224"/>
      <c r="D73" s="226" t="s">
        <v>503</v>
      </c>
      <c r="E73" s="224"/>
      <c r="F73" s="228" t="s">
        <v>504</v>
      </c>
      <c r="G73" s="225"/>
      <c r="H73" s="228"/>
      <c r="I73" s="225"/>
      <c r="J73" s="226" t="s">
        <v>505</v>
      </c>
      <c r="K73" s="227"/>
      <c r="L73" s="226" t="s">
        <v>506</v>
      </c>
      <c r="M73" s="227"/>
      <c r="N73" s="226" t="s">
        <v>503</v>
      </c>
      <c r="O73" s="227"/>
      <c r="P73" s="226"/>
      <c r="Q73" s="230" t="s">
        <v>507</v>
      </c>
      <c r="R73" s="227"/>
      <c r="S73" s="227"/>
      <c r="T73" s="233"/>
      <c r="U73" s="227"/>
      <c r="V73" s="226"/>
      <c r="W73" s="227"/>
      <c r="X73" s="231"/>
      <c r="Y73" s="227"/>
      <c r="Z73" s="227">
        <v>3609</v>
      </c>
      <c r="AA73" s="227"/>
      <c r="AB73" s="233">
        <v>113350</v>
      </c>
      <c r="AC73" s="227"/>
      <c r="AD73" s="226">
        <v>3663</v>
      </c>
      <c r="AE73" s="227"/>
      <c r="AF73" s="231">
        <v>124670</v>
      </c>
      <c r="AG73" s="226">
        <v>2944</v>
      </c>
      <c r="AH73" s="227"/>
      <c r="AI73" s="231">
        <v>131290</v>
      </c>
      <c r="AJ73" s="249"/>
      <c r="AK73" s="250"/>
      <c r="AL73" s="205"/>
      <c r="AM73" s="205"/>
      <c r="AN73" s="205"/>
      <c r="AO73" s="205"/>
      <c r="AP73" s="205"/>
      <c r="AQ73" s="205"/>
      <c r="AR73" s="205"/>
      <c r="AS73" s="205"/>
      <c r="AT73" s="205"/>
      <c r="AU73" s="205"/>
      <c r="AV73" s="205"/>
      <c r="AW73" s="205"/>
      <c r="AX73" s="205"/>
      <c r="AY73" s="205"/>
    </row>
    <row r="74" spans="1:51" ht="34.200000000000003" x14ac:dyDescent="0.25">
      <c r="A74" s="204"/>
      <c r="B74" s="224" t="s">
        <v>10</v>
      </c>
      <c r="C74" s="224"/>
      <c r="D74" s="226" t="s">
        <v>503</v>
      </c>
      <c r="E74" s="224"/>
      <c r="F74" s="228" t="s">
        <v>508</v>
      </c>
      <c r="G74" s="225"/>
      <c r="H74" s="228"/>
      <c r="I74" s="225"/>
      <c r="J74" s="226" t="s">
        <v>305</v>
      </c>
      <c r="K74" s="227"/>
      <c r="L74" s="226" t="s">
        <v>509</v>
      </c>
      <c r="M74" s="227"/>
      <c r="N74" s="226" t="s">
        <v>503</v>
      </c>
      <c r="O74" s="227"/>
      <c r="P74" s="226" t="s">
        <v>510</v>
      </c>
      <c r="Q74" s="230" t="s">
        <v>511</v>
      </c>
      <c r="R74" s="227"/>
      <c r="S74" s="227"/>
      <c r="T74" s="233"/>
      <c r="U74" s="227"/>
      <c r="V74" s="226"/>
      <c r="W74" s="227"/>
      <c r="X74" s="231"/>
      <c r="Y74" s="227"/>
      <c r="Z74" s="227">
        <v>1694</v>
      </c>
      <c r="AA74" s="227"/>
      <c r="AB74" s="233">
        <v>135312</v>
      </c>
      <c r="AC74" s="227"/>
      <c r="AD74" s="226">
        <v>1516</v>
      </c>
      <c r="AE74" s="227"/>
      <c r="AF74" s="231">
        <v>119512</v>
      </c>
      <c r="AG74" s="226">
        <v>1393</v>
      </c>
      <c r="AH74" s="227"/>
      <c r="AI74" s="231">
        <v>119749</v>
      </c>
      <c r="AJ74" s="249"/>
      <c r="AK74" s="250"/>
      <c r="AL74" s="205"/>
      <c r="AM74" s="205"/>
      <c r="AN74" s="205"/>
      <c r="AO74" s="205"/>
      <c r="AP74" s="205"/>
      <c r="AQ74" s="205"/>
      <c r="AR74" s="205"/>
      <c r="AS74" s="205"/>
      <c r="AT74" s="205"/>
      <c r="AU74" s="205"/>
      <c r="AV74" s="205"/>
      <c r="AW74" s="205"/>
      <c r="AX74" s="205"/>
      <c r="AY74" s="205"/>
    </row>
    <row r="75" spans="1:51" ht="45.6" x14ac:dyDescent="0.25">
      <c r="A75" s="204"/>
      <c r="B75" s="224" t="s">
        <v>10</v>
      </c>
      <c r="C75" s="224"/>
      <c r="D75" s="226" t="s">
        <v>503</v>
      </c>
      <c r="E75" s="224"/>
      <c r="F75" s="228" t="s">
        <v>512</v>
      </c>
      <c r="G75" s="225"/>
      <c r="H75" s="228" t="s">
        <v>513</v>
      </c>
      <c r="I75" s="225"/>
      <c r="J75" s="226" t="s">
        <v>514</v>
      </c>
      <c r="K75" s="227"/>
      <c r="L75" s="226" t="s">
        <v>515</v>
      </c>
      <c r="M75" s="227"/>
      <c r="N75" s="226" t="s">
        <v>503</v>
      </c>
      <c r="O75" s="227"/>
      <c r="P75" s="226" t="s">
        <v>516</v>
      </c>
      <c r="Q75" s="230" t="s">
        <v>517</v>
      </c>
      <c r="R75" s="227"/>
      <c r="S75" s="227"/>
      <c r="T75" s="233"/>
      <c r="U75" s="227"/>
      <c r="V75" s="226"/>
      <c r="W75" s="227"/>
      <c r="X75" s="231"/>
      <c r="Y75" s="227"/>
      <c r="Z75" s="227">
        <v>3</v>
      </c>
      <c r="AA75" s="227"/>
      <c r="AB75" s="233">
        <v>1550</v>
      </c>
      <c r="AC75" s="227"/>
      <c r="AD75" s="226">
        <v>6</v>
      </c>
      <c r="AE75" s="227"/>
      <c r="AF75" s="231">
        <v>4133</v>
      </c>
      <c r="AG75" s="226">
        <v>1</v>
      </c>
      <c r="AH75" s="227"/>
      <c r="AI75" s="231">
        <v>490</v>
      </c>
      <c r="AJ75" s="249"/>
      <c r="AK75" s="250"/>
      <c r="AL75" s="205"/>
      <c r="AM75" s="205"/>
      <c r="AN75" s="205"/>
      <c r="AO75" s="205"/>
      <c r="AP75" s="205"/>
      <c r="AQ75" s="205"/>
      <c r="AR75" s="205"/>
      <c r="AS75" s="205"/>
      <c r="AT75" s="205"/>
      <c r="AU75" s="205"/>
      <c r="AV75" s="205"/>
      <c r="AW75" s="205"/>
      <c r="AX75" s="205"/>
      <c r="AY75" s="205"/>
    </row>
    <row r="76" spans="1:51" ht="45.6" x14ac:dyDescent="0.2">
      <c r="A76" s="218"/>
      <c r="B76" s="224" t="s">
        <v>10</v>
      </c>
      <c r="C76" s="224"/>
      <c r="D76" s="226" t="s">
        <v>11</v>
      </c>
      <c r="E76" s="224"/>
      <c r="F76" s="228" t="s">
        <v>26</v>
      </c>
      <c r="G76" s="225"/>
      <c r="H76" s="228" t="s">
        <v>13</v>
      </c>
      <c r="I76" s="225"/>
      <c r="J76" s="229">
        <v>375</v>
      </c>
      <c r="K76" s="227"/>
      <c r="L76" s="226" t="s">
        <v>12</v>
      </c>
      <c r="M76" s="227"/>
      <c r="N76" s="226" t="s">
        <v>23</v>
      </c>
      <c r="O76" s="227"/>
      <c r="P76" s="226">
        <v>2008</v>
      </c>
      <c r="Q76" s="230" t="s">
        <v>518</v>
      </c>
      <c r="R76" s="261">
        <v>1632</v>
      </c>
      <c r="S76" s="262"/>
      <c r="T76" s="263">
        <v>612000</v>
      </c>
      <c r="U76" s="227"/>
      <c r="V76" s="264">
        <v>1703</v>
      </c>
      <c r="W76" s="227"/>
      <c r="X76" s="231">
        <v>2779296</v>
      </c>
      <c r="Y76" s="227"/>
      <c r="Z76" s="264">
        <v>123</v>
      </c>
      <c r="AA76" s="227"/>
      <c r="AB76" s="263">
        <v>36093</v>
      </c>
      <c r="AC76" s="227"/>
      <c r="AD76" s="264">
        <v>88</v>
      </c>
      <c r="AE76" s="227"/>
      <c r="AF76" s="231">
        <v>19742</v>
      </c>
      <c r="AG76" s="264">
        <v>1697</v>
      </c>
      <c r="AH76" s="227"/>
      <c r="AI76" s="231">
        <v>654537</v>
      </c>
      <c r="AJ76" s="251"/>
      <c r="AK76" s="250"/>
      <c r="AL76" s="250" t="s">
        <v>760</v>
      </c>
      <c r="AM76" s="250"/>
      <c r="AN76" s="250"/>
      <c r="AO76" s="250"/>
      <c r="AP76" s="250"/>
      <c r="AQ76" s="250"/>
      <c r="AR76" s="250"/>
      <c r="AS76" s="250"/>
      <c r="AT76" s="250"/>
      <c r="AU76" s="250"/>
      <c r="AV76" s="250"/>
      <c r="AW76" s="250"/>
      <c r="AX76" s="250"/>
      <c r="AY76" s="250"/>
    </row>
    <row r="77" spans="1:51" ht="45.6" x14ac:dyDescent="0.2">
      <c r="A77" s="218"/>
      <c r="B77" s="224" t="s">
        <v>10</v>
      </c>
      <c r="C77" s="224"/>
      <c r="D77" s="226" t="s">
        <v>11</v>
      </c>
      <c r="E77" s="224"/>
      <c r="F77" s="228" t="s">
        <v>26</v>
      </c>
      <c r="G77" s="225"/>
      <c r="H77" s="228" t="s">
        <v>14</v>
      </c>
      <c r="I77" s="225"/>
      <c r="J77" s="229">
        <v>375</v>
      </c>
      <c r="K77" s="227"/>
      <c r="L77" s="226" t="s">
        <v>12</v>
      </c>
      <c r="M77" s="227"/>
      <c r="N77" s="226" t="s">
        <v>23</v>
      </c>
      <c r="O77" s="227"/>
      <c r="P77" s="226">
        <v>2008</v>
      </c>
      <c r="Q77" s="230" t="s">
        <v>518</v>
      </c>
      <c r="R77" s="261">
        <v>1856</v>
      </c>
      <c r="S77" s="262"/>
      <c r="T77" s="263">
        <v>696000</v>
      </c>
      <c r="U77" s="227"/>
      <c r="V77" s="264">
        <v>1665</v>
      </c>
      <c r="W77" s="227"/>
      <c r="X77" s="231">
        <v>3090240</v>
      </c>
      <c r="Y77" s="227"/>
      <c r="Z77" s="264">
        <v>77</v>
      </c>
      <c r="AA77" s="227"/>
      <c r="AB77" s="263">
        <v>22595</v>
      </c>
      <c r="AC77" s="227"/>
      <c r="AD77" s="264">
        <v>47</v>
      </c>
      <c r="AE77" s="227"/>
      <c r="AF77" s="231">
        <v>10544</v>
      </c>
      <c r="AG77" s="264">
        <v>1474</v>
      </c>
      <c r="AH77" s="227"/>
      <c r="AI77" s="231">
        <v>568525</v>
      </c>
      <c r="AJ77" s="251"/>
      <c r="AK77" s="250"/>
      <c r="AL77" s="250"/>
      <c r="AM77" s="250"/>
      <c r="AN77" s="250" t="s">
        <v>28</v>
      </c>
      <c r="AO77" s="250"/>
      <c r="AP77" s="250"/>
      <c r="AQ77" s="250"/>
      <c r="AR77" s="250"/>
      <c r="AS77" s="250"/>
      <c r="AT77" s="250"/>
      <c r="AU77" s="250"/>
      <c r="AV77" s="250"/>
      <c r="AW77" s="250"/>
      <c r="AX77" s="250"/>
      <c r="AY77" s="250"/>
    </row>
    <row r="78" spans="1:51" ht="45.6" x14ac:dyDescent="0.2">
      <c r="A78" s="218"/>
      <c r="B78" s="224" t="s">
        <v>10</v>
      </c>
      <c r="C78" s="224"/>
      <c r="D78" s="226" t="s">
        <v>11</v>
      </c>
      <c r="E78" s="224"/>
      <c r="F78" s="228" t="s">
        <v>26</v>
      </c>
      <c r="G78" s="225"/>
      <c r="H78" s="228" t="s">
        <v>15</v>
      </c>
      <c r="I78" s="225"/>
      <c r="J78" s="229">
        <v>75</v>
      </c>
      <c r="K78" s="227"/>
      <c r="L78" s="226" t="s">
        <v>12</v>
      </c>
      <c r="M78" s="227"/>
      <c r="N78" s="226" t="s">
        <v>23</v>
      </c>
      <c r="O78" s="227"/>
      <c r="P78" s="226">
        <v>2008</v>
      </c>
      <c r="Q78" s="230" t="s">
        <v>518</v>
      </c>
      <c r="R78" s="261">
        <v>3586</v>
      </c>
      <c r="S78" s="262"/>
      <c r="T78" s="263">
        <v>268950</v>
      </c>
      <c r="U78" s="227"/>
      <c r="V78" s="264">
        <v>4089</v>
      </c>
      <c r="W78" s="227"/>
      <c r="X78" s="231">
        <v>14663154</v>
      </c>
      <c r="Y78" s="227"/>
      <c r="Z78" s="264">
        <v>535</v>
      </c>
      <c r="AA78" s="227"/>
      <c r="AB78" s="263">
        <v>31398</v>
      </c>
      <c r="AC78" s="227"/>
      <c r="AD78" s="264">
        <v>468</v>
      </c>
      <c r="AE78" s="227"/>
      <c r="AF78" s="231">
        <v>21000</v>
      </c>
      <c r="AG78" s="264">
        <v>4842</v>
      </c>
      <c r="AH78" s="227"/>
      <c r="AI78" s="231">
        <v>373514</v>
      </c>
      <c r="AJ78" s="251"/>
      <c r="AK78" s="250"/>
      <c r="AL78" s="250"/>
      <c r="AM78" s="250"/>
      <c r="AN78" s="250" t="s">
        <v>29</v>
      </c>
      <c r="AO78" s="250"/>
      <c r="AP78" s="250"/>
      <c r="AQ78" s="250"/>
      <c r="AR78" s="250"/>
      <c r="AS78" s="250"/>
      <c r="AT78" s="250"/>
      <c r="AU78" s="250"/>
      <c r="AV78" s="250"/>
      <c r="AW78" s="250"/>
      <c r="AX78" s="250"/>
      <c r="AY78" s="250"/>
    </row>
    <row r="79" spans="1:51" ht="45.6" x14ac:dyDescent="0.2">
      <c r="A79" s="218"/>
      <c r="B79" s="224" t="s">
        <v>10</v>
      </c>
      <c r="C79" s="224"/>
      <c r="D79" s="226" t="s">
        <v>11</v>
      </c>
      <c r="E79" s="224"/>
      <c r="F79" s="228" t="s">
        <v>26</v>
      </c>
      <c r="G79" s="225"/>
      <c r="H79" s="228" t="s">
        <v>16</v>
      </c>
      <c r="I79" s="225"/>
      <c r="J79" s="229">
        <v>75</v>
      </c>
      <c r="K79" s="227"/>
      <c r="L79" s="226" t="s">
        <v>12</v>
      </c>
      <c r="M79" s="227"/>
      <c r="N79" s="226" t="s">
        <v>23</v>
      </c>
      <c r="O79" s="227"/>
      <c r="P79" s="226">
        <v>2008</v>
      </c>
      <c r="Q79" s="230" t="s">
        <v>518</v>
      </c>
      <c r="R79" s="261">
        <v>1535</v>
      </c>
      <c r="S79" s="262"/>
      <c r="T79" s="263">
        <v>115125</v>
      </c>
      <c r="U79" s="227"/>
      <c r="V79" s="264">
        <v>1372</v>
      </c>
      <c r="W79" s="227"/>
      <c r="X79" s="231">
        <v>2106020</v>
      </c>
      <c r="Y79" s="227"/>
      <c r="Z79" s="264">
        <v>134</v>
      </c>
      <c r="AA79" s="227"/>
      <c r="AB79" s="263">
        <v>7864</v>
      </c>
      <c r="AC79" s="227"/>
      <c r="AD79" s="264">
        <v>302</v>
      </c>
      <c r="AE79" s="227"/>
      <c r="AF79" s="231">
        <v>13550</v>
      </c>
      <c r="AG79" s="264">
        <v>1490</v>
      </c>
      <c r="AH79" s="227"/>
      <c r="AI79" s="231">
        <v>114939</v>
      </c>
      <c r="AJ79" s="251"/>
      <c r="AK79" s="250"/>
      <c r="AL79" s="250"/>
      <c r="AM79" s="250"/>
      <c r="AN79" s="250"/>
      <c r="AO79" s="250"/>
      <c r="AP79" s="250"/>
      <c r="AQ79" s="250"/>
      <c r="AR79" s="250"/>
      <c r="AS79" s="250"/>
      <c r="AT79" s="250"/>
      <c r="AU79" s="250"/>
      <c r="AV79" s="250"/>
      <c r="AW79" s="250"/>
      <c r="AX79" s="250"/>
      <c r="AY79" s="250"/>
    </row>
    <row r="80" spans="1:51" ht="45.6" x14ac:dyDescent="0.2">
      <c r="A80" s="218"/>
      <c r="B80" s="224" t="s">
        <v>10</v>
      </c>
      <c r="C80" s="224"/>
      <c r="D80" s="226" t="s">
        <v>11</v>
      </c>
      <c r="E80" s="224"/>
      <c r="F80" s="228" t="s">
        <v>26</v>
      </c>
      <c r="G80" s="225"/>
      <c r="H80" s="228" t="s">
        <v>17</v>
      </c>
      <c r="I80" s="225"/>
      <c r="J80" s="229">
        <v>375</v>
      </c>
      <c r="K80" s="227"/>
      <c r="L80" s="226" t="s">
        <v>12</v>
      </c>
      <c r="M80" s="227"/>
      <c r="N80" s="226" t="s">
        <v>23</v>
      </c>
      <c r="O80" s="227"/>
      <c r="P80" s="226">
        <v>2008</v>
      </c>
      <c r="Q80" s="230" t="s">
        <v>518</v>
      </c>
      <c r="R80" s="261">
        <v>2015</v>
      </c>
      <c r="S80" s="262"/>
      <c r="T80" s="263">
        <v>755625</v>
      </c>
      <c r="U80" s="227"/>
      <c r="V80" s="264">
        <v>1927</v>
      </c>
      <c r="W80" s="227"/>
      <c r="X80" s="231">
        <v>3882905</v>
      </c>
      <c r="Y80" s="227"/>
      <c r="Z80" s="264">
        <v>196</v>
      </c>
      <c r="AA80" s="227"/>
      <c r="AB80" s="263">
        <v>57514</v>
      </c>
      <c r="AC80" s="227"/>
      <c r="AD80" s="264">
        <v>133</v>
      </c>
      <c r="AE80" s="227"/>
      <c r="AF80" s="231">
        <v>29838</v>
      </c>
      <c r="AG80" s="264">
        <v>2134</v>
      </c>
      <c r="AH80" s="227"/>
      <c r="AI80" s="231">
        <v>823088</v>
      </c>
      <c r="AJ80" s="251"/>
      <c r="AK80" s="250"/>
      <c r="AL80" s="250"/>
      <c r="AM80" s="250"/>
      <c r="AN80" s="250"/>
      <c r="AO80" s="250"/>
      <c r="AP80" s="250"/>
      <c r="AQ80" s="250"/>
      <c r="AR80" s="250"/>
      <c r="AS80" s="250"/>
      <c r="AT80" s="250"/>
      <c r="AU80" s="250"/>
      <c r="AV80" s="250"/>
      <c r="AW80" s="250"/>
      <c r="AX80" s="250"/>
      <c r="AY80" s="250"/>
    </row>
    <row r="81" spans="1:51" ht="45.6" x14ac:dyDescent="0.2">
      <c r="A81" s="218"/>
      <c r="B81" s="224" t="s">
        <v>10</v>
      </c>
      <c r="C81" s="224"/>
      <c r="D81" s="226" t="s">
        <v>11</v>
      </c>
      <c r="E81" s="224"/>
      <c r="F81" s="228" t="s">
        <v>26</v>
      </c>
      <c r="G81" s="225"/>
      <c r="H81" s="228" t="s">
        <v>18</v>
      </c>
      <c r="I81" s="225"/>
      <c r="J81" s="229">
        <v>75</v>
      </c>
      <c r="K81" s="227"/>
      <c r="L81" s="226" t="s">
        <v>12</v>
      </c>
      <c r="M81" s="227"/>
      <c r="N81" s="226" t="s">
        <v>23</v>
      </c>
      <c r="O81" s="227"/>
      <c r="P81" s="226">
        <v>2008</v>
      </c>
      <c r="Q81" s="230" t="s">
        <v>518</v>
      </c>
      <c r="R81" s="262">
        <v>735</v>
      </c>
      <c r="S81" s="262"/>
      <c r="T81" s="263">
        <v>55125</v>
      </c>
      <c r="U81" s="227"/>
      <c r="V81" s="227">
        <v>2</v>
      </c>
      <c r="W81" s="227"/>
      <c r="X81" s="231">
        <v>1470</v>
      </c>
      <c r="Y81" s="227"/>
      <c r="Z81" s="227">
        <v>19</v>
      </c>
      <c r="AA81" s="227"/>
      <c r="AB81" s="263">
        <v>1115</v>
      </c>
      <c r="AC81" s="227"/>
      <c r="AD81" s="227">
        <v>18</v>
      </c>
      <c r="AE81" s="227"/>
      <c r="AF81" s="231">
        <v>808</v>
      </c>
      <c r="AG81" s="227">
        <v>100</v>
      </c>
      <c r="AH81" s="227"/>
      <c r="AI81" s="231">
        <v>7714</v>
      </c>
      <c r="AJ81" s="251"/>
      <c r="AK81" s="250"/>
      <c r="AL81" s="250"/>
      <c r="AM81" s="250"/>
      <c r="AN81" s="250"/>
      <c r="AO81" s="250"/>
      <c r="AP81" s="250"/>
      <c r="AQ81" s="250"/>
      <c r="AR81" s="250"/>
      <c r="AS81" s="250"/>
      <c r="AT81" s="250"/>
      <c r="AU81" s="250"/>
      <c r="AV81" s="250"/>
      <c r="AW81" s="250"/>
      <c r="AX81" s="250"/>
      <c r="AY81" s="250"/>
    </row>
    <row r="82" spans="1:51" ht="45.6" x14ac:dyDescent="0.2">
      <c r="A82" s="218"/>
      <c r="B82" s="224" t="s">
        <v>10</v>
      </c>
      <c r="C82" s="224"/>
      <c r="D82" s="226" t="s">
        <v>11</v>
      </c>
      <c r="E82" s="224"/>
      <c r="F82" s="228" t="s">
        <v>26</v>
      </c>
      <c r="G82" s="225"/>
      <c r="H82" s="228" t="s">
        <v>795</v>
      </c>
      <c r="I82" s="225"/>
      <c r="J82" s="229">
        <v>75</v>
      </c>
      <c r="K82" s="227"/>
      <c r="L82" s="226" t="s">
        <v>12</v>
      </c>
      <c r="M82" s="227"/>
      <c r="N82" s="226" t="s">
        <v>23</v>
      </c>
      <c r="O82" s="227"/>
      <c r="P82" s="226">
        <v>2008</v>
      </c>
      <c r="Q82" s="230" t="s">
        <v>518</v>
      </c>
      <c r="R82" s="262">
        <v>106</v>
      </c>
      <c r="S82" s="262"/>
      <c r="T82" s="263">
        <v>7950</v>
      </c>
      <c r="U82" s="227"/>
      <c r="V82" s="227">
        <v>1874</v>
      </c>
      <c r="W82" s="227"/>
      <c r="X82" s="231">
        <v>198644</v>
      </c>
      <c r="Y82" s="227"/>
      <c r="Z82" s="227">
        <v>19</v>
      </c>
      <c r="AA82" s="227"/>
      <c r="AB82" s="263">
        <v>1115</v>
      </c>
      <c r="AC82" s="227"/>
      <c r="AD82" s="227">
        <v>11</v>
      </c>
      <c r="AE82" s="227"/>
      <c r="AF82" s="231">
        <v>494</v>
      </c>
      <c r="AG82" s="227">
        <v>204</v>
      </c>
      <c r="AH82" s="227"/>
      <c r="AI82" s="231">
        <v>15737</v>
      </c>
      <c r="AJ82" s="251"/>
      <c r="AK82" s="250"/>
      <c r="AL82" s="250"/>
      <c r="AM82" s="250"/>
      <c r="AN82" s="250"/>
      <c r="AO82" s="250"/>
      <c r="AP82" s="250"/>
      <c r="AQ82" s="250"/>
      <c r="AR82" s="250"/>
      <c r="AS82" s="250"/>
      <c r="AT82" s="250"/>
      <c r="AU82" s="250"/>
      <c r="AV82" s="250"/>
      <c r="AW82" s="250"/>
      <c r="AX82" s="250"/>
      <c r="AY82" s="250"/>
    </row>
    <row r="83" spans="1:51" ht="45.6" x14ac:dyDescent="0.2">
      <c r="A83" s="218"/>
      <c r="B83" s="224" t="s">
        <v>10</v>
      </c>
      <c r="C83" s="224"/>
      <c r="D83" s="226" t="s">
        <v>11</v>
      </c>
      <c r="E83" s="224"/>
      <c r="F83" s="228" t="s">
        <v>26</v>
      </c>
      <c r="G83" s="225"/>
      <c r="H83" s="228" t="s">
        <v>800</v>
      </c>
      <c r="I83" s="225"/>
      <c r="J83" s="229">
        <v>75</v>
      </c>
      <c r="K83" s="227"/>
      <c r="L83" s="226" t="s">
        <v>12</v>
      </c>
      <c r="M83" s="227"/>
      <c r="N83" s="226" t="s">
        <v>23</v>
      </c>
      <c r="O83" s="227"/>
      <c r="P83" s="226">
        <v>2008</v>
      </c>
      <c r="Q83" s="230" t="s">
        <v>518</v>
      </c>
      <c r="R83" s="261">
        <v>1765</v>
      </c>
      <c r="S83" s="262"/>
      <c r="T83" s="263">
        <v>132375</v>
      </c>
      <c r="U83" s="227"/>
      <c r="V83" s="264"/>
      <c r="W83" s="227"/>
      <c r="X83" s="231">
        <v>0</v>
      </c>
      <c r="Y83" s="227"/>
      <c r="Z83" s="264" t="s">
        <v>367</v>
      </c>
      <c r="AA83" s="227"/>
      <c r="AB83" s="231" t="s">
        <v>668</v>
      </c>
      <c r="AC83" s="227"/>
      <c r="AD83" s="264" t="s">
        <v>367</v>
      </c>
      <c r="AE83" s="227"/>
      <c r="AF83" s="231" t="s">
        <v>668</v>
      </c>
      <c r="AG83" s="264" t="s">
        <v>367</v>
      </c>
      <c r="AH83" s="227"/>
      <c r="AI83" s="231" t="s">
        <v>668</v>
      </c>
      <c r="AJ83" s="251"/>
      <c r="AK83" s="250"/>
      <c r="AL83" s="250"/>
      <c r="AM83" s="250"/>
      <c r="AN83" s="250"/>
      <c r="AO83" s="250"/>
      <c r="AP83" s="250"/>
      <c r="AQ83" s="250"/>
      <c r="AR83" s="250"/>
      <c r="AS83" s="250"/>
      <c r="AT83" s="250"/>
      <c r="AU83" s="250"/>
      <c r="AV83" s="250"/>
      <c r="AW83" s="250"/>
      <c r="AX83" s="250"/>
      <c r="AY83" s="250"/>
    </row>
    <row r="84" spans="1:51" ht="45.6" x14ac:dyDescent="0.2">
      <c r="A84" s="218"/>
      <c r="B84" s="224" t="s">
        <v>10</v>
      </c>
      <c r="C84" s="224"/>
      <c r="D84" s="226" t="s">
        <v>11</v>
      </c>
      <c r="E84" s="224"/>
      <c r="F84" s="228" t="s">
        <v>26</v>
      </c>
      <c r="G84" s="225"/>
      <c r="H84" s="228" t="s">
        <v>19</v>
      </c>
      <c r="I84" s="225"/>
      <c r="J84" s="229">
        <v>75</v>
      </c>
      <c r="K84" s="227"/>
      <c r="L84" s="226" t="s">
        <v>12</v>
      </c>
      <c r="M84" s="227"/>
      <c r="N84" s="226" t="s">
        <v>23</v>
      </c>
      <c r="O84" s="227"/>
      <c r="P84" s="226">
        <v>2008</v>
      </c>
      <c r="Q84" s="230" t="s">
        <v>518</v>
      </c>
      <c r="R84" s="262">
        <v>78</v>
      </c>
      <c r="S84" s="262"/>
      <c r="T84" s="263">
        <v>5850</v>
      </c>
      <c r="U84" s="227"/>
      <c r="V84" s="227"/>
      <c r="W84" s="227"/>
      <c r="X84" s="231">
        <v>0</v>
      </c>
      <c r="Y84" s="227"/>
      <c r="Z84" s="264" t="s">
        <v>367</v>
      </c>
      <c r="AA84" s="227"/>
      <c r="AB84" s="231" t="s">
        <v>668</v>
      </c>
      <c r="AC84" s="227"/>
      <c r="AD84" s="264" t="s">
        <v>367</v>
      </c>
      <c r="AE84" s="227"/>
      <c r="AF84" s="231" t="s">
        <v>668</v>
      </c>
      <c r="AG84" s="264" t="s">
        <v>367</v>
      </c>
      <c r="AH84" s="227"/>
      <c r="AI84" s="231" t="s">
        <v>668</v>
      </c>
      <c r="AJ84" s="251"/>
      <c r="AK84" s="250"/>
      <c r="AL84" s="250"/>
      <c r="AM84" s="250"/>
      <c r="AN84" s="250"/>
      <c r="AO84" s="250"/>
      <c r="AP84" s="250"/>
      <c r="AQ84" s="250"/>
      <c r="AR84" s="250"/>
      <c r="AS84" s="250"/>
      <c r="AT84" s="250"/>
      <c r="AU84" s="250"/>
      <c r="AV84" s="250"/>
      <c r="AW84" s="250"/>
      <c r="AX84" s="250"/>
      <c r="AY84" s="250"/>
    </row>
    <row r="85" spans="1:51" ht="45.6" x14ac:dyDescent="0.2">
      <c r="A85" s="218"/>
      <c r="B85" s="224" t="s">
        <v>10</v>
      </c>
      <c r="C85" s="224"/>
      <c r="D85" s="226" t="s">
        <v>11</v>
      </c>
      <c r="E85" s="224"/>
      <c r="F85" s="228" t="s">
        <v>26</v>
      </c>
      <c r="G85" s="225"/>
      <c r="H85" s="228" t="s">
        <v>20</v>
      </c>
      <c r="I85" s="225"/>
      <c r="J85" s="229">
        <v>20</v>
      </c>
      <c r="K85" s="227"/>
      <c r="L85" s="226" t="s">
        <v>21</v>
      </c>
      <c r="M85" s="227"/>
      <c r="N85" s="226" t="s">
        <v>23</v>
      </c>
      <c r="O85" s="227"/>
      <c r="P85" s="226">
        <v>2008</v>
      </c>
      <c r="Q85" s="230" t="s">
        <v>518</v>
      </c>
      <c r="R85" s="262">
        <v>181</v>
      </c>
      <c r="S85" s="262"/>
      <c r="T85" s="263">
        <v>3620</v>
      </c>
      <c r="U85" s="227"/>
      <c r="V85" s="227">
        <v>694</v>
      </c>
      <c r="W85" s="227"/>
      <c r="X85" s="231">
        <v>125614</v>
      </c>
      <c r="Y85" s="227"/>
      <c r="Z85" s="227">
        <v>914</v>
      </c>
      <c r="AA85" s="227"/>
      <c r="AB85" s="263">
        <v>14304</v>
      </c>
      <c r="AC85" s="227"/>
      <c r="AD85" s="227">
        <v>2440</v>
      </c>
      <c r="AE85" s="227"/>
      <c r="AF85" s="231">
        <v>29195</v>
      </c>
      <c r="AG85" s="227">
        <v>4207</v>
      </c>
      <c r="AH85" s="227"/>
      <c r="AI85" s="231">
        <v>86541</v>
      </c>
      <c r="AJ85" s="251"/>
      <c r="AK85" s="250"/>
      <c r="AL85" s="250"/>
      <c r="AM85" s="250"/>
      <c r="AN85" s="250"/>
      <c r="AO85" s="250"/>
      <c r="AP85" s="250"/>
      <c r="AQ85" s="250"/>
      <c r="AR85" s="250"/>
      <c r="AS85" s="250"/>
      <c r="AT85" s="250"/>
      <c r="AU85" s="250"/>
      <c r="AV85" s="250"/>
      <c r="AW85" s="250"/>
      <c r="AX85" s="250"/>
      <c r="AY85" s="250"/>
    </row>
    <row r="86" spans="1:51" ht="45.6" x14ac:dyDescent="0.2">
      <c r="A86" s="218"/>
      <c r="B86" s="224" t="s">
        <v>10</v>
      </c>
      <c r="C86" s="224"/>
      <c r="D86" s="226" t="s">
        <v>11</v>
      </c>
      <c r="E86" s="224"/>
      <c r="F86" s="228" t="s">
        <v>26</v>
      </c>
      <c r="G86" s="225"/>
      <c r="H86" s="228" t="s">
        <v>22</v>
      </c>
      <c r="I86" s="225"/>
      <c r="J86" s="229">
        <v>20</v>
      </c>
      <c r="K86" s="227"/>
      <c r="L86" s="226" t="s">
        <v>21</v>
      </c>
      <c r="M86" s="227"/>
      <c r="N86" s="226" t="s">
        <v>23</v>
      </c>
      <c r="O86" s="227"/>
      <c r="P86" s="226">
        <v>2008</v>
      </c>
      <c r="Q86" s="230" t="s">
        <v>518</v>
      </c>
      <c r="R86" s="262">
        <v>565</v>
      </c>
      <c r="S86" s="262"/>
      <c r="T86" s="263">
        <v>11300</v>
      </c>
      <c r="U86" s="227"/>
      <c r="V86" s="227">
        <v>996</v>
      </c>
      <c r="W86" s="227"/>
      <c r="X86" s="231">
        <v>562740</v>
      </c>
      <c r="Y86" s="227"/>
      <c r="Z86" s="227">
        <v>997</v>
      </c>
      <c r="AA86" s="227"/>
      <c r="AB86" s="263">
        <v>15603</v>
      </c>
      <c r="AC86" s="227"/>
      <c r="AD86" s="227">
        <v>1064</v>
      </c>
      <c r="AE86" s="227"/>
      <c r="AF86" s="231">
        <v>12731</v>
      </c>
      <c r="AG86" s="227">
        <v>1235</v>
      </c>
      <c r="AH86" s="227"/>
      <c r="AI86" s="231">
        <v>25405</v>
      </c>
      <c r="AJ86" s="251"/>
      <c r="AK86" s="250"/>
      <c r="AL86" s="250"/>
      <c r="AM86" s="250"/>
      <c r="AN86" s="250"/>
      <c r="AO86" s="250"/>
      <c r="AP86" s="250"/>
      <c r="AQ86" s="250"/>
      <c r="AR86" s="250"/>
      <c r="AS86" s="250"/>
      <c r="AT86" s="250"/>
      <c r="AU86" s="250"/>
      <c r="AV86" s="250"/>
      <c r="AW86" s="250"/>
      <c r="AX86" s="250"/>
      <c r="AY86" s="250"/>
    </row>
    <row r="87" spans="1:51" ht="45.6" x14ac:dyDescent="0.2">
      <c r="A87" s="218"/>
      <c r="B87" s="224" t="s">
        <v>10</v>
      </c>
      <c r="C87" s="224"/>
      <c r="D87" s="226" t="s">
        <v>11</v>
      </c>
      <c r="E87" s="224"/>
      <c r="F87" s="228" t="s">
        <v>796</v>
      </c>
      <c r="G87" s="225"/>
      <c r="H87" s="228" t="s">
        <v>38</v>
      </c>
      <c r="I87" s="225"/>
      <c r="J87" s="226" t="s">
        <v>31</v>
      </c>
      <c r="K87" s="227"/>
      <c r="L87" s="226" t="s">
        <v>27</v>
      </c>
      <c r="M87" s="227"/>
      <c r="N87" s="226" t="s">
        <v>23</v>
      </c>
      <c r="O87" s="227"/>
      <c r="P87" s="226">
        <v>2009</v>
      </c>
      <c r="Q87" s="230" t="s">
        <v>518</v>
      </c>
      <c r="R87" s="261">
        <v>24053</v>
      </c>
      <c r="S87" s="262"/>
      <c r="T87" s="265">
        <v>800000</v>
      </c>
      <c r="U87" s="227"/>
      <c r="V87" s="264">
        <v>24053</v>
      </c>
      <c r="W87" s="227"/>
      <c r="X87" s="233">
        <v>800000</v>
      </c>
      <c r="Y87" s="227"/>
      <c r="Z87" s="264">
        <v>17767</v>
      </c>
      <c r="AA87" s="227"/>
      <c r="AB87" s="233">
        <v>2210000</v>
      </c>
      <c r="AC87" s="227"/>
      <c r="AD87" s="264">
        <v>14613</v>
      </c>
      <c r="AE87" s="227"/>
      <c r="AF87" s="233">
        <v>1838000</v>
      </c>
      <c r="AG87" s="264">
        <v>14103</v>
      </c>
      <c r="AH87" s="227"/>
      <c r="AI87" s="233">
        <v>1873000</v>
      </c>
      <c r="AJ87" s="251"/>
      <c r="AK87" s="250"/>
      <c r="AL87" s="250" t="s">
        <v>761</v>
      </c>
      <c r="AM87" s="250"/>
      <c r="AN87" s="250" t="s">
        <v>30</v>
      </c>
      <c r="AO87" s="250"/>
      <c r="AP87" s="250"/>
      <c r="AQ87" s="250"/>
      <c r="AR87" s="250"/>
      <c r="AS87" s="250"/>
      <c r="AT87" s="250"/>
      <c r="AU87" s="250"/>
      <c r="AV87" s="250"/>
      <c r="AW87" s="250"/>
      <c r="AX87" s="250"/>
      <c r="AY87" s="250"/>
    </row>
    <row r="88" spans="1:51" x14ac:dyDescent="0.25">
      <c r="A88" s="204"/>
      <c r="B88" s="348" t="s">
        <v>591</v>
      </c>
      <c r="C88" s="349"/>
      <c r="D88" s="349"/>
      <c r="E88" s="219"/>
      <c r="F88" s="222"/>
      <c r="G88" s="220"/>
      <c r="H88" s="222"/>
      <c r="I88" s="220"/>
      <c r="J88" s="221"/>
      <c r="K88" s="223"/>
      <c r="L88" s="221"/>
      <c r="M88" s="223"/>
      <c r="N88" s="221"/>
      <c r="O88" s="223"/>
      <c r="P88" s="221"/>
      <c r="Q88" s="300"/>
      <c r="R88" s="297">
        <f>SUM(R2:R87)</f>
        <v>38107</v>
      </c>
      <c r="S88" s="281"/>
      <c r="T88" s="298">
        <f>SUM(T2:T87)</f>
        <v>10272831</v>
      </c>
      <c r="U88" s="281"/>
      <c r="V88" s="299">
        <f>SUM(V2:V87)</f>
        <v>39008</v>
      </c>
      <c r="W88" s="281"/>
      <c r="X88" s="298">
        <f>SUM(X2:X87)</f>
        <v>47147900.939999998</v>
      </c>
      <c r="Y88" s="298">
        <v>0</v>
      </c>
      <c r="Z88" s="299">
        <f>SUM(Z2:Z87)</f>
        <v>27228</v>
      </c>
      <c r="AA88" s="298">
        <v>0</v>
      </c>
      <c r="AB88" s="298">
        <f>SUM(AB2:AB87)</f>
        <v>22090805.100000001</v>
      </c>
      <c r="AC88" s="298">
        <v>0</v>
      </c>
      <c r="AD88" s="299">
        <f>SUM(AD2:AD87)</f>
        <v>25332</v>
      </c>
      <c r="AE88" s="298">
        <v>0</v>
      </c>
      <c r="AF88" s="298">
        <f>SUM(AF2:AF87)</f>
        <v>22523074</v>
      </c>
      <c r="AG88" s="299">
        <f>SUM(AG2:AG87)</f>
        <v>36824</v>
      </c>
      <c r="AH88" s="298">
        <v>0</v>
      </c>
      <c r="AI88" s="298">
        <f>SUM(AI2:AI87)</f>
        <v>23350625</v>
      </c>
      <c r="AJ88" s="235"/>
      <c r="AK88" s="205"/>
      <c r="AL88" s="205"/>
      <c r="AM88" s="205"/>
      <c r="AN88" s="205"/>
      <c r="AO88" s="205"/>
      <c r="AP88" s="205"/>
      <c r="AQ88" s="205"/>
      <c r="AR88" s="205"/>
      <c r="AS88" s="205"/>
      <c r="AT88" s="205"/>
      <c r="AU88" s="205"/>
      <c r="AV88" s="205"/>
      <c r="AW88" s="205"/>
      <c r="AX88" s="205"/>
      <c r="AY88" s="205"/>
    </row>
    <row r="89" spans="1:51" x14ac:dyDescent="0.25">
      <c r="A89" s="206"/>
      <c r="B89" s="206" t="s">
        <v>797</v>
      </c>
      <c r="C89" s="206"/>
      <c r="D89" s="200"/>
      <c r="E89" s="206"/>
      <c r="F89" s="202"/>
      <c r="G89" s="208"/>
      <c r="H89" s="202"/>
      <c r="I89" s="208"/>
      <c r="J89" s="200"/>
      <c r="K89" s="201"/>
      <c r="L89" s="200"/>
      <c r="M89" s="201"/>
      <c r="N89" s="200"/>
      <c r="O89" s="201"/>
      <c r="P89" s="200"/>
      <c r="Q89" s="216"/>
      <c r="R89" s="299"/>
      <c r="S89" s="281"/>
      <c r="T89" s="298"/>
      <c r="U89" s="281"/>
      <c r="V89" s="299"/>
      <c r="W89" s="281"/>
      <c r="X89" s="298"/>
      <c r="Y89" s="281"/>
      <c r="Z89" s="299"/>
      <c r="AA89" s="281"/>
      <c r="AB89" s="298"/>
      <c r="AC89" s="281"/>
      <c r="AD89" s="299"/>
      <c r="AE89" s="281"/>
      <c r="AF89" s="298"/>
      <c r="AG89" s="299"/>
      <c r="AH89" s="281"/>
      <c r="AI89" s="298"/>
      <c r="AJ89" s="199"/>
      <c r="AK89" s="205"/>
      <c r="AL89" s="205"/>
      <c r="AM89" s="205"/>
      <c r="AN89" s="205"/>
      <c r="AO89" s="205"/>
      <c r="AP89" s="205"/>
      <c r="AQ89" s="205"/>
      <c r="AR89" s="205"/>
      <c r="AS89" s="205"/>
      <c r="AT89" s="205"/>
      <c r="AU89" s="205"/>
      <c r="AV89" s="205"/>
      <c r="AW89" s="205"/>
      <c r="AX89" s="205"/>
      <c r="AY89" s="205"/>
    </row>
    <row r="90" spans="1:51" ht="11.4" x14ac:dyDescent="0.2">
      <c r="A90" s="211"/>
      <c r="B90" s="210"/>
      <c r="C90" s="210"/>
      <c r="D90" s="212"/>
      <c r="E90" s="213"/>
      <c r="F90" s="214"/>
      <c r="G90" s="212"/>
      <c r="H90" s="214"/>
      <c r="I90" s="212"/>
      <c r="J90" s="212"/>
      <c r="K90" s="213"/>
      <c r="L90" s="213"/>
      <c r="M90" s="213"/>
      <c r="N90" s="213"/>
      <c r="O90" s="213"/>
      <c r="P90" s="213"/>
      <c r="Q90" s="217"/>
      <c r="R90" s="213"/>
      <c r="S90" s="213"/>
      <c r="T90" s="215"/>
      <c r="U90" s="213"/>
      <c r="V90" s="213"/>
      <c r="W90" s="213"/>
      <c r="X90" s="213"/>
      <c r="Y90" s="213"/>
      <c r="Z90" s="213"/>
      <c r="AA90" s="213"/>
      <c r="AB90" s="215"/>
      <c r="AC90" s="213"/>
      <c r="AD90" s="213"/>
      <c r="AE90" s="213"/>
      <c r="AF90" s="213"/>
      <c r="AG90" s="213"/>
      <c r="AH90" s="213"/>
      <c r="AI90" s="213"/>
      <c r="AJ90" s="210"/>
      <c r="AK90" s="210"/>
      <c r="AL90" s="210"/>
      <c r="AM90" s="210"/>
      <c r="AN90" s="210"/>
      <c r="AO90" s="210"/>
      <c r="AP90" s="210"/>
      <c r="AQ90" s="210"/>
      <c r="AR90" s="210"/>
      <c r="AS90" s="210"/>
      <c r="AT90" s="210"/>
      <c r="AU90" s="210"/>
      <c r="AV90" s="210"/>
      <c r="AW90" s="210"/>
      <c r="AX90" s="210"/>
      <c r="AY90" s="210"/>
    </row>
    <row r="91" spans="1:51" x14ac:dyDescent="0.25">
      <c r="A91" s="206"/>
      <c r="B91" s="206"/>
      <c r="C91" s="206"/>
      <c r="D91" s="200"/>
      <c r="E91" s="206"/>
      <c r="F91" s="202"/>
      <c r="G91" s="208"/>
      <c r="H91" s="202"/>
      <c r="I91" s="208"/>
      <c r="J91" s="200"/>
      <c r="K91" s="201"/>
      <c r="L91" s="200"/>
      <c r="M91" s="201"/>
      <c r="N91" s="200"/>
      <c r="O91" s="201"/>
      <c r="P91" s="200"/>
      <c r="Q91" s="216"/>
      <c r="R91" s="201"/>
      <c r="S91" s="201"/>
      <c r="T91" s="209"/>
      <c r="U91" s="201"/>
      <c r="V91" s="201"/>
      <c r="W91" s="201"/>
      <c r="X91" s="201"/>
      <c r="Y91" s="201"/>
      <c r="Z91" s="201"/>
      <c r="AA91" s="201"/>
      <c r="AB91" s="209"/>
      <c r="AC91" s="201"/>
      <c r="AD91" s="201"/>
      <c r="AE91" s="201"/>
      <c r="AF91" s="201"/>
      <c r="AG91" s="201"/>
      <c r="AH91" s="201"/>
      <c r="AI91" s="201"/>
      <c r="AJ91" s="199"/>
      <c r="AK91" s="205"/>
      <c r="AL91" s="205"/>
      <c r="AM91" s="205"/>
      <c r="AN91" s="205"/>
      <c r="AO91" s="205"/>
      <c r="AP91" s="205"/>
      <c r="AQ91" s="205"/>
      <c r="AR91" s="205"/>
      <c r="AS91" s="205"/>
      <c r="AT91" s="205"/>
      <c r="AU91" s="205"/>
      <c r="AV91" s="205"/>
      <c r="AW91" s="205"/>
      <c r="AX91" s="205"/>
      <c r="AY91" s="205"/>
    </row>
    <row r="92" spans="1:51" x14ac:dyDescent="0.25">
      <c r="A92" s="206"/>
      <c r="B92" s="206"/>
      <c r="C92" s="206"/>
      <c r="D92" s="200"/>
      <c r="E92" s="206"/>
      <c r="F92" s="202"/>
      <c r="G92" s="208"/>
      <c r="H92" s="202"/>
      <c r="I92" s="208"/>
      <c r="J92" s="200"/>
      <c r="K92" s="201"/>
      <c r="L92" s="200"/>
      <c r="M92" s="201"/>
      <c r="N92" s="200"/>
      <c r="O92" s="201"/>
      <c r="P92" s="200"/>
      <c r="Q92" s="216"/>
      <c r="R92" s="201"/>
      <c r="S92" s="201"/>
      <c r="T92" s="209"/>
      <c r="U92" s="201"/>
      <c r="V92" s="201"/>
      <c r="W92" s="201"/>
      <c r="X92" s="201"/>
      <c r="Y92" s="201"/>
      <c r="Z92" s="201"/>
      <c r="AA92" s="201"/>
      <c r="AB92" s="209"/>
      <c r="AC92" s="201"/>
      <c r="AD92" s="201"/>
      <c r="AE92" s="201"/>
      <c r="AF92" s="201"/>
      <c r="AG92" s="201"/>
      <c r="AH92" s="201"/>
      <c r="AI92" s="201"/>
      <c r="AJ92" s="199"/>
      <c r="AK92" s="205"/>
      <c r="AL92" s="205"/>
      <c r="AM92" s="205"/>
      <c r="AN92" s="205"/>
      <c r="AO92" s="205"/>
      <c r="AP92" s="205"/>
      <c r="AQ92" s="205"/>
      <c r="AR92" s="205"/>
      <c r="AS92" s="205"/>
      <c r="AT92" s="205"/>
      <c r="AU92" s="205"/>
      <c r="AV92" s="205"/>
      <c r="AW92" s="205"/>
      <c r="AX92" s="205"/>
      <c r="AY92" s="205"/>
    </row>
    <row r="93" spans="1:51" x14ac:dyDescent="0.25">
      <c r="A93" s="206"/>
      <c r="B93" s="206"/>
      <c r="C93" s="206"/>
      <c r="D93" s="200"/>
      <c r="E93" s="206"/>
      <c r="F93" s="202"/>
      <c r="G93" s="208"/>
      <c r="H93" s="202"/>
      <c r="I93" s="208"/>
      <c r="J93" s="200"/>
      <c r="K93" s="201"/>
      <c r="L93" s="200"/>
      <c r="M93" s="201"/>
      <c r="N93" s="200"/>
      <c r="O93" s="201"/>
      <c r="P93" s="200"/>
      <c r="Q93" s="216"/>
      <c r="R93" s="201"/>
      <c r="S93" s="201"/>
      <c r="T93" s="209"/>
      <c r="U93" s="201"/>
      <c r="V93" s="201"/>
      <c r="W93" s="201"/>
      <c r="X93" s="201"/>
      <c r="Y93" s="201"/>
      <c r="Z93" s="201"/>
      <c r="AA93" s="201"/>
      <c r="AB93" s="209"/>
      <c r="AC93" s="201"/>
      <c r="AD93" s="201"/>
      <c r="AE93" s="201"/>
      <c r="AF93" s="201"/>
      <c r="AG93" s="201"/>
      <c r="AH93" s="201"/>
      <c r="AI93" s="201"/>
      <c r="AJ93" s="199"/>
      <c r="AK93" s="205"/>
      <c r="AL93" s="205"/>
      <c r="AM93" s="205"/>
      <c r="AN93" s="205"/>
      <c r="AO93" s="205"/>
      <c r="AP93" s="205"/>
      <c r="AQ93" s="205"/>
      <c r="AR93" s="205"/>
      <c r="AS93" s="205"/>
      <c r="AT93" s="205"/>
      <c r="AU93" s="205"/>
      <c r="AV93" s="205"/>
      <c r="AW93" s="205"/>
      <c r="AX93" s="205"/>
      <c r="AY93" s="205"/>
    </row>
    <row r="94" spans="1:51" x14ac:dyDescent="0.25">
      <c r="A94" s="206"/>
      <c r="B94" s="206"/>
      <c r="C94" s="206"/>
      <c r="D94" s="200"/>
      <c r="E94" s="206"/>
      <c r="F94" s="202"/>
      <c r="G94" s="208"/>
      <c r="H94" s="202"/>
      <c r="I94" s="208"/>
      <c r="J94" s="200"/>
      <c r="K94" s="201"/>
      <c r="L94" s="200"/>
      <c r="M94" s="201"/>
      <c r="N94" s="200"/>
      <c r="O94" s="201"/>
      <c r="P94" s="200"/>
      <c r="Q94" s="216"/>
      <c r="R94" s="201"/>
      <c r="S94" s="201"/>
      <c r="T94" s="209"/>
      <c r="U94" s="201"/>
      <c r="V94" s="201"/>
      <c r="W94" s="201"/>
      <c r="X94" s="201"/>
      <c r="Y94" s="201"/>
      <c r="Z94" s="201"/>
      <c r="AA94" s="201"/>
      <c r="AB94" s="209"/>
      <c r="AC94" s="201"/>
      <c r="AD94" s="201"/>
      <c r="AE94" s="201"/>
      <c r="AF94" s="201"/>
      <c r="AG94" s="201"/>
      <c r="AH94" s="201"/>
      <c r="AI94" s="201"/>
      <c r="AJ94" s="199"/>
      <c r="AK94" s="205"/>
      <c r="AL94" s="205"/>
      <c r="AM94" s="205"/>
      <c r="AN94" s="205"/>
      <c r="AO94" s="205"/>
      <c r="AP94" s="205"/>
      <c r="AQ94" s="205"/>
      <c r="AR94" s="205"/>
      <c r="AS94" s="205"/>
      <c r="AT94" s="205"/>
      <c r="AU94" s="205"/>
      <c r="AV94" s="205"/>
      <c r="AW94" s="205"/>
      <c r="AX94" s="205"/>
      <c r="AY94" s="205"/>
    </row>
    <row r="95" spans="1:51" x14ac:dyDescent="0.25">
      <c r="A95" s="206"/>
      <c r="B95" s="206"/>
      <c r="C95" s="206"/>
      <c r="D95" s="200"/>
      <c r="E95" s="206"/>
      <c r="F95" s="202"/>
      <c r="G95" s="208"/>
      <c r="H95" s="202"/>
      <c r="I95" s="208"/>
      <c r="J95" s="200"/>
      <c r="K95" s="201"/>
      <c r="L95" s="200"/>
      <c r="M95" s="201"/>
      <c r="N95" s="200"/>
      <c r="O95" s="201"/>
      <c r="P95" s="200"/>
      <c r="Q95" s="216"/>
      <c r="R95" s="201"/>
      <c r="S95" s="201"/>
      <c r="T95" s="209"/>
      <c r="U95" s="201"/>
      <c r="V95" s="201"/>
      <c r="W95" s="201"/>
      <c r="X95" s="201"/>
      <c r="Y95" s="201"/>
      <c r="Z95" s="201"/>
      <c r="AA95" s="201"/>
      <c r="AB95" s="209"/>
      <c r="AC95" s="201"/>
      <c r="AD95" s="201"/>
      <c r="AE95" s="201"/>
      <c r="AF95" s="201"/>
      <c r="AG95" s="201"/>
      <c r="AH95" s="201"/>
      <c r="AI95" s="201"/>
      <c r="AJ95" s="199"/>
      <c r="AK95" s="205"/>
      <c r="AL95" s="205"/>
      <c r="AM95" s="205"/>
      <c r="AN95" s="205"/>
      <c r="AO95" s="205"/>
      <c r="AP95" s="205"/>
      <c r="AQ95" s="205"/>
      <c r="AR95" s="205"/>
      <c r="AS95" s="205"/>
      <c r="AT95" s="205"/>
      <c r="AU95" s="205"/>
      <c r="AV95" s="205"/>
      <c r="AW95" s="205"/>
      <c r="AX95" s="205"/>
      <c r="AY95" s="205"/>
    </row>
    <row r="96" spans="1:51" x14ac:dyDescent="0.25">
      <c r="A96" s="206"/>
      <c r="B96" s="206"/>
      <c r="C96" s="206"/>
      <c r="D96" s="200"/>
      <c r="E96" s="206"/>
      <c r="F96" s="202"/>
      <c r="G96" s="208"/>
      <c r="H96" s="202"/>
      <c r="I96" s="208"/>
      <c r="J96" s="200"/>
      <c r="K96" s="201"/>
      <c r="L96" s="200"/>
      <c r="M96" s="201"/>
      <c r="N96" s="200"/>
      <c r="O96" s="201"/>
      <c r="P96" s="200"/>
      <c r="Q96" s="216"/>
      <c r="R96" s="201"/>
      <c r="S96" s="201"/>
      <c r="T96" s="209"/>
      <c r="U96" s="201"/>
      <c r="V96" s="201"/>
      <c r="W96" s="201"/>
      <c r="X96" s="201"/>
      <c r="Y96" s="201"/>
      <c r="Z96" s="201"/>
      <c r="AA96" s="201"/>
      <c r="AB96" s="209"/>
      <c r="AC96" s="201"/>
      <c r="AD96" s="201"/>
      <c r="AE96" s="201"/>
      <c r="AF96" s="201"/>
      <c r="AG96" s="201"/>
      <c r="AH96" s="201"/>
      <c r="AI96" s="201"/>
      <c r="AJ96" s="199"/>
      <c r="AK96" s="205"/>
      <c r="AL96" s="205"/>
      <c r="AM96" s="205"/>
      <c r="AN96" s="205"/>
      <c r="AO96" s="205"/>
      <c r="AP96" s="205"/>
      <c r="AQ96" s="205"/>
      <c r="AR96" s="205"/>
      <c r="AS96" s="205"/>
      <c r="AT96" s="205"/>
      <c r="AU96" s="205"/>
      <c r="AV96" s="205"/>
      <c r="AW96" s="205"/>
      <c r="AX96" s="205"/>
      <c r="AY96" s="205"/>
    </row>
    <row r="97" spans="1:51" x14ac:dyDescent="0.25">
      <c r="A97" s="206"/>
      <c r="B97" s="206"/>
      <c r="C97" s="206"/>
      <c r="D97" s="200"/>
      <c r="E97" s="206"/>
      <c r="F97" s="202"/>
      <c r="G97" s="208"/>
      <c r="H97" s="202"/>
      <c r="I97" s="208"/>
      <c r="J97" s="200"/>
      <c r="K97" s="201"/>
      <c r="L97" s="200"/>
      <c r="M97" s="201"/>
      <c r="N97" s="200"/>
      <c r="O97" s="201"/>
      <c r="P97" s="200"/>
      <c r="Q97" s="216"/>
      <c r="R97" s="201"/>
      <c r="S97" s="201"/>
      <c r="T97" s="209"/>
      <c r="U97" s="201"/>
      <c r="V97" s="201"/>
      <c r="W97" s="201"/>
      <c r="X97" s="201"/>
      <c r="Y97" s="201"/>
      <c r="Z97" s="201"/>
      <c r="AA97" s="201"/>
      <c r="AB97" s="209"/>
      <c r="AC97" s="201"/>
      <c r="AD97" s="201"/>
      <c r="AE97" s="201"/>
      <c r="AF97" s="201"/>
      <c r="AG97" s="201"/>
      <c r="AH97" s="201"/>
      <c r="AI97" s="201"/>
      <c r="AJ97" s="199"/>
      <c r="AK97" s="198"/>
      <c r="AL97" s="198"/>
      <c r="AM97" s="198"/>
      <c r="AN97" s="198"/>
      <c r="AO97" s="198"/>
      <c r="AP97" s="198"/>
      <c r="AQ97" s="198"/>
      <c r="AR97" s="198"/>
      <c r="AS97" s="198"/>
      <c r="AT97" s="198"/>
      <c r="AU97" s="198"/>
      <c r="AV97" s="198"/>
      <c r="AW97" s="198"/>
      <c r="AX97" s="198"/>
      <c r="AY97" s="198"/>
    </row>
    <row r="98" spans="1:51" x14ac:dyDescent="0.25">
      <c r="A98" s="206"/>
      <c r="B98" s="206"/>
      <c r="C98" s="206"/>
      <c r="D98" s="200"/>
      <c r="E98" s="206"/>
      <c r="F98" s="202"/>
      <c r="G98" s="208"/>
      <c r="H98" s="202"/>
      <c r="I98" s="208"/>
      <c r="J98" s="200"/>
      <c r="K98" s="201"/>
      <c r="L98" s="200"/>
      <c r="M98" s="201"/>
      <c r="N98" s="200"/>
      <c r="O98" s="201"/>
      <c r="P98" s="200"/>
      <c r="Q98" s="216"/>
      <c r="R98" s="201"/>
      <c r="S98" s="201"/>
      <c r="T98" s="209"/>
      <c r="U98" s="201"/>
      <c r="V98" s="201"/>
      <c r="W98" s="201"/>
      <c r="X98" s="201"/>
      <c r="Y98" s="201"/>
      <c r="Z98" s="201"/>
      <c r="AA98" s="201"/>
      <c r="AB98" s="209"/>
      <c r="AC98" s="201"/>
      <c r="AD98" s="201"/>
      <c r="AE98" s="201"/>
      <c r="AF98" s="201"/>
      <c r="AG98" s="201"/>
      <c r="AH98" s="201"/>
      <c r="AI98" s="201"/>
      <c r="AJ98" s="199"/>
      <c r="AK98" s="198"/>
      <c r="AL98" s="198"/>
      <c r="AM98" s="198"/>
      <c r="AN98" s="198"/>
      <c r="AO98" s="198"/>
      <c r="AP98" s="198"/>
      <c r="AQ98" s="198"/>
      <c r="AR98" s="198"/>
      <c r="AS98" s="198"/>
      <c r="AT98" s="198"/>
      <c r="AU98" s="198"/>
      <c r="AV98" s="198"/>
      <c r="AW98" s="198"/>
      <c r="AX98" s="198"/>
      <c r="AY98" s="198"/>
    </row>
    <row r="99" spans="1:51" x14ac:dyDescent="0.25">
      <c r="A99" s="206"/>
      <c r="B99" s="206"/>
      <c r="C99" s="206"/>
      <c r="D99" s="200"/>
      <c r="E99" s="206"/>
      <c r="F99" s="202"/>
      <c r="G99" s="208"/>
      <c r="H99" s="202"/>
      <c r="I99" s="208"/>
      <c r="J99" s="200"/>
      <c r="K99" s="201"/>
      <c r="L99" s="200"/>
      <c r="M99" s="201"/>
      <c r="N99" s="200"/>
      <c r="O99" s="201"/>
      <c r="P99" s="200"/>
      <c r="Q99" s="216"/>
      <c r="R99" s="201"/>
      <c r="S99" s="201"/>
      <c r="T99" s="209"/>
      <c r="U99" s="201"/>
      <c r="V99" s="201"/>
      <c r="W99" s="201"/>
      <c r="X99" s="201"/>
      <c r="Y99" s="201"/>
      <c r="Z99" s="201"/>
      <c r="AA99" s="201"/>
      <c r="AB99" s="209"/>
      <c r="AC99" s="201"/>
      <c r="AD99" s="201"/>
      <c r="AE99" s="201"/>
      <c r="AF99" s="201"/>
      <c r="AG99" s="201"/>
      <c r="AH99" s="201"/>
      <c r="AI99" s="201"/>
      <c r="AJ99" s="199"/>
      <c r="AK99" s="198"/>
      <c r="AL99" s="198"/>
      <c r="AM99" s="198"/>
      <c r="AN99" s="198"/>
      <c r="AO99" s="198"/>
      <c r="AP99" s="198"/>
      <c r="AQ99" s="198"/>
      <c r="AR99" s="198"/>
      <c r="AS99" s="198"/>
      <c r="AT99" s="198"/>
      <c r="AU99" s="198"/>
      <c r="AV99" s="198"/>
      <c r="AW99" s="198"/>
      <c r="AX99" s="198"/>
      <c r="AY99" s="198"/>
    </row>
    <row r="100" spans="1:51" x14ac:dyDescent="0.25">
      <c r="A100" s="206"/>
      <c r="B100" s="206"/>
      <c r="C100" s="206"/>
      <c r="D100" s="200"/>
      <c r="E100" s="206"/>
      <c r="F100" s="202"/>
      <c r="G100" s="208"/>
      <c r="H100" s="202"/>
      <c r="I100" s="208"/>
      <c r="J100" s="200"/>
      <c r="K100" s="201"/>
      <c r="L100" s="200"/>
      <c r="M100" s="201"/>
      <c r="N100" s="200"/>
      <c r="O100" s="201"/>
      <c r="P100" s="200"/>
      <c r="Q100" s="216"/>
      <c r="R100" s="201"/>
      <c r="S100" s="201"/>
      <c r="T100" s="209"/>
      <c r="U100" s="201"/>
      <c r="V100" s="201"/>
      <c r="W100" s="201"/>
      <c r="X100" s="201"/>
      <c r="Y100" s="201"/>
      <c r="Z100" s="201"/>
      <c r="AA100" s="201"/>
      <c r="AB100" s="209"/>
      <c r="AC100" s="201"/>
      <c r="AD100" s="201"/>
      <c r="AE100" s="201"/>
      <c r="AF100" s="201"/>
      <c r="AG100" s="201"/>
      <c r="AH100" s="201"/>
      <c r="AI100" s="201"/>
      <c r="AJ100" s="199"/>
      <c r="AK100" s="198"/>
      <c r="AL100" s="198"/>
      <c r="AM100" s="198"/>
      <c r="AN100" s="198"/>
      <c r="AO100" s="198"/>
      <c r="AP100" s="198"/>
      <c r="AQ100" s="198"/>
      <c r="AR100" s="198"/>
      <c r="AS100" s="198"/>
      <c r="AT100" s="198"/>
      <c r="AU100" s="198"/>
      <c r="AV100" s="198"/>
      <c r="AW100" s="198"/>
      <c r="AX100" s="198"/>
      <c r="AY100" s="198"/>
    </row>
    <row r="101" spans="1:51" x14ac:dyDescent="0.25">
      <c r="A101" s="206"/>
      <c r="B101" s="206"/>
      <c r="C101" s="206"/>
      <c r="D101" s="200"/>
      <c r="E101" s="206"/>
      <c r="F101" s="202"/>
      <c r="G101" s="208"/>
      <c r="H101" s="202"/>
      <c r="I101" s="208"/>
      <c r="J101" s="200"/>
      <c r="K101" s="201"/>
      <c r="L101" s="200"/>
      <c r="M101" s="201"/>
      <c r="N101" s="200"/>
      <c r="O101" s="201"/>
      <c r="P101" s="200"/>
      <c r="Q101" s="216"/>
      <c r="R101" s="201"/>
      <c r="S101" s="201"/>
      <c r="T101" s="209"/>
      <c r="U101" s="201"/>
      <c r="V101" s="201"/>
      <c r="W101" s="201"/>
      <c r="X101" s="201"/>
      <c r="Y101" s="201"/>
      <c r="Z101" s="201"/>
      <c r="AA101" s="201"/>
      <c r="AB101" s="209"/>
      <c r="AC101" s="201"/>
      <c r="AD101" s="201"/>
      <c r="AE101" s="201"/>
      <c r="AF101" s="201"/>
      <c r="AG101" s="201"/>
      <c r="AH101" s="201"/>
      <c r="AI101" s="201"/>
      <c r="AJ101" s="199"/>
      <c r="AK101" s="198"/>
      <c r="AL101" s="198"/>
      <c r="AM101" s="198"/>
      <c r="AN101" s="198"/>
      <c r="AO101" s="198"/>
      <c r="AP101" s="198"/>
      <c r="AQ101" s="198"/>
      <c r="AR101" s="198"/>
      <c r="AS101" s="198"/>
      <c r="AT101" s="198"/>
      <c r="AU101" s="198"/>
      <c r="AV101" s="198"/>
      <c r="AW101" s="198"/>
      <c r="AX101" s="198"/>
      <c r="AY101" s="198"/>
    </row>
    <row r="102" spans="1:51" x14ac:dyDescent="0.25">
      <c r="A102" s="206"/>
      <c r="B102" s="206"/>
      <c r="C102" s="206"/>
      <c r="D102" s="200"/>
      <c r="E102" s="206"/>
      <c r="F102" s="202"/>
      <c r="G102" s="208"/>
      <c r="H102" s="202"/>
      <c r="I102" s="208"/>
      <c r="J102" s="200"/>
      <c r="K102" s="201"/>
      <c r="L102" s="200"/>
      <c r="M102" s="201"/>
      <c r="N102" s="200"/>
      <c r="O102" s="201"/>
      <c r="P102" s="200"/>
      <c r="Q102" s="216"/>
      <c r="R102" s="201"/>
      <c r="S102" s="201"/>
      <c r="T102" s="209"/>
      <c r="U102" s="201"/>
      <c r="V102" s="201"/>
      <c r="W102" s="201"/>
      <c r="X102" s="201"/>
      <c r="Y102" s="201"/>
      <c r="Z102" s="201"/>
      <c r="AA102" s="201"/>
      <c r="AB102" s="209"/>
      <c r="AC102" s="201"/>
      <c r="AD102" s="201"/>
      <c r="AE102" s="201"/>
      <c r="AF102" s="201"/>
      <c r="AG102" s="201"/>
      <c r="AH102" s="201"/>
      <c r="AI102" s="201"/>
      <c r="AJ102" s="199"/>
      <c r="AK102" s="198"/>
      <c r="AL102" s="198"/>
      <c r="AM102" s="198"/>
      <c r="AN102" s="198"/>
      <c r="AO102" s="198"/>
      <c r="AP102" s="198"/>
      <c r="AQ102" s="198"/>
      <c r="AR102" s="198"/>
      <c r="AS102" s="198"/>
      <c r="AT102" s="198"/>
      <c r="AU102" s="198"/>
      <c r="AV102" s="198"/>
      <c r="AW102" s="198"/>
      <c r="AX102" s="198"/>
      <c r="AY102" s="198"/>
    </row>
    <row r="103" spans="1:51" x14ac:dyDescent="0.25">
      <c r="A103" s="206"/>
      <c r="B103" s="206"/>
      <c r="C103" s="206"/>
      <c r="D103" s="200"/>
      <c r="E103" s="206"/>
      <c r="F103" s="202"/>
      <c r="G103" s="208"/>
      <c r="H103" s="202"/>
      <c r="I103" s="208"/>
      <c r="J103" s="200"/>
      <c r="K103" s="201"/>
      <c r="L103" s="200"/>
      <c r="M103" s="201"/>
      <c r="N103" s="200"/>
      <c r="O103" s="201"/>
      <c r="P103" s="200"/>
      <c r="Q103" s="216"/>
      <c r="R103" s="201"/>
      <c r="S103" s="201"/>
      <c r="T103" s="209"/>
      <c r="U103" s="201"/>
      <c r="V103" s="201"/>
      <c r="W103" s="201"/>
      <c r="X103" s="201"/>
      <c r="Y103" s="201"/>
      <c r="Z103" s="201"/>
      <c r="AA103" s="201"/>
      <c r="AB103" s="209"/>
      <c r="AC103" s="201"/>
      <c r="AD103" s="201"/>
      <c r="AE103" s="201"/>
      <c r="AF103" s="201"/>
      <c r="AG103" s="201"/>
      <c r="AH103" s="201"/>
      <c r="AI103" s="201"/>
      <c r="AJ103" s="199"/>
      <c r="AK103" s="198"/>
      <c r="AL103" s="198"/>
      <c r="AM103" s="198"/>
      <c r="AN103" s="198"/>
      <c r="AO103" s="198"/>
      <c r="AP103" s="198"/>
      <c r="AQ103" s="198"/>
      <c r="AR103" s="198"/>
      <c r="AS103" s="198"/>
      <c r="AT103" s="198"/>
      <c r="AU103" s="198"/>
      <c r="AV103" s="198"/>
      <c r="AW103" s="198"/>
      <c r="AX103" s="198"/>
      <c r="AY103" s="198"/>
    </row>
    <row r="104" spans="1:51" x14ac:dyDescent="0.25">
      <c r="A104" s="206"/>
      <c r="B104" s="206"/>
      <c r="C104" s="206"/>
      <c r="D104" s="200"/>
      <c r="E104" s="206"/>
      <c r="F104" s="202"/>
      <c r="G104" s="208"/>
      <c r="H104" s="202"/>
      <c r="I104" s="208"/>
      <c r="J104" s="200"/>
      <c r="K104" s="201"/>
      <c r="L104" s="200"/>
      <c r="M104" s="201"/>
      <c r="N104" s="200"/>
      <c r="O104" s="201"/>
      <c r="P104" s="200"/>
      <c r="Q104" s="216"/>
      <c r="R104" s="201"/>
      <c r="S104" s="201"/>
      <c r="T104" s="209"/>
      <c r="U104" s="201"/>
      <c r="V104" s="201"/>
      <c r="W104" s="201"/>
      <c r="X104" s="201"/>
      <c r="Y104" s="201"/>
      <c r="Z104" s="201"/>
      <c r="AA104" s="201"/>
      <c r="AB104" s="209"/>
      <c r="AC104" s="201"/>
      <c r="AD104" s="201"/>
      <c r="AE104" s="201"/>
      <c r="AF104" s="201"/>
      <c r="AG104" s="201"/>
      <c r="AH104" s="201"/>
      <c r="AI104" s="201"/>
      <c r="AJ104" s="199"/>
      <c r="AK104" s="198"/>
      <c r="AL104" s="198"/>
      <c r="AM104" s="198"/>
      <c r="AN104" s="198"/>
      <c r="AO104" s="198"/>
      <c r="AP104" s="198"/>
      <c r="AQ104" s="198"/>
      <c r="AR104" s="198"/>
      <c r="AS104" s="198"/>
      <c r="AT104" s="198"/>
      <c r="AU104" s="198"/>
      <c r="AV104" s="198"/>
      <c r="AW104" s="198"/>
      <c r="AX104" s="198"/>
      <c r="AY104" s="198"/>
    </row>
    <row r="105" spans="1:51" x14ac:dyDescent="0.25">
      <c r="A105" s="206"/>
      <c r="B105" s="206"/>
      <c r="C105" s="206"/>
      <c r="D105" s="200"/>
      <c r="E105" s="206"/>
      <c r="F105" s="202"/>
      <c r="G105" s="208"/>
      <c r="H105" s="202"/>
      <c r="I105" s="208"/>
      <c r="J105" s="200"/>
      <c r="K105" s="201"/>
      <c r="L105" s="200"/>
      <c r="M105" s="201"/>
      <c r="N105" s="200"/>
      <c r="O105" s="201"/>
      <c r="P105" s="200"/>
      <c r="Q105" s="216"/>
      <c r="R105" s="201"/>
      <c r="S105" s="201"/>
      <c r="T105" s="209"/>
      <c r="U105" s="201"/>
      <c r="V105" s="201"/>
      <c r="W105" s="201"/>
      <c r="X105" s="201"/>
      <c r="Y105" s="201"/>
      <c r="Z105" s="201"/>
      <c r="AA105" s="201"/>
      <c r="AB105" s="209"/>
      <c r="AC105" s="201"/>
      <c r="AD105" s="201"/>
      <c r="AE105" s="201"/>
      <c r="AF105" s="201"/>
      <c r="AG105" s="201"/>
      <c r="AH105" s="201"/>
      <c r="AI105" s="201"/>
      <c r="AJ105" s="199"/>
      <c r="AK105" s="198"/>
      <c r="AL105" s="198"/>
      <c r="AM105" s="198"/>
      <c r="AN105" s="198"/>
      <c r="AO105" s="198"/>
      <c r="AP105" s="198"/>
      <c r="AQ105" s="198"/>
      <c r="AR105" s="198"/>
      <c r="AS105" s="198"/>
      <c r="AT105" s="198"/>
      <c r="AU105" s="198"/>
      <c r="AV105" s="198"/>
      <c r="AW105" s="198"/>
      <c r="AX105" s="198"/>
      <c r="AY105" s="198"/>
    </row>
    <row r="106" spans="1:51" x14ac:dyDescent="0.25">
      <c r="A106" s="206"/>
      <c r="B106" s="206"/>
      <c r="C106" s="206"/>
      <c r="D106" s="200"/>
      <c r="E106" s="206"/>
      <c r="F106" s="202"/>
      <c r="G106" s="208"/>
      <c r="H106" s="202"/>
      <c r="I106" s="208"/>
      <c r="J106" s="200"/>
      <c r="K106" s="201"/>
      <c r="L106" s="200"/>
      <c r="M106" s="201"/>
      <c r="N106" s="200"/>
      <c r="O106" s="201"/>
      <c r="P106" s="200"/>
      <c r="Q106" s="216"/>
      <c r="R106" s="201"/>
      <c r="S106" s="201"/>
      <c r="T106" s="209"/>
      <c r="U106" s="201"/>
      <c r="V106" s="201"/>
      <c r="W106" s="201"/>
      <c r="X106" s="201"/>
      <c r="Y106" s="201"/>
      <c r="Z106" s="201"/>
      <c r="AA106" s="201"/>
      <c r="AB106" s="209"/>
      <c r="AC106" s="201"/>
      <c r="AD106" s="201"/>
      <c r="AE106" s="201"/>
      <c r="AF106" s="201"/>
      <c r="AG106" s="201"/>
      <c r="AH106" s="201"/>
      <c r="AI106" s="201"/>
      <c r="AJ106" s="199"/>
      <c r="AK106" s="198"/>
      <c r="AL106" s="198"/>
      <c r="AM106" s="198"/>
      <c r="AN106" s="198"/>
      <c r="AO106" s="198"/>
      <c r="AP106" s="198"/>
      <c r="AQ106" s="198"/>
      <c r="AR106" s="198"/>
      <c r="AS106" s="198"/>
      <c r="AT106" s="198"/>
      <c r="AU106" s="198"/>
      <c r="AV106" s="198"/>
      <c r="AW106" s="198"/>
      <c r="AX106" s="198"/>
      <c r="AY106" s="198"/>
    </row>
    <row r="107" spans="1:51" x14ac:dyDescent="0.25">
      <c r="A107" s="206"/>
      <c r="B107" s="206"/>
      <c r="C107" s="206"/>
      <c r="D107" s="200"/>
      <c r="E107" s="206"/>
      <c r="F107" s="202"/>
      <c r="G107" s="208"/>
      <c r="H107" s="202"/>
      <c r="I107" s="208"/>
      <c r="J107" s="200"/>
      <c r="K107" s="201"/>
      <c r="L107" s="200"/>
      <c r="M107" s="201"/>
      <c r="N107" s="200"/>
      <c r="O107" s="201"/>
      <c r="P107" s="200"/>
      <c r="Q107" s="216"/>
      <c r="R107" s="201"/>
      <c r="S107" s="201"/>
      <c r="T107" s="209"/>
      <c r="U107" s="201"/>
      <c r="V107" s="201"/>
      <c r="W107" s="201"/>
      <c r="X107" s="201"/>
      <c r="Y107" s="201"/>
      <c r="Z107" s="201"/>
      <c r="AA107" s="201"/>
      <c r="AB107" s="209"/>
      <c r="AC107" s="201"/>
      <c r="AD107" s="201"/>
      <c r="AE107" s="201"/>
      <c r="AF107" s="201"/>
      <c r="AG107" s="201"/>
      <c r="AH107" s="201"/>
      <c r="AI107" s="201"/>
      <c r="AJ107" s="199"/>
      <c r="AK107" s="198"/>
      <c r="AL107" s="198"/>
      <c r="AM107" s="198"/>
      <c r="AN107" s="198"/>
      <c r="AO107" s="198"/>
      <c r="AP107" s="198"/>
      <c r="AQ107" s="198"/>
      <c r="AR107" s="198"/>
      <c r="AS107" s="198"/>
      <c r="AT107" s="198"/>
      <c r="AU107" s="198"/>
      <c r="AV107" s="198"/>
      <c r="AW107" s="198"/>
      <c r="AX107" s="198"/>
      <c r="AY107" s="198"/>
    </row>
    <row r="108" spans="1:51" x14ac:dyDescent="0.25">
      <c r="A108" s="206"/>
      <c r="B108" s="206"/>
      <c r="C108" s="206"/>
      <c r="D108" s="200"/>
      <c r="E108" s="206"/>
      <c r="F108" s="202"/>
      <c r="G108" s="208"/>
      <c r="H108" s="202"/>
      <c r="I108" s="208"/>
      <c r="J108" s="200"/>
      <c r="K108" s="201"/>
      <c r="L108" s="200"/>
      <c r="M108" s="201"/>
      <c r="N108" s="200"/>
      <c r="O108" s="201"/>
      <c r="P108" s="200"/>
      <c r="Q108" s="216"/>
      <c r="R108" s="201"/>
      <c r="S108" s="201"/>
      <c r="T108" s="209"/>
      <c r="U108" s="201"/>
      <c r="V108" s="201"/>
      <c r="W108" s="201"/>
      <c r="X108" s="201"/>
      <c r="Y108" s="201"/>
      <c r="Z108" s="201"/>
      <c r="AA108" s="201"/>
      <c r="AB108" s="209"/>
      <c r="AC108" s="201"/>
      <c r="AD108" s="201"/>
      <c r="AE108" s="201"/>
      <c r="AF108" s="201"/>
      <c r="AG108" s="201"/>
      <c r="AH108" s="201"/>
      <c r="AI108" s="201"/>
      <c r="AJ108" s="199"/>
      <c r="AK108" s="198"/>
      <c r="AL108" s="198"/>
      <c r="AM108" s="198"/>
      <c r="AN108" s="198"/>
      <c r="AO108" s="198"/>
      <c r="AP108" s="198"/>
      <c r="AQ108" s="198"/>
      <c r="AR108" s="198"/>
      <c r="AS108" s="198"/>
      <c r="AT108" s="198"/>
      <c r="AU108" s="198"/>
      <c r="AV108" s="198"/>
      <c r="AW108" s="198"/>
      <c r="AX108" s="198"/>
      <c r="AY108" s="198"/>
    </row>
    <row r="109" spans="1:51" x14ac:dyDescent="0.25">
      <c r="A109" s="206"/>
      <c r="B109" s="206"/>
      <c r="C109" s="206"/>
      <c r="D109" s="200"/>
      <c r="E109" s="206"/>
      <c r="F109" s="202"/>
      <c r="G109" s="208"/>
      <c r="H109" s="202"/>
      <c r="I109" s="208"/>
      <c r="J109" s="200"/>
      <c r="K109" s="201"/>
      <c r="L109" s="200"/>
      <c r="M109" s="201"/>
      <c r="N109" s="200"/>
      <c r="O109" s="201"/>
      <c r="P109" s="200"/>
      <c r="Q109" s="216"/>
      <c r="R109" s="201"/>
      <c r="S109" s="201"/>
      <c r="T109" s="209"/>
      <c r="U109" s="201"/>
      <c r="V109" s="201"/>
      <c r="W109" s="201"/>
      <c r="X109" s="201"/>
      <c r="Y109" s="201"/>
      <c r="Z109" s="201"/>
      <c r="AA109" s="201"/>
      <c r="AB109" s="209"/>
      <c r="AC109" s="201"/>
      <c r="AD109" s="201"/>
      <c r="AE109" s="201"/>
      <c r="AF109" s="201"/>
      <c r="AG109" s="201"/>
      <c r="AH109" s="201"/>
      <c r="AI109" s="201"/>
      <c r="AJ109" s="199"/>
      <c r="AK109" s="198"/>
      <c r="AL109" s="198"/>
      <c r="AM109" s="198"/>
      <c r="AN109" s="198"/>
      <c r="AO109" s="198"/>
      <c r="AP109" s="198"/>
      <c r="AQ109" s="198"/>
      <c r="AR109" s="198"/>
      <c r="AS109" s="198"/>
      <c r="AT109" s="198"/>
      <c r="AU109" s="198"/>
      <c r="AV109" s="198"/>
      <c r="AW109" s="198"/>
      <c r="AX109" s="198"/>
      <c r="AY109" s="198"/>
    </row>
    <row r="110" spans="1:51" x14ac:dyDescent="0.25">
      <c r="A110" s="206"/>
      <c r="B110" s="206"/>
      <c r="C110" s="206"/>
      <c r="D110" s="200"/>
      <c r="E110" s="206"/>
      <c r="F110" s="202"/>
      <c r="G110" s="208"/>
      <c r="H110" s="202"/>
      <c r="I110" s="208"/>
      <c r="J110" s="200"/>
      <c r="K110" s="201"/>
      <c r="L110" s="200"/>
      <c r="M110" s="201"/>
      <c r="N110" s="200"/>
      <c r="O110" s="201"/>
      <c r="P110" s="200"/>
      <c r="Q110" s="216"/>
      <c r="R110" s="201"/>
      <c r="S110" s="201"/>
      <c r="T110" s="209"/>
      <c r="U110" s="201"/>
      <c r="V110" s="201"/>
      <c r="W110" s="201"/>
      <c r="X110" s="201"/>
      <c r="Y110" s="201"/>
      <c r="Z110" s="201"/>
      <c r="AA110" s="201"/>
      <c r="AB110" s="209"/>
      <c r="AC110" s="201"/>
      <c r="AD110" s="201"/>
      <c r="AE110" s="201"/>
      <c r="AF110" s="201"/>
      <c r="AG110" s="201"/>
      <c r="AH110" s="201"/>
      <c r="AI110" s="201"/>
      <c r="AJ110" s="199"/>
      <c r="AK110" s="198"/>
      <c r="AL110" s="198"/>
      <c r="AM110" s="198"/>
      <c r="AN110" s="198"/>
      <c r="AO110" s="198"/>
      <c r="AP110" s="198"/>
      <c r="AQ110" s="198"/>
      <c r="AR110" s="198"/>
      <c r="AS110" s="198"/>
      <c r="AT110" s="198"/>
      <c r="AU110" s="198"/>
      <c r="AV110" s="198"/>
      <c r="AW110" s="198"/>
      <c r="AX110" s="198"/>
      <c r="AY110" s="198"/>
    </row>
    <row r="111" spans="1:51" x14ac:dyDescent="0.25">
      <c r="A111" s="206"/>
      <c r="B111" s="206"/>
      <c r="C111" s="206"/>
      <c r="D111" s="200"/>
      <c r="E111" s="206"/>
      <c r="F111" s="202"/>
      <c r="G111" s="208"/>
      <c r="H111" s="202"/>
      <c r="I111" s="208"/>
      <c r="J111" s="200"/>
      <c r="K111" s="201"/>
      <c r="L111" s="200"/>
      <c r="M111" s="201"/>
      <c r="N111" s="200"/>
      <c r="O111" s="201"/>
      <c r="P111" s="200"/>
      <c r="Q111" s="216"/>
      <c r="R111" s="201"/>
      <c r="S111" s="201"/>
      <c r="T111" s="209"/>
      <c r="U111" s="201"/>
      <c r="V111" s="201"/>
      <c r="W111" s="201"/>
      <c r="X111" s="201"/>
      <c r="Y111" s="201"/>
      <c r="Z111" s="201"/>
      <c r="AA111" s="201"/>
      <c r="AB111" s="209"/>
      <c r="AC111" s="201"/>
      <c r="AD111" s="201"/>
      <c r="AE111" s="201"/>
      <c r="AF111" s="201"/>
      <c r="AG111" s="201"/>
      <c r="AH111" s="201"/>
      <c r="AI111" s="201"/>
      <c r="AJ111" s="199"/>
      <c r="AK111" s="198"/>
      <c r="AL111" s="198"/>
      <c r="AM111" s="198"/>
      <c r="AN111" s="198"/>
      <c r="AO111" s="198"/>
      <c r="AP111" s="198"/>
      <c r="AQ111" s="198"/>
      <c r="AR111" s="198"/>
      <c r="AS111" s="198"/>
      <c r="AT111" s="198"/>
      <c r="AU111" s="198"/>
      <c r="AV111" s="198"/>
      <c r="AW111" s="198"/>
      <c r="AX111" s="198"/>
      <c r="AY111" s="198"/>
    </row>
    <row r="112" spans="1:51" x14ac:dyDescent="0.25">
      <c r="A112" s="206"/>
      <c r="B112" s="206"/>
      <c r="C112" s="206"/>
      <c r="D112" s="200"/>
      <c r="E112" s="206"/>
      <c r="F112" s="202"/>
      <c r="G112" s="208"/>
      <c r="H112" s="202"/>
      <c r="I112" s="208"/>
      <c r="J112" s="200"/>
      <c r="K112" s="201"/>
      <c r="L112" s="200"/>
      <c r="M112" s="201"/>
      <c r="N112" s="200"/>
      <c r="O112" s="201"/>
      <c r="P112" s="200"/>
      <c r="Q112" s="216"/>
      <c r="R112" s="201"/>
      <c r="S112" s="201"/>
      <c r="T112" s="209"/>
      <c r="U112" s="201"/>
      <c r="V112" s="201"/>
      <c r="W112" s="201"/>
      <c r="X112" s="201"/>
      <c r="Y112" s="201"/>
      <c r="Z112" s="201"/>
      <c r="AA112" s="201"/>
      <c r="AB112" s="209"/>
      <c r="AC112" s="201"/>
      <c r="AD112" s="201"/>
      <c r="AE112" s="201"/>
      <c r="AF112" s="201"/>
      <c r="AG112" s="201"/>
      <c r="AH112" s="201"/>
      <c r="AI112" s="201"/>
      <c r="AJ112" s="199"/>
      <c r="AK112" s="198"/>
      <c r="AL112" s="198"/>
      <c r="AM112" s="198"/>
      <c r="AN112" s="198"/>
      <c r="AO112" s="198"/>
      <c r="AP112" s="198"/>
      <c r="AQ112" s="198"/>
      <c r="AR112" s="198"/>
      <c r="AS112" s="198"/>
      <c r="AT112" s="198"/>
      <c r="AU112" s="198"/>
      <c r="AV112" s="198"/>
      <c r="AW112" s="198"/>
      <c r="AX112" s="198"/>
      <c r="AY112" s="198"/>
    </row>
    <row r="113" spans="1:51" x14ac:dyDescent="0.25">
      <c r="A113" s="206"/>
      <c r="B113" s="206"/>
      <c r="C113" s="206"/>
      <c r="D113" s="200"/>
      <c r="E113" s="206"/>
      <c r="F113" s="202"/>
      <c r="G113" s="208"/>
      <c r="H113" s="202"/>
      <c r="I113" s="208"/>
      <c r="J113" s="200"/>
      <c r="K113" s="201"/>
      <c r="L113" s="200"/>
      <c r="M113" s="201"/>
      <c r="N113" s="200"/>
      <c r="O113" s="201"/>
      <c r="P113" s="200"/>
      <c r="Q113" s="216"/>
      <c r="R113" s="201"/>
      <c r="S113" s="201"/>
      <c r="T113" s="209"/>
      <c r="U113" s="201"/>
      <c r="V113" s="201"/>
      <c r="W113" s="201"/>
      <c r="X113" s="201"/>
      <c r="Y113" s="201"/>
      <c r="Z113" s="201"/>
      <c r="AA113" s="201"/>
      <c r="AB113" s="209"/>
      <c r="AC113" s="201"/>
      <c r="AD113" s="201"/>
      <c r="AE113" s="201"/>
      <c r="AF113" s="201"/>
      <c r="AG113" s="201"/>
      <c r="AH113" s="201"/>
      <c r="AI113" s="201"/>
      <c r="AJ113" s="199"/>
      <c r="AK113" s="198"/>
      <c r="AL113" s="198"/>
      <c r="AM113" s="198"/>
      <c r="AN113" s="198"/>
      <c r="AO113" s="198"/>
      <c r="AP113" s="198"/>
      <c r="AQ113" s="198"/>
      <c r="AR113" s="198"/>
      <c r="AS113" s="198"/>
      <c r="AT113" s="198"/>
      <c r="AU113" s="198"/>
      <c r="AV113" s="198"/>
      <c r="AW113" s="198"/>
      <c r="AX113" s="198"/>
      <c r="AY113" s="198"/>
    </row>
    <row r="114" spans="1:51" x14ac:dyDescent="0.25">
      <c r="A114" s="206"/>
      <c r="B114" s="206"/>
      <c r="C114" s="206"/>
      <c r="D114" s="200"/>
      <c r="E114" s="206"/>
      <c r="F114" s="202"/>
      <c r="G114" s="208"/>
      <c r="H114" s="202"/>
      <c r="I114" s="208"/>
      <c r="J114" s="200"/>
      <c r="K114" s="201"/>
      <c r="L114" s="200"/>
      <c r="M114" s="201"/>
      <c r="N114" s="200"/>
      <c r="O114" s="201"/>
      <c r="P114" s="200"/>
      <c r="Q114" s="216"/>
      <c r="R114" s="201"/>
      <c r="S114" s="201"/>
      <c r="T114" s="209"/>
      <c r="U114" s="201"/>
      <c r="V114" s="201"/>
      <c r="W114" s="201"/>
      <c r="X114" s="201"/>
      <c r="Y114" s="201"/>
      <c r="Z114" s="201"/>
      <c r="AA114" s="201"/>
      <c r="AB114" s="209"/>
      <c r="AC114" s="201"/>
      <c r="AD114" s="201"/>
      <c r="AE114" s="201"/>
      <c r="AF114" s="201"/>
      <c r="AG114" s="201"/>
      <c r="AH114" s="201"/>
      <c r="AI114" s="201"/>
      <c r="AJ114" s="199"/>
      <c r="AK114" s="198"/>
      <c r="AL114" s="198"/>
      <c r="AM114" s="198"/>
      <c r="AN114" s="198"/>
      <c r="AO114" s="198"/>
      <c r="AP114" s="198"/>
      <c r="AQ114" s="198"/>
      <c r="AR114" s="198"/>
      <c r="AS114" s="198"/>
      <c r="AT114" s="198"/>
      <c r="AU114" s="198"/>
      <c r="AV114" s="198"/>
      <c r="AW114" s="198"/>
      <c r="AX114" s="198"/>
      <c r="AY114" s="198"/>
    </row>
    <row r="115" spans="1:51" x14ac:dyDescent="0.25">
      <c r="A115" s="206"/>
      <c r="B115" s="206"/>
      <c r="C115" s="206"/>
      <c r="D115" s="200"/>
      <c r="E115" s="206"/>
      <c r="F115" s="202"/>
      <c r="G115" s="208"/>
      <c r="H115" s="202"/>
      <c r="I115" s="208"/>
      <c r="J115" s="200"/>
      <c r="K115" s="201"/>
      <c r="L115" s="200"/>
      <c r="M115" s="201"/>
      <c r="N115" s="200"/>
      <c r="O115" s="201"/>
      <c r="P115" s="200"/>
      <c r="Q115" s="216"/>
      <c r="R115" s="201"/>
      <c r="S115" s="201"/>
      <c r="T115" s="209"/>
      <c r="U115" s="201"/>
      <c r="V115" s="201"/>
      <c r="W115" s="201"/>
      <c r="X115" s="201"/>
      <c r="Y115" s="201"/>
      <c r="Z115" s="201"/>
      <c r="AA115" s="201"/>
      <c r="AB115" s="209"/>
      <c r="AC115" s="201"/>
      <c r="AD115" s="201"/>
      <c r="AE115" s="201"/>
      <c r="AF115" s="201"/>
      <c r="AG115" s="201"/>
      <c r="AH115" s="201"/>
      <c r="AI115" s="201"/>
      <c r="AJ115" s="199"/>
      <c r="AK115" s="198"/>
      <c r="AL115" s="198"/>
      <c r="AM115" s="198"/>
      <c r="AN115" s="198"/>
      <c r="AO115" s="198"/>
      <c r="AP115" s="198"/>
      <c r="AQ115" s="198"/>
      <c r="AR115" s="198"/>
      <c r="AS115" s="198"/>
      <c r="AT115" s="198"/>
      <c r="AU115" s="198"/>
      <c r="AV115" s="198"/>
      <c r="AW115" s="198"/>
      <c r="AX115" s="198"/>
      <c r="AY115" s="198"/>
    </row>
    <row r="116" spans="1:51" x14ac:dyDescent="0.25">
      <c r="A116" s="206"/>
      <c r="B116" s="206"/>
      <c r="C116" s="206"/>
      <c r="D116" s="200"/>
      <c r="E116" s="206"/>
      <c r="F116" s="202"/>
      <c r="G116" s="208"/>
      <c r="H116" s="202"/>
      <c r="I116" s="208"/>
      <c r="J116" s="200"/>
      <c r="K116" s="201"/>
      <c r="L116" s="200"/>
      <c r="M116" s="201"/>
      <c r="N116" s="200"/>
      <c r="O116" s="201"/>
      <c r="P116" s="200"/>
      <c r="Q116" s="216"/>
      <c r="R116" s="201"/>
      <c r="S116" s="201"/>
      <c r="T116" s="209"/>
      <c r="U116" s="201"/>
      <c r="V116" s="201"/>
      <c r="W116" s="201"/>
      <c r="X116" s="201"/>
      <c r="Y116" s="201"/>
      <c r="Z116" s="201"/>
      <c r="AA116" s="201"/>
      <c r="AB116" s="209"/>
      <c r="AC116" s="201"/>
      <c r="AD116" s="201"/>
      <c r="AE116" s="201"/>
      <c r="AF116" s="201"/>
      <c r="AG116" s="201"/>
      <c r="AH116" s="201"/>
      <c r="AI116" s="201"/>
      <c r="AJ116" s="199"/>
      <c r="AK116" s="198"/>
      <c r="AL116" s="198"/>
      <c r="AM116" s="198"/>
      <c r="AN116" s="198"/>
      <c r="AO116" s="198"/>
      <c r="AP116" s="198"/>
      <c r="AQ116" s="198"/>
      <c r="AR116" s="198"/>
      <c r="AS116" s="198"/>
      <c r="AT116" s="198"/>
      <c r="AU116" s="198"/>
      <c r="AV116" s="198"/>
      <c r="AW116" s="198"/>
      <c r="AX116" s="198"/>
      <c r="AY116" s="198"/>
    </row>
    <row r="117" spans="1:51" x14ac:dyDescent="0.25">
      <c r="A117" s="206"/>
      <c r="B117" s="206"/>
      <c r="C117" s="206"/>
      <c r="D117" s="200"/>
      <c r="E117" s="206"/>
      <c r="F117" s="202"/>
      <c r="G117" s="208"/>
      <c r="H117" s="202"/>
      <c r="I117" s="208"/>
      <c r="J117" s="200"/>
      <c r="K117" s="201"/>
      <c r="L117" s="200"/>
      <c r="M117" s="201"/>
      <c r="N117" s="200"/>
      <c r="O117" s="201"/>
      <c r="P117" s="200"/>
      <c r="Q117" s="216"/>
      <c r="R117" s="201"/>
      <c r="S117" s="201"/>
      <c r="T117" s="209"/>
      <c r="U117" s="201"/>
      <c r="V117" s="201"/>
      <c r="W117" s="201"/>
      <c r="X117" s="201"/>
      <c r="Y117" s="201"/>
      <c r="Z117" s="201"/>
      <c r="AA117" s="201"/>
      <c r="AB117" s="209"/>
      <c r="AC117" s="201"/>
      <c r="AD117" s="201"/>
      <c r="AE117" s="201"/>
      <c r="AF117" s="201"/>
      <c r="AG117" s="201"/>
      <c r="AH117" s="201"/>
      <c r="AI117" s="201"/>
      <c r="AJ117" s="199"/>
      <c r="AK117" s="198"/>
      <c r="AL117" s="198"/>
      <c r="AM117" s="198"/>
      <c r="AN117" s="198"/>
      <c r="AO117" s="198"/>
      <c r="AP117" s="198"/>
      <c r="AQ117" s="198"/>
      <c r="AR117" s="198"/>
      <c r="AS117" s="198"/>
      <c r="AT117" s="198"/>
      <c r="AU117" s="198"/>
      <c r="AV117" s="198"/>
      <c r="AW117" s="198"/>
      <c r="AX117" s="198"/>
      <c r="AY117" s="198"/>
    </row>
    <row r="118" spans="1:51" x14ac:dyDescent="0.25">
      <c r="A118" s="206"/>
      <c r="B118" s="206"/>
      <c r="C118" s="206"/>
      <c r="D118" s="200"/>
      <c r="E118" s="206"/>
      <c r="F118" s="202"/>
      <c r="G118" s="208"/>
      <c r="H118" s="202"/>
      <c r="I118" s="208"/>
      <c r="J118" s="200"/>
      <c r="K118" s="201"/>
      <c r="L118" s="200"/>
      <c r="M118" s="201"/>
      <c r="N118" s="200"/>
      <c r="O118" s="201"/>
      <c r="P118" s="200"/>
      <c r="Q118" s="216"/>
      <c r="R118" s="201"/>
      <c r="S118" s="201"/>
      <c r="T118" s="209"/>
      <c r="U118" s="201"/>
      <c r="V118" s="201"/>
      <c r="W118" s="201"/>
      <c r="X118" s="201"/>
      <c r="Y118" s="201"/>
      <c r="Z118" s="201"/>
      <c r="AA118" s="201"/>
      <c r="AB118" s="209"/>
      <c r="AC118" s="201"/>
      <c r="AD118" s="201"/>
      <c r="AE118" s="201"/>
      <c r="AF118" s="201"/>
      <c r="AG118" s="201"/>
      <c r="AH118" s="201"/>
      <c r="AI118" s="201"/>
      <c r="AJ118" s="199"/>
      <c r="AK118" s="198"/>
      <c r="AL118" s="198"/>
      <c r="AM118" s="198"/>
      <c r="AN118" s="198"/>
      <c r="AO118" s="198"/>
      <c r="AP118" s="198"/>
      <c r="AQ118" s="198"/>
      <c r="AR118" s="198"/>
      <c r="AS118" s="198"/>
      <c r="AT118" s="198"/>
      <c r="AU118" s="198"/>
      <c r="AV118" s="198"/>
      <c r="AW118" s="198"/>
      <c r="AX118" s="198"/>
      <c r="AY118" s="198"/>
    </row>
    <row r="119" spans="1:51" x14ac:dyDescent="0.25">
      <c r="A119" s="206"/>
      <c r="B119" s="206"/>
      <c r="C119" s="206"/>
      <c r="D119" s="200"/>
      <c r="E119" s="206"/>
      <c r="F119" s="202"/>
      <c r="G119" s="208"/>
      <c r="H119" s="202"/>
      <c r="I119" s="208"/>
      <c r="J119" s="200"/>
      <c r="K119" s="201"/>
      <c r="L119" s="200"/>
      <c r="M119" s="201"/>
      <c r="N119" s="200"/>
      <c r="O119" s="201"/>
      <c r="P119" s="200"/>
      <c r="Q119" s="216"/>
      <c r="R119" s="201"/>
      <c r="S119" s="201"/>
      <c r="T119" s="209"/>
      <c r="U119" s="201"/>
      <c r="V119" s="201"/>
      <c r="W119" s="201"/>
      <c r="X119" s="201"/>
      <c r="Y119" s="201"/>
      <c r="Z119" s="201"/>
      <c r="AA119" s="201"/>
      <c r="AB119" s="209"/>
      <c r="AC119" s="201"/>
      <c r="AD119" s="201"/>
      <c r="AE119" s="201"/>
      <c r="AF119" s="201"/>
      <c r="AG119" s="201"/>
      <c r="AH119" s="201"/>
      <c r="AI119" s="201"/>
      <c r="AJ119" s="199"/>
      <c r="AK119" s="198"/>
      <c r="AL119" s="198"/>
      <c r="AM119" s="198"/>
      <c r="AN119" s="198"/>
      <c r="AO119" s="198"/>
      <c r="AP119" s="198"/>
      <c r="AQ119" s="198"/>
      <c r="AR119" s="198"/>
      <c r="AS119" s="198"/>
      <c r="AT119" s="198"/>
      <c r="AU119" s="198"/>
      <c r="AV119" s="198"/>
      <c r="AW119" s="198"/>
      <c r="AX119" s="198"/>
      <c r="AY119" s="198"/>
    </row>
    <row r="120" spans="1:51" x14ac:dyDescent="0.25">
      <c r="A120" s="206"/>
      <c r="B120" s="206"/>
      <c r="C120" s="206"/>
      <c r="D120" s="200"/>
      <c r="E120" s="206"/>
      <c r="F120" s="202"/>
      <c r="G120" s="208"/>
      <c r="H120" s="202"/>
      <c r="I120" s="208"/>
      <c r="J120" s="200"/>
      <c r="K120" s="201"/>
      <c r="L120" s="200"/>
      <c r="M120" s="201"/>
      <c r="N120" s="200"/>
      <c r="O120" s="201"/>
      <c r="P120" s="200"/>
      <c r="Q120" s="216"/>
      <c r="R120" s="201"/>
      <c r="S120" s="201"/>
      <c r="T120" s="209"/>
      <c r="U120" s="201"/>
      <c r="V120" s="201"/>
      <c r="W120" s="201"/>
      <c r="X120" s="201"/>
      <c r="Y120" s="201"/>
      <c r="Z120" s="201"/>
      <c r="AA120" s="201"/>
      <c r="AB120" s="209"/>
      <c r="AC120" s="201"/>
      <c r="AD120" s="201"/>
      <c r="AE120" s="201"/>
      <c r="AF120" s="201"/>
      <c r="AG120" s="201"/>
      <c r="AH120" s="201"/>
      <c r="AI120" s="201"/>
      <c r="AJ120" s="199"/>
      <c r="AK120" s="198"/>
      <c r="AL120" s="198"/>
      <c r="AM120" s="198"/>
      <c r="AN120" s="198"/>
      <c r="AO120" s="198"/>
      <c r="AP120" s="198"/>
      <c r="AQ120" s="198"/>
      <c r="AR120" s="198"/>
      <c r="AS120" s="198"/>
      <c r="AT120" s="198"/>
      <c r="AU120" s="198"/>
      <c r="AV120" s="198"/>
      <c r="AW120" s="198"/>
      <c r="AX120" s="198"/>
      <c r="AY120" s="198"/>
    </row>
    <row r="121" spans="1:51" x14ac:dyDescent="0.25">
      <c r="A121" s="206"/>
      <c r="B121" s="206"/>
      <c r="C121" s="206"/>
      <c r="D121" s="200"/>
      <c r="E121" s="206"/>
      <c r="F121" s="202"/>
      <c r="G121" s="208"/>
      <c r="H121" s="202"/>
      <c r="I121" s="208"/>
      <c r="J121" s="200"/>
      <c r="K121" s="201"/>
      <c r="L121" s="200"/>
      <c r="M121" s="201"/>
      <c r="N121" s="200"/>
      <c r="O121" s="201"/>
      <c r="P121" s="200"/>
      <c r="Q121" s="216"/>
      <c r="R121" s="201"/>
      <c r="S121" s="201"/>
      <c r="T121" s="209"/>
      <c r="U121" s="201"/>
      <c r="V121" s="201"/>
      <c r="W121" s="201"/>
      <c r="X121" s="201"/>
      <c r="Y121" s="201"/>
      <c r="Z121" s="201"/>
      <c r="AA121" s="201"/>
      <c r="AB121" s="209"/>
      <c r="AC121" s="201"/>
      <c r="AD121" s="201"/>
      <c r="AE121" s="201"/>
      <c r="AF121" s="201"/>
      <c r="AG121" s="201"/>
      <c r="AH121" s="201"/>
      <c r="AI121" s="201"/>
      <c r="AJ121" s="199"/>
      <c r="AK121" s="198"/>
      <c r="AL121" s="198"/>
      <c r="AM121" s="198"/>
      <c r="AN121" s="198"/>
      <c r="AO121" s="198"/>
      <c r="AP121" s="198"/>
      <c r="AQ121" s="198"/>
      <c r="AR121" s="198"/>
      <c r="AS121" s="198"/>
      <c r="AT121" s="198"/>
      <c r="AU121" s="198"/>
      <c r="AV121" s="198"/>
      <c r="AW121" s="198"/>
      <c r="AX121" s="198"/>
      <c r="AY121" s="198"/>
    </row>
    <row r="122" spans="1:51" x14ac:dyDescent="0.25">
      <c r="A122" s="206"/>
      <c r="B122" s="206"/>
      <c r="C122" s="206"/>
      <c r="D122" s="200"/>
      <c r="E122" s="206"/>
      <c r="F122" s="202"/>
      <c r="G122" s="208"/>
      <c r="H122" s="202"/>
      <c r="I122" s="208"/>
      <c r="J122" s="200"/>
      <c r="K122" s="201"/>
      <c r="L122" s="200"/>
      <c r="M122" s="201"/>
      <c r="N122" s="200"/>
      <c r="O122" s="201"/>
      <c r="P122" s="200"/>
      <c r="Q122" s="216"/>
      <c r="R122" s="201"/>
      <c r="S122" s="201"/>
      <c r="T122" s="209"/>
      <c r="U122" s="201"/>
      <c r="V122" s="201"/>
      <c r="W122" s="201"/>
      <c r="X122" s="201"/>
      <c r="Y122" s="201"/>
      <c r="Z122" s="201"/>
      <c r="AA122" s="201"/>
      <c r="AB122" s="209"/>
      <c r="AC122" s="201"/>
      <c r="AD122" s="201"/>
      <c r="AE122" s="201"/>
      <c r="AF122" s="201"/>
      <c r="AG122" s="201"/>
      <c r="AH122" s="201"/>
      <c r="AI122" s="201"/>
      <c r="AJ122" s="199"/>
      <c r="AK122" s="198"/>
      <c r="AL122" s="198"/>
      <c r="AM122" s="198"/>
      <c r="AN122" s="198"/>
      <c r="AO122" s="198"/>
      <c r="AP122" s="198"/>
      <c r="AQ122" s="198"/>
      <c r="AR122" s="198"/>
      <c r="AS122" s="198"/>
      <c r="AT122" s="198"/>
      <c r="AU122" s="198"/>
      <c r="AV122" s="198"/>
      <c r="AW122" s="198"/>
      <c r="AX122" s="198"/>
      <c r="AY122" s="198"/>
    </row>
    <row r="123" spans="1:51" x14ac:dyDescent="0.25">
      <c r="A123" s="206"/>
      <c r="B123" s="206"/>
      <c r="C123" s="206"/>
      <c r="D123" s="200"/>
      <c r="E123" s="206"/>
      <c r="F123" s="202"/>
      <c r="G123" s="208"/>
      <c r="H123" s="202"/>
      <c r="I123" s="208"/>
      <c r="J123" s="200"/>
      <c r="K123" s="201"/>
      <c r="L123" s="200"/>
      <c r="M123" s="201"/>
      <c r="N123" s="200"/>
      <c r="O123" s="201"/>
      <c r="P123" s="200"/>
      <c r="Q123" s="216"/>
      <c r="R123" s="201"/>
      <c r="S123" s="201"/>
      <c r="T123" s="209"/>
      <c r="U123" s="201"/>
      <c r="V123" s="201"/>
      <c r="W123" s="201"/>
      <c r="X123" s="201"/>
      <c r="Y123" s="201"/>
      <c r="Z123" s="201"/>
      <c r="AA123" s="201"/>
      <c r="AB123" s="209"/>
      <c r="AC123" s="201"/>
      <c r="AD123" s="201"/>
      <c r="AE123" s="201"/>
      <c r="AF123" s="201"/>
      <c r="AG123" s="201"/>
      <c r="AH123" s="201"/>
      <c r="AI123" s="201"/>
      <c r="AJ123" s="199"/>
      <c r="AK123" s="198"/>
      <c r="AL123" s="198"/>
      <c r="AM123" s="198"/>
      <c r="AN123" s="198"/>
      <c r="AO123" s="198"/>
      <c r="AP123" s="198"/>
      <c r="AQ123" s="198"/>
      <c r="AR123" s="198"/>
      <c r="AS123" s="198"/>
      <c r="AT123" s="198"/>
      <c r="AU123" s="198"/>
      <c r="AV123" s="198"/>
      <c r="AW123" s="198"/>
      <c r="AX123" s="198"/>
      <c r="AY123" s="198"/>
    </row>
    <row r="124" spans="1:51" x14ac:dyDescent="0.25">
      <c r="A124" s="206"/>
      <c r="B124" s="206"/>
      <c r="C124" s="206"/>
      <c r="D124" s="200"/>
      <c r="E124" s="206"/>
      <c r="F124" s="202"/>
      <c r="G124" s="208"/>
      <c r="H124" s="202"/>
      <c r="I124" s="208"/>
      <c r="J124" s="200"/>
      <c r="K124" s="201"/>
      <c r="L124" s="200"/>
      <c r="M124" s="201"/>
      <c r="N124" s="200"/>
      <c r="O124" s="201"/>
      <c r="P124" s="200"/>
      <c r="Q124" s="216"/>
      <c r="R124" s="201"/>
      <c r="S124" s="201"/>
      <c r="T124" s="209"/>
      <c r="U124" s="201"/>
      <c r="V124" s="201"/>
      <c r="W124" s="201"/>
      <c r="X124" s="201"/>
      <c r="Y124" s="201"/>
      <c r="Z124" s="201"/>
      <c r="AA124" s="201"/>
      <c r="AB124" s="209"/>
      <c r="AC124" s="201"/>
      <c r="AD124" s="201"/>
      <c r="AE124" s="201"/>
      <c r="AF124" s="201"/>
      <c r="AG124" s="201"/>
      <c r="AH124" s="201"/>
      <c r="AI124" s="201"/>
      <c r="AJ124" s="199"/>
      <c r="AK124" s="198"/>
      <c r="AL124" s="198"/>
      <c r="AM124" s="198"/>
      <c r="AN124" s="198"/>
      <c r="AO124" s="198"/>
      <c r="AP124" s="198"/>
      <c r="AQ124" s="198"/>
      <c r="AR124" s="198"/>
      <c r="AS124" s="198"/>
      <c r="AT124" s="198"/>
      <c r="AU124" s="198"/>
      <c r="AV124" s="198"/>
      <c r="AW124" s="198"/>
      <c r="AX124" s="198"/>
      <c r="AY124" s="198"/>
    </row>
    <row r="125" spans="1:51" x14ac:dyDescent="0.25">
      <c r="A125" s="206"/>
      <c r="B125" s="206"/>
      <c r="C125" s="206"/>
      <c r="D125" s="200"/>
      <c r="E125" s="206"/>
      <c r="F125" s="202"/>
      <c r="G125" s="208"/>
      <c r="H125" s="202"/>
      <c r="I125" s="208"/>
      <c r="J125" s="200"/>
      <c r="K125" s="201"/>
      <c r="L125" s="200"/>
      <c r="M125" s="201"/>
      <c r="N125" s="200"/>
      <c r="O125" s="201"/>
      <c r="P125" s="200"/>
      <c r="Q125" s="216"/>
      <c r="R125" s="201"/>
      <c r="S125" s="201"/>
      <c r="T125" s="209"/>
      <c r="U125" s="201"/>
      <c r="V125" s="201"/>
      <c r="W125" s="201"/>
      <c r="X125" s="201"/>
      <c r="Y125" s="201"/>
      <c r="Z125" s="201"/>
      <c r="AA125" s="201"/>
      <c r="AB125" s="209"/>
      <c r="AC125" s="201"/>
      <c r="AD125" s="201"/>
      <c r="AE125" s="201"/>
      <c r="AF125" s="201"/>
      <c r="AG125" s="201"/>
      <c r="AH125" s="201"/>
      <c r="AI125" s="201"/>
      <c r="AJ125" s="199"/>
      <c r="AK125" s="198"/>
      <c r="AL125" s="198"/>
      <c r="AM125" s="198"/>
      <c r="AN125" s="198"/>
      <c r="AO125" s="198"/>
      <c r="AP125" s="198"/>
      <c r="AQ125" s="198"/>
      <c r="AR125" s="198"/>
      <c r="AS125" s="198"/>
      <c r="AT125" s="198"/>
      <c r="AU125" s="198"/>
      <c r="AV125" s="198"/>
      <c r="AW125" s="198"/>
      <c r="AX125" s="198"/>
      <c r="AY125" s="198"/>
    </row>
    <row r="126" spans="1:51" x14ac:dyDescent="0.25">
      <c r="A126" s="206"/>
      <c r="B126" s="206"/>
      <c r="C126" s="206"/>
      <c r="D126" s="200"/>
      <c r="E126" s="206"/>
      <c r="F126" s="202"/>
      <c r="G126" s="208"/>
      <c r="H126" s="202"/>
      <c r="I126" s="208"/>
      <c r="J126" s="200"/>
      <c r="K126" s="201"/>
      <c r="L126" s="200"/>
      <c r="M126" s="201"/>
      <c r="N126" s="200"/>
      <c r="O126" s="201"/>
      <c r="P126" s="200"/>
      <c r="Q126" s="216"/>
      <c r="R126" s="201"/>
      <c r="S126" s="201"/>
      <c r="T126" s="209"/>
      <c r="U126" s="201"/>
      <c r="V126" s="201"/>
      <c r="W126" s="201"/>
      <c r="X126" s="201"/>
      <c r="Y126" s="201"/>
      <c r="Z126" s="201"/>
      <c r="AA126" s="201"/>
      <c r="AB126" s="209"/>
      <c r="AC126" s="201"/>
      <c r="AD126" s="201"/>
      <c r="AE126" s="201"/>
      <c r="AF126" s="201"/>
      <c r="AG126" s="201"/>
      <c r="AH126" s="201"/>
      <c r="AI126" s="201"/>
      <c r="AJ126" s="199"/>
      <c r="AK126" s="198"/>
      <c r="AL126" s="198"/>
      <c r="AM126" s="198"/>
      <c r="AN126" s="198"/>
      <c r="AO126" s="198"/>
      <c r="AP126" s="198"/>
      <c r="AQ126" s="198"/>
      <c r="AR126" s="198"/>
      <c r="AS126" s="198"/>
      <c r="AT126" s="198"/>
      <c r="AU126" s="198"/>
      <c r="AV126" s="198"/>
      <c r="AW126" s="198"/>
      <c r="AX126" s="198"/>
      <c r="AY126" s="198"/>
    </row>
    <row r="127" spans="1:51" x14ac:dyDescent="0.25">
      <c r="A127" s="206"/>
      <c r="B127" s="206"/>
      <c r="C127" s="206"/>
      <c r="D127" s="200"/>
      <c r="E127" s="206"/>
      <c r="F127" s="202"/>
      <c r="G127" s="208"/>
      <c r="H127" s="202"/>
      <c r="I127" s="208"/>
      <c r="J127" s="200"/>
      <c r="K127" s="201"/>
      <c r="L127" s="200"/>
      <c r="M127" s="201"/>
      <c r="N127" s="200"/>
      <c r="O127" s="201"/>
      <c r="P127" s="200"/>
      <c r="Q127" s="216"/>
      <c r="R127" s="201"/>
      <c r="S127" s="201"/>
      <c r="T127" s="209"/>
      <c r="U127" s="201"/>
      <c r="V127" s="201"/>
      <c r="W127" s="201"/>
      <c r="X127" s="201"/>
      <c r="Y127" s="201"/>
      <c r="Z127" s="201"/>
      <c r="AA127" s="201"/>
      <c r="AB127" s="209"/>
      <c r="AC127" s="201"/>
      <c r="AD127" s="201"/>
      <c r="AE127" s="201"/>
      <c r="AF127" s="201"/>
      <c r="AG127" s="201"/>
      <c r="AH127" s="201"/>
      <c r="AI127" s="201"/>
      <c r="AJ127" s="199"/>
      <c r="AK127" s="198"/>
      <c r="AL127" s="198"/>
      <c r="AM127" s="198"/>
      <c r="AN127" s="198"/>
      <c r="AO127" s="198"/>
      <c r="AP127" s="198"/>
      <c r="AQ127" s="198"/>
      <c r="AR127" s="198"/>
      <c r="AS127" s="198"/>
      <c r="AT127" s="198"/>
      <c r="AU127" s="198"/>
      <c r="AV127" s="198"/>
      <c r="AW127" s="198"/>
      <c r="AX127" s="198"/>
      <c r="AY127" s="198"/>
    </row>
    <row r="128" spans="1:51" x14ac:dyDescent="0.25">
      <c r="A128" s="206"/>
      <c r="B128" s="206"/>
      <c r="C128" s="206"/>
      <c r="D128" s="200"/>
      <c r="E128" s="206"/>
      <c r="F128" s="202"/>
      <c r="G128" s="208"/>
      <c r="H128" s="202"/>
      <c r="I128" s="208"/>
      <c r="J128" s="200"/>
      <c r="K128" s="201"/>
      <c r="L128" s="200"/>
      <c r="M128" s="201"/>
      <c r="N128" s="200"/>
      <c r="O128" s="201"/>
      <c r="P128" s="200"/>
      <c r="Q128" s="216"/>
      <c r="R128" s="201"/>
      <c r="S128" s="201"/>
      <c r="T128" s="209"/>
      <c r="U128" s="201"/>
      <c r="V128" s="201"/>
      <c r="W128" s="201"/>
      <c r="X128" s="201"/>
      <c r="Y128" s="201"/>
      <c r="Z128" s="201"/>
      <c r="AA128" s="201"/>
      <c r="AB128" s="209"/>
      <c r="AC128" s="201"/>
      <c r="AD128" s="201"/>
      <c r="AE128" s="201"/>
      <c r="AF128" s="201"/>
      <c r="AG128" s="201"/>
      <c r="AH128" s="201"/>
      <c r="AI128" s="201"/>
      <c r="AJ128" s="199"/>
      <c r="AK128" s="198"/>
      <c r="AL128" s="198"/>
      <c r="AM128" s="198"/>
      <c r="AN128" s="198"/>
      <c r="AO128" s="198"/>
      <c r="AP128" s="198"/>
      <c r="AQ128" s="198"/>
      <c r="AR128" s="198"/>
      <c r="AS128" s="198"/>
      <c r="AT128" s="198"/>
      <c r="AU128" s="198"/>
      <c r="AV128" s="198"/>
      <c r="AW128" s="198"/>
      <c r="AX128" s="198"/>
      <c r="AY128" s="198"/>
    </row>
    <row r="129" spans="1:51" x14ac:dyDescent="0.25">
      <c r="A129" s="206"/>
      <c r="B129" s="206"/>
      <c r="C129" s="206"/>
      <c r="D129" s="200"/>
      <c r="E129" s="206"/>
      <c r="F129" s="202"/>
      <c r="G129" s="208"/>
      <c r="H129" s="202"/>
      <c r="I129" s="208"/>
      <c r="J129" s="200"/>
      <c r="K129" s="201"/>
      <c r="L129" s="200"/>
      <c r="M129" s="201"/>
      <c r="N129" s="200"/>
      <c r="O129" s="201"/>
      <c r="P129" s="200"/>
      <c r="Q129" s="216"/>
      <c r="R129" s="201"/>
      <c r="S129" s="201"/>
      <c r="T129" s="209"/>
      <c r="U129" s="201"/>
      <c r="V129" s="201"/>
      <c r="W129" s="201"/>
      <c r="X129" s="201"/>
      <c r="Y129" s="201"/>
      <c r="Z129" s="201"/>
      <c r="AA129" s="201"/>
      <c r="AB129" s="209"/>
      <c r="AC129" s="201"/>
      <c r="AD129" s="201"/>
      <c r="AE129" s="201"/>
      <c r="AF129" s="201"/>
      <c r="AG129" s="201"/>
      <c r="AH129" s="201"/>
      <c r="AI129" s="201"/>
      <c r="AJ129" s="199"/>
      <c r="AK129" s="198"/>
      <c r="AL129" s="198"/>
      <c r="AM129" s="198"/>
      <c r="AN129" s="198"/>
      <c r="AO129" s="198"/>
      <c r="AP129" s="198"/>
      <c r="AQ129" s="198"/>
      <c r="AR129" s="198"/>
      <c r="AS129" s="198"/>
      <c r="AT129" s="198"/>
      <c r="AU129" s="198"/>
      <c r="AV129" s="198"/>
      <c r="AW129" s="198"/>
      <c r="AX129" s="198"/>
      <c r="AY129" s="198"/>
    </row>
    <row r="130" spans="1:51" x14ac:dyDescent="0.25">
      <c r="A130" s="206"/>
      <c r="B130" s="206"/>
      <c r="C130" s="206"/>
      <c r="D130" s="200"/>
      <c r="E130" s="206"/>
      <c r="F130" s="202"/>
      <c r="G130" s="208"/>
      <c r="H130" s="202"/>
      <c r="I130" s="208"/>
      <c r="J130" s="200"/>
      <c r="K130" s="201"/>
      <c r="L130" s="200"/>
      <c r="M130" s="201"/>
      <c r="N130" s="200"/>
      <c r="O130" s="201"/>
      <c r="P130" s="200"/>
      <c r="Q130" s="216"/>
      <c r="R130" s="201"/>
      <c r="S130" s="201"/>
      <c r="T130" s="209"/>
      <c r="U130" s="201"/>
      <c r="V130" s="201"/>
      <c r="W130" s="201"/>
      <c r="X130" s="201"/>
      <c r="Y130" s="201"/>
      <c r="Z130" s="201"/>
      <c r="AA130" s="201"/>
      <c r="AB130" s="209"/>
      <c r="AC130" s="201"/>
      <c r="AD130" s="201"/>
      <c r="AE130" s="201"/>
      <c r="AF130" s="201"/>
      <c r="AG130" s="201"/>
      <c r="AH130" s="201"/>
      <c r="AI130" s="201"/>
      <c r="AJ130" s="199"/>
      <c r="AK130" s="198"/>
      <c r="AL130" s="198"/>
      <c r="AM130" s="198"/>
      <c r="AN130" s="198"/>
      <c r="AO130" s="198"/>
      <c r="AP130" s="198"/>
      <c r="AQ130" s="198"/>
      <c r="AR130" s="198"/>
      <c r="AS130" s="198"/>
      <c r="AT130" s="198"/>
      <c r="AU130" s="198"/>
      <c r="AV130" s="198"/>
      <c r="AW130" s="198"/>
      <c r="AX130" s="198"/>
      <c r="AY130" s="198"/>
    </row>
    <row r="131" spans="1:51" x14ac:dyDescent="0.25">
      <c r="A131" s="206"/>
      <c r="B131" s="206"/>
      <c r="C131" s="206"/>
      <c r="D131" s="200"/>
      <c r="E131" s="206"/>
      <c r="F131" s="202"/>
      <c r="G131" s="208"/>
      <c r="H131" s="202"/>
      <c r="I131" s="208"/>
      <c r="J131" s="200"/>
      <c r="K131" s="201"/>
      <c r="L131" s="200"/>
      <c r="M131" s="201"/>
      <c r="N131" s="200"/>
      <c r="O131" s="201"/>
      <c r="P131" s="200"/>
      <c r="Q131" s="216"/>
      <c r="R131" s="201"/>
      <c r="S131" s="201"/>
      <c r="T131" s="209"/>
      <c r="U131" s="201"/>
      <c r="V131" s="201"/>
      <c r="W131" s="201"/>
      <c r="X131" s="201"/>
      <c r="Y131" s="201"/>
      <c r="Z131" s="201"/>
      <c r="AA131" s="201"/>
      <c r="AB131" s="209"/>
      <c r="AC131" s="201"/>
      <c r="AD131" s="201"/>
      <c r="AE131" s="201"/>
      <c r="AF131" s="201"/>
      <c r="AG131" s="201"/>
      <c r="AH131" s="201"/>
      <c r="AI131" s="201"/>
      <c r="AJ131" s="199"/>
      <c r="AK131" s="198"/>
      <c r="AL131" s="198"/>
      <c r="AM131" s="198"/>
      <c r="AN131" s="198"/>
      <c r="AO131" s="198"/>
      <c r="AP131" s="198"/>
      <c r="AQ131" s="198"/>
      <c r="AR131" s="198"/>
      <c r="AS131" s="198"/>
      <c r="AT131" s="198"/>
      <c r="AU131" s="198"/>
      <c r="AV131" s="198"/>
      <c r="AW131" s="198"/>
      <c r="AX131" s="198"/>
      <c r="AY131" s="198"/>
    </row>
    <row r="132" spans="1:51" x14ac:dyDescent="0.25">
      <c r="A132" s="206"/>
      <c r="B132" s="206"/>
      <c r="C132" s="206"/>
      <c r="D132" s="200"/>
      <c r="E132" s="206"/>
      <c r="F132" s="202"/>
      <c r="G132" s="208"/>
      <c r="H132" s="202"/>
      <c r="I132" s="208"/>
      <c r="J132" s="200"/>
      <c r="K132" s="201"/>
      <c r="L132" s="200"/>
      <c r="M132" s="201"/>
      <c r="N132" s="200"/>
      <c r="O132" s="201"/>
      <c r="P132" s="200"/>
      <c r="Q132" s="216"/>
      <c r="R132" s="201"/>
      <c r="S132" s="201"/>
      <c r="T132" s="209"/>
      <c r="U132" s="201"/>
      <c r="V132" s="201"/>
      <c r="W132" s="201"/>
      <c r="X132" s="201"/>
      <c r="Y132" s="201"/>
      <c r="Z132" s="201"/>
      <c r="AA132" s="201"/>
      <c r="AB132" s="209"/>
      <c r="AC132" s="201"/>
      <c r="AD132" s="201"/>
      <c r="AE132" s="201"/>
      <c r="AF132" s="201"/>
      <c r="AG132" s="201"/>
      <c r="AH132" s="201"/>
      <c r="AI132" s="201"/>
      <c r="AJ132" s="199"/>
      <c r="AK132" s="198"/>
      <c r="AL132" s="198"/>
      <c r="AM132" s="198"/>
      <c r="AN132" s="198"/>
      <c r="AO132" s="198"/>
      <c r="AP132" s="198"/>
      <c r="AQ132" s="198"/>
      <c r="AR132" s="198"/>
      <c r="AS132" s="198"/>
      <c r="AT132" s="198"/>
      <c r="AU132" s="198"/>
      <c r="AV132" s="198"/>
      <c r="AW132" s="198"/>
      <c r="AX132" s="198"/>
      <c r="AY132" s="198"/>
    </row>
    <row r="133" spans="1:51" x14ac:dyDescent="0.25">
      <c r="A133" s="206"/>
      <c r="B133" s="206"/>
      <c r="C133" s="206"/>
      <c r="D133" s="200"/>
      <c r="E133" s="206"/>
      <c r="F133" s="202"/>
      <c r="G133" s="208"/>
      <c r="H133" s="202"/>
      <c r="I133" s="208"/>
      <c r="J133" s="200"/>
      <c r="K133" s="201"/>
      <c r="L133" s="200"/>
      <c r="M133" s="201"/>
      <c r="N133" s="200"/>
      <c r="O133" s="201"/>
      <c r="P133" s="200"/>
      <c r="Q133" s="216"/>
      <c r="R133" s="201"/>
      <c r="S133" s="201"/>
      <c r="T133" s="209"/>
      <c r="U133" s="201"/>
      <c r="V133" s="201"/>
      <c r="W133" s="201"/>
      <c r="X133" s="201"/>
      <c r="Y133" s="201"/>
      <c r="Z133" s="201"/>
      <c r="AA133" s="201"/>
      <c r="AB133" s="209"/>
      <c r="AC133" s="201"/>
      <c r="AD133" s="201"/>
      <c r="AE133" s="201"/>
      <c r="AF133" s="201"/>
      <c r="AG133" s="201"/>
      <c r="AH133" s="201"/>
      <c r="AI133" s="201"/>
      <c r="AJ133" s="199"/>
      <c r="AK133" s="198"/>
      <c r="AL133" s="198"/>
      <c r="AM133" s="198"/>
      <c r="AN133" s="198"/>
      <c r="AO133" s="198"/>
      <c r="AP133" s="198"/>
      <c r="AQ133" s="198"/>
      <c r="AR133" s="198"/>
      <c r="AS133" s="198"/>
      <c r="AT133" s="198"/>
      <c r="AU133" s="198"/>
      <c r="AV133" s="198"/>
      <c r="AW133" s="198"/>
      <c r="AX133" s="198"/>
      <c r="AY133" s="198"/>
    </row>
    <row r="134" spans="1:51" x14ac:dyDescent="0.25">
      <c r="A134" s="206"/>
      <c r="B134" s="206"/>
      <c r="C134" s="206"/>
      <c r="D134" s="200"/>
      <c r="E134" s="206"/>
      <c r="F134" s="202"/>
      <c r="G134" s="208"/>
      <c r="H134" s="202"/>
      <c r="I134" s="208"/>
      <c r="J134" s="200"/>
      <c r="K134" s="201"/>
      <c r="L134" s="200"/>
      <c r="M134" s="201"/>
      <c r="N134" s="200"/>
      <c r="O134" s="201"/>
      <c r="P134" s="200"/>
      <c r="Q134" s="216"/>
      <c r="R134" s="201"/>
      <c r="S134" s="201"/>
      <c r="T134" s="209"/>
      <c r="U134" s="201"/>
      <c r="V134" s="201"/>
      <c r="W134" s="201"/>
      <c r="X134" s="201"/>
      <c r="Y134" s="201"/>
      <c r="Z134" s="201"/>
      <c r="AA134" s="201"/>
      <c r="AB134" s="209"/>
      <c r="AC134" s="201"/>
      <c r="AD134" s="201"/>
      <c r="AE134" s="201"/>
      <c r="AF134" s="201"/>
      <c r="AG134" s="201"/>
      <c r="AH134" s="201"/>
      <c r="AI134" s="201"/>
      <c r="AJ134" s="199"/>
      <c r="AK134" s="198"/>
      <c r="AL134" s="198"/>
      <c r="AM134" s="198"/>
      <c r="AN134" s="198"/>
      <c r="AO134" s="198"/>
      <c r="AP134" s="198"/>
      <c r="AQ134" s="198"/>
      <c r="AR134" s="198"/>
      <c r="AS134" s="198"/>
      <c r="AT134" s="198"/>
      <c r="AU134" s="198"/>
      <c r="AV134" s="198"/>
      <c r="AW134" s="198"/>
      <c r="AX134" s="198"/>
      <c r="AY134" s="198"/>
    </row>
    <row r="135" spans="1:51" x14ac:dyDescent="0.25">
      <c r="A135" s="206"/>
      <c r="B135" s="206"/>
      <c r="C135" s="206"/>
      <c r="D135" s="200"/>
      <c r="E135" s="206"/>
      <c r="F135" s="202"/>
      <c r="G135" s="208"/>
      <c r="H135" s="202"/>
      <c r="I135" s="208"/>
      <c r="J135" s="200"/>
      <c r="K135" s="201"/>
      <c r="L135" s="200"/>
      <c r="M135" s="201"/>
      <c r="N135" s="200"/>
      <c r="O135" s="201"/>
      <c r="P135" s="200"/>
      <c r="Q135" s="216"/>
      <c r="R135" s="201"/>
      <c r="S135" s="201"/>
      <c r="T135" s="209"/>
      <c r="U135" s="201"/>
      <c r="V135" s="201"/>
      <c r="W135" s="201"/>
      <c r="X135" s="201"/>
      <c r="Y135" s="201"/>
      <c r="Z135" s="201"/>
      <c r="AA135" s="201"/>
      <c r="AB135" s="209"/>
      <c r="AC135" s="201"/>
      <c r="AD135" s="201"/>
      <c r="AE135" s="201"/>
      <c r="AF135" s="201"/>
      <c r="AG135" s="201"/>
      <c r="AH135" s="201"/>
      <c r="AI135" s="201"/>
      <c r="AJ135" s="199"/>
      <c r="AK135" s="198"/>
      <c r="AL135" s="198"/>
      <c r="AM135" s="198"/>
      <c r="AN135" s="198"/>
      <c r="AO135" s="198"/>
      <c r="AP135" s="198"/>
      <c r="AQ135" s="198"/>
      <c r="AR135" s="198"/>
      <c r="AS135" s="198"/>
      <c r="AT135" s="198"/>
      <c r="AU135" s="198"/>
      <c r="AV135" s="198"/>
      <c r="AW135" s="198"/>
      <c r="AX135" s="198"/>
      <c r="AY135" s="198"/>
    </row>
    <row r="136" spans="1:51" x14ac:dyDescent="0.25">
      <c r="A136" s="206"/>
      <c r="B136" s="206"/>
      <c r="C136" s="206"/>
      <c r="D136" s="200"/>
      <c r="E136" s="206"/>
      <c r="F136" s="202"/>
      <c r="G136" s="208"/>
      <c r="H136" s="202"/>
      <c r="I136" s="208"/>
      <c r="J136" s="200"/>
      <c r="K136" s="201"/>
      <c r="L136" s="200"/>
      <c r="M136" s="201"/>
      <c r="N136" s="200"/>
      <c r="O136" s="201"/>
      <c r="P136" s="200"/>
      <c r="Q136" s="216"/>
      <c r="R136" s="201"/>
      <c r="S136" s="201"/>
      <c r="T136" s="209"/>
      <c r="U136" s="201"/>
      <c r="V136" s="201"/>
      <c r="W136" s="201"/>
      <c r="X136" s="201"/>
      <c r="Y136" s="201"/>
      <c r="Z136" s="201"/>
      <c r="AA136" s="201"/>
      <c r="AB136" s="209"/>
      <c r="AC136" s="201"/>
      <c r="AD136" s="201"/>
      <c r="AE136" s="201"/>
      <c r="AF136" s="201"/>
      <c r="AG136" s="201"/>
      <c r="AH136" s="201"/>
      <c r="AI136" s="201"/>
      <c r="AJ136" s="199"/>
      <c r="AK136" s="198"/>
      <c r="AL136" s="198"/>
      <c r="AM136" s="198"/>
      <c r="AN136" s="198"/>
      <c r="AO136" s="198"/>
      <c r="AP136" s="198"/>
      <c r="AQ136" s="198"/>
      <c r="AR136" s="198"/>
      <c r="AS136" s="198"/>
      <c r="AT136" s="198"/>
      <c r="AU136" s="198"/>
      <c r="AV136" s="198"/>
      <c r="AW136" s="198"/>
      <c r="AX136" s="198"/>
      <c r="AY136" s="198"/>
    </row>
    <row r="137" spans="1:51" x14ac:dyDescent="0.25">
      <c r="A137" s="206"/>
      <c r="B137" s="206"/>
      <c r="C137" s="206"/>
      <c r="D137" s="200"/>
      <c r="E137" s="206"/>
      <c r="F137" s="202"/>
      <c r="G137" s="208"/>
      <c r="H137" s="202"/>
      <c r="I137" s="208"/>
      <c r="J137" s="200"/>
      <c r="K137" s="201"/>
      <c r="L137" s="200"/>
      <c r="M137" s="201"/>
      <c r="N137" s="200"/>
      <c r="O137" s="201"/>
      <c r="P137" s="200"/>
      <c r="Q137" s="216"/>
      <c r="R137" s="201"/>
      <c r="S137" s="201"/>
      <c r="T137" s="209"/>
      <c r="U137" s="201"/>
      <c r="V137" s="201"/>
      <c r="W137" s="201"/>
      <c r="X137" s="201"/>
      <c r="Y137" s="201"/>
      <c r="Z137" s="201"/>
      <c r="AA137" s="201"/>
      <c r="AB137" s="209"/>
      <c r="AC137" s="201"/>
      <c r="AD137" s="201"/>
      <c r="AE137" s="201"/>
      <c r="AF137" s="201"/>
      <c r="AG137" s="201"/>
      <c r="AH137" s="201"/>
      <c r="AI137" s="201"/>
      <c r="AJ137" s="199"/>
      <c r="AK137" s="198"/>
      <c r="AL137" s="198"/>
      <c r="AM137" s="198"/>
      <c r="AN137" s="198"/>
      <c r="AO137" s="198"/>
      <c r="AP137" s="198"/>
      <c r="AQ137" s="198"/>
      <c r="AR137" s="198"/>
      <c r="AS137" s="198"/>
      <c r="AT137" s="198"/>
      <c r="AU137" s="198"/>
      <c r="AV137" s="198"/>
      <c r="AW137" s="198"/>
      <c r="AX137" s="198"/>
      <c r="AY137" s="198"/>
    </row>
    <row r="138" spans="1:51" x14ac:dyDescent="0.25">
      <c r="A138" s="206"/>
      <c r="B138" s="206"/>
      <c r="C138" s="206"/>
      <c r="D138" s="200"/>
      <c r="E138" s="206"/>
      <c r="F138" s="202"/>
      <c r="G138" s="208"/>
      <c r="H138" s="202"/>
      <c r="I138" s="208"/>
      <c r="J138" s="200"/>
      <c r="K138" s="201"/>
      <c r="L138" s="200"/>
      <c r="M138" s="201"/>
      <c r="N138" s="200"/>
      <c r="O138" s="201"/>
      <c r="P138" s="200"/>
      <c r="Q138" s="216"/>
      <c r="R138" s="201"/>
      <c r="S138" s="201"/>
      <c r="T138" s="209"/>
      <c r="U138" s="201"/>
      <c r="V138" s="201"/>
      <c r="W138" s="201"/>
      <c r="X138" s="201"/>
      <c r="Y138" s="201"/>
      <c r="Z138" s="201"/>
      <c r="AA138" s="201"/>
      <c r="AB138" s="209"/>
      <c r="AC138" s="201"/>
      <c r="AD138" s="201"/>
      <c r="AE138" s="201"/>
      <c r="AF138" s="201"/>
      <c r="AG138" s="201"/>
      <c r="AH138" s="201"/>
      <c r="AI138" s="201"/>
      <c r="AJ138" s="199"/>
      <c r="AK138" s="198"/>
      <c r="AL138" s="198"/>
      <c r="AM138" s="198"/>
      <c r="AN138" s="198"/>
      <c r="AO138" s="198"/>
      <c r="AP138" s="198"/>
      <c r="AQ138" s="198"/>
      <c r="AR138" s="198"/>
      <c r="AS138" s="198"/>
      <c r="AT138" s="198"/>
      <c r="AU138" s="198"/>
      <c r="AV138" s="198"/>
      <c r="AW138" s="198"/>
      <c r="AX138" s="198"/>
      <c r="AY138" s="198"/>
    </row>
    <row r="139" spans="1:51" x14ac:dyDescent="0.25">
      <c r="A139" s="206"/>
      <c r="B139" s="206"/>
      <c r="C139" s="206"/>
      <c r="D139" s="200"/>
      <c r="E139" s="206"/>
      <c r="F139" s="202"/>
      <c r="G139" s="208"/>
      <c r="H139" s="202"/>
      <c r="I139" s="208"/>
      <c r="J139" s="200"/>
      <c r="K139" s="201"/>
      <c r="L139" s="200"/>
      <c r="M139" s="201"/>
      <c r="N139" s="200"/>
      <c r="O139" s="201"/>
      <c r="P139" s="200"/>
      <c r="Q139" s="216"/>
      <c r="R139" s="201"/>
      <c r="S139" s="201"/>
      <c r="T139" s="209"/>
      <c r="U139" s="201"/>
      <c r="V139" s="201"/>
      <c r="W139" s="201"/>
      <c r="X139" s="201"/>
      <c r="Y139" s="201"/>
      <c r="Z139" s="201"/>
      <c r="AA139" s="201"/>
      <c r="AB139" s="209"/>
      <c r="AC139" s="201"/>
      <c r="AD139" s="201"/>
      <c r="AE139" s="201"/>
      <c r="AF139" s="201"/>
      <c r="AG139" s="201"/>
      <c r="AH139" s="201"/>
      <c r="AI139" s="201"/>
      <c r="AJ139" s="199"/>
      <c r="AK139" s="198"/>
      <c r="AL139" s="198"/>
      <c r="AM139" s="198"/>
      <c r="AN139" s="198"/>
      <c r="AO139" s="198"/>
      <c r="AP139" s="198"/>
      <c r="AQ139" s="198"/>
      <c r="AR139" s="198"/>
      <c r="AS139" s="198"/>
      <c r="AT139" s="198"/>
      <c r="AU139" s="198"/>
      <c r="AV139" s="198"/>
      <c r="AW139" s="198"/>
      <c r="AX139" s="198"/>
      <c r="AY139" s="198"/>
    </row>
    <row r="140" spans="1:51" x14ac:dyDescent="0.25">
      <c r="A140" s="206"/>
      <c r="B140" s="206"/>
      <c r="C140" s="206"/>
      <c r="D140" s="200"/>
      <c r="E140" s="206"/>
      <c r="F140" s="202"/>
      <c r="G140" s="208"/>
      <c r="H140" s="202"/>
      <c r="I140" s="208"/>
      <c r="J140" s="200"/>
      <c r="K140" s="201"/>
      <c r="L140" s="200"/>
      <c r="M140" s="201"/>
      <c r="N140" s="200"/>
      <c r="O140" s="201"/>
      <c r="P140" s="200"/>
      <c r="Q140" s="216"/>
      <c r="R140" s="201"/>
      <c r="S140" s="201"/>
      <c r="T140" s="209"/>
      <c r="U140" s="201"/>
      <c r="V140" s="201"/>
      <c r="W140" s="201"/>
      <c r="X140" s="201"/>
      <c r="Y140" s="201"/>
      <c r="Z140" s="201"/>
      <c r="AA140" s="201"/>
      <c r="AB140" s="209"/>
      <c r="AC140" s="201"/>
      <c r="AD140" s="201"/>
      <c r="AE140" s="201"/>
      <c r="AF140" s="201"/>
      <c r="AG140" s="201"/>
      <c r="AH140" s="201"/>
      <c r="AI140" s="201"/>
      <c r="AJ140" s="199"/>
      <c r="AK140" s="198"/>
      <c r="AL140" s="198"/>
      <c r="AM140" s="198"/>
      <c r="AN140" s="198"/>
      <c r="AO140" s="198"/>
      <c r="AP140" s="198"/>
      <c r="AQ140" s="198"/>
      <c r="AR140" s="198"/>
      <c r="AS140" s="198"/>
      <c r="AT140" s="198"/>
      <c r="AU140" s="198"/>
      <c r="AV140" s="198"/>
      <c r="AW140" s="198"/>
      <c r="AX140" s="198"/>
      <c r="AY140" s="198"/>
    </row>
    <row r="141" spans="1:51" x14ac:dyDescent="0.25">
      <c r="A141" s="206"/>
      <c r="B141" s="206"/>
      <c r="C141" s="206"/>
      <c r="D141" s="200"/>
      <c r="E141" s="206"/>
      <c r="F141" s="202"/>
      <c r="G141" s="208"/>
      <c r="H141" s="202"/>
      <c r="I141" s="208"/>
      <c r="J141" s="200"/>
      <c r="K141" s="201"/>
      <c r="L141" s="200"/>
      <c r="M141" s="201"/>
      <c r="N141" s="200"/>
      <c r="O141" s="201"/>
      <c r="P141" s="200"/>
      <c r="Q141" s="216"/>
      <c r="R141" s="201"/>
      <c r="S141" s="201"/>
      <c r="T141" s="209"/>
      <c r="U141" s="201"/>
      <c r="V141" s="201"/>
      <c r="W141" s="201"/>
      <c r="X141" s="201"/>
      <c r="Y141" s="201"/>
      <c r="Z141" s="201"/>
      <c r="AA141" s="201"/>
      <c r="AB141" s="209"/>
      <c r="AC141" s="201"/>
      <c r="AD141" s="201"/>
      <c r="AE141" s="201"/>
      <c r="AF141" s="201"/>
      <c r="AG141" s="201"/>
      <c r="AH141" s="201"/>
      <c r="AI141" s="201"/>
      <c r="AJ141" s="199"/>
      <c r="AK141" s="198"/>
      <c r="AL141" s="198"/>
      <c r="AM141" s="198"/>
      <c r="AN141" s="198"/>
      <c r="AO141" s="198"/>
      <c r="AP141" s="198"/>
      <c r="AQ141" s="198"/>
      <c r="AR141" s="198"/>
      <c r="AS141" s="198"/>
      <c r="AT141" s="198"/>
      <c r="AU141" s="198"/>
      <c r="AV141" s="198"/>
      <c r="AW141" s="198"/>
      <c r="AX141" s="198"/>
      <c r="AY141" s="198"/>
    </row>
    <row r="142" spans="1:51" x14ac:dyDescent="0.25">
      <c r="A142" s="206"/>
      <c r="B142" s="206"/>
      <c r="C142" s="206"/>
      <c r="D142" s="200"/>
      <c r="E142" s="206"/>
      <c r="F142" s="202"/>
      <c r="G142" s="208"/>
      <c r="H142" s="202"/>
      <c r="I142" s="208"/>
      <c r="J142" s="200"/>
      <c r="K142" s="201"/>
      <c r="L142" s="200"/>
      <c r="M142" s="201"/>
      <c r="N142" s="200"/>
      <c r="O142" s="201"/>
      <c r="P142" s="200"/>
      <c r="Q142" s="216"/>
      <c r="R142" s="201"/>
      <c r="S142" s="201"/>
      <c r="T142" s="209"/>
      <c r="U142" s="201"/>
      <c r="V142" s="201"/>
      <c r="W142" s="201"/>
      <c r="X142" s="201"/>
      <c r="Y142" s="201"/>
      <c r="Z142" s="201"/>
      <c r="AA142" s="201"/>
      <c r="AB142" s="209"/>
      <c r="AC142" s="201"/>
      <c r="AD142" s="201"/>
      <c r="AE142" s="201"/>
      <c r="AF142" s="201"/>
      <c r="AG142" s="201"/>
      <c r="AH142" s="201"/>
      <c r="AI142" s="201"/>
      <c r="AJ142" s="199"/>
      <c r="AK142" s="198"/>
      <c r="AL142" s="198"/>
      <c r="AM142" s="198"/>
      <c r="AN142" s="198"/>
      <c r="AO142" s="198"/>
      <c r="AP142" s="198"/>
      <c r="AQ142" s="198"/>
      <c r="AR142" s="198"/>
      <c r="AS142" s="198"/>
      <c r="AT142" s="198"/>
      <c r="AU142" s="198"/>
      <c r="AV142" s="198"/>
      <c r="AW142" s="198"/>
      <c r="AX142" s="198"/>
      <c r="AY142" s="198"/>
    </row>
    <row r="143" spans="1:51" x14ac:dyDescent="0.25">
      <c r="A143" s="206"/>
      <c r="B143" s="206"/>
      <c r="C143" s="206"/>
      <c r="D143" s="200"/>
      <c r="E143" s="206"/>
      <c r="F143" s="202"/>
      <c r="G143" s="208"/>
      <c r="H143" s="202"/>
      <c r="I143" s="208"/>
      <c r="J143" s="200"/>
      <c r="K143" s="201"/>
      <c r="L143" s="200"/>
      <c r="M143" s="201"/>
      <c r="N143" s="200"/>
      <c r="O143" s="201"/>
      <c r="P143" s="200"/>
      <c r="Q143" s="216"/>
      <c r="R143" s="201"/>
      <c r="S143" s="201"/>
      <c r="T143" s="209"/>
      <c r="U143" s="201"/>
      <c r="V143" s="201"/>
      <c r="W143" s="201"/>
      <c r="X143" s="201"/>
      <c r="Y143" s="201"/>
      <c r="Z143" s="201"/>
      <c r="AA143" s="201"/>
      <c r="AB143" s="209"/>
      <c r="AC143" s="201"/>
      <c r="AD143" s="201"/>
      <c r="AE143" s="201"/>
      <c r="AF143" s="201"/>
      <c r="AG143" s="201"/>
      <c r="AH143" s="201"/>
      <c r="AI143" s="201"/>
      <c r="AJ143" s="199"/>
      <c r="AK143" s="198"/>
      <c r="AL143" s="198"/>
      <c r="AM143" s="198"/>
      <c r="AN143" s="198"/>
      <c r="AO143" s="198"/>
      <c r="AP143" s="198"/>
      <c r="AQ143" s="198"/>
      <c r="AR143" s="198"/>
      <c r="AS143" s="198"/>
      <c r="AT143" s="198"/>
      <c r="AU143" s="198"/>
      <c r="AV143" s="198"/>
      <c r="AW143" s="198"/>
      <c r="AX143" s="198"/>
      <c r="AY143" s="198"/>
    </row>
    <row r="144" spans="1:51" x14ac:dyDescent="0.25">
      <c r="A144" s="206"/>
      <c r="B144" s="206"/>
      <c r="C144" s="206"/>
      <c r="D144" s="200"/>
      <c r="E144" s="206"/>
      <c r="F144" s="202"/>
      <c r="G144" s="208"/>
      <c r="H144" s="202"/>
      <c r="I144" s="208"/>
      <c r="J144" s="200"/>
      <c r="K144" s="201"/>
      <c r="L144" s="200"/>
      <c r="M144" s="201"/>
      <c r="N144" s="200"/>
      <c r="O144" s="201"/>
      <c r="P144" s="200"/>
      <c r="Q144" s="216"/>
      <c r="R144" s="201"/>
      <c r="S144" s="201"/>
      <c r="T144" s="209"/>
      <c r="U144" s="201"/>
      <c r="V144" s="201"/>
      <c r="W144" s="201"/>
      <c r="X144" s="201"/>
      <c r="Y144" s="201"/>
      <c r="Z144" s="201"/>
      <c r="AA144" s="201"/>
      <c r="AB144" s="209"/>
      <c r="AC144" s="201"/>
      <c r="AD144" s="201"/>
      <c r="AE144" s="201"/>
      <c r="AF144" s="201"/>
      <c r="AG144" s="201"/>
      <c r="AH144" s="201"/>
      <c r="AI144" s="201"/>
      <c r="AJ144" s="199"/>
      <c r="AK144" s="198"/>
      <c r="AL144" s="198"/>
      <c r="AM144" s="198"/>
      <c r="AN144" s="198"/>
      <c r="AO144" s="198"/>
      <c r="AP144" s="198"/>
      <c r="AQ144" s="198"/>
      <c r="AR144" s="198"/>
      <c r="AS144" s="198"/>
      <c r="AT144" s="198"/>
      <c r="AU144" s="198"/>
      <c r="AV144" s="198"/>
      <c r="AW144" s="198"/>
      <c r="AX144" s="198"/>
      <c r="AY144" s="198"/>
    </row>
    <row r="145" spans="1:51" x14ac:dyDescent="0.25">
      <c r="A145" s="206"/>
      <c r="B145" s="206"/>
      <c r="C145" s="206"/>
      <c r="D145" s="200"/>
      <c r="E145" s="206"/>
      <c r="F145" s="202"/>
      <c r="G145" s="208"/>
      <c r="H145" s="202"/>
      <c r="I145" s="208"/>
      <c r="J145" s="200"/>
      <c r="K145" s="201"/>
      <c r="L145" s="200"/>
      <c r="M145" s="201"/>
      <c r="N145" s="200"/>
      <c r="O145" s="201"/>
      <c r="P145" s="200"/>
      <c r="Q145" s="216"/>
      <c r="R145" s="201"/>
      <c r="S145" s="201"/>
      <c r="T145" s="209"/>
      <c r="U145" s="201"/>
      <c r="V145" s="201"/>
      <c r="W145" s="201"/>
      <c r="X145" s="201"/>
      <c r="Y145" s="201"/>
      <c r="Z145" s="201"/>
      <c r="AA145" s="201"/>
      <c r="AB145" s="209"/>
      <c r="AC145" s="201"/>
      <c r="AD145" s="201"/>
      <c r="AE145" s="201"/>
      <c r="AF145" s="201"/>
      <c r="AG145" s="201"/>
      <c r="AH145" s="201"/>
      <c r="AI145" s="201"/>
      <c r="AJ145" s="199"/>
      <c r="AK145" s="198"/>
      <c r="AL145" s="198"/>
      <c r="AM145" s="198"/>
      <c r="AN145" s="198"/>
      <c r="AO145" s="198"/>
      <c r="AP145" s="198"/>
      <c r="AQ145" s="198"/>
      <c r="AR145" s="198"/>
      <c r="AS145" s="198"/>
      <c r="AT145" s="198"/>
      <c r="AU145" s="198"/>
      <c r="AV145" s="198"/>
      <c r="AW145" s="198"/>
      <c r="AX145" s="198"/>
      <c r="AY145" s="198"/>
    </row>
    <row r="146" spans="1:51" x14ac:dyDescent="0.25">
      <c r="A146" s="206"/>
      <c r="B146" s="206"/>
      <c r="C146" s="206"/>
      <c r="D146" s="200"/>
      <c r="E146" s="206"/>
      <c r="F146" s="202"/>
      <c r="G146" s="208"/>
      <c r="H146" s="202"/>
      <c r="I146" s="208"/>
      <c r="J146" s="200"/>
      <c r="K146" s="201"/>
      <c r="L146" s="200"/>
      <c r="M146" s="201"/>
      <c r="N146" s="200"/>
      <c r="O146" s="201"/>
      <c r="P146" s="200"/>
      <c r="Q146" s="216"/>
      <c r="R146" s="201"/>
      <c r="S146" s="201"/>
      <c r="T146" s="209"/>
      <c r="U146" s="201"/>
      <c r="V146" s="201"/>
      <c r="W146" s="201"/>
      <c r="X146" s="201"/>
      <c r="Y146" s="201"/>
      <c r="Z146" s="201"/>
      <c r="AA146" s="201"/>
      <c r="AB146" s="209"/>
      <c r="AC146" s="201"/>
      <c r="AD146" s="201"/>
      <c r="AE146" s="201"/>
      <c r="AF146" s="201"/>
      <c r="AG146" s="201"/>
      <c r="AH146" s="201"/>
      <c r="AI146" s="201"/>
      <c r="AJ146" s="199"/>
      <c r="AK146" s="198"/>
      <c r="AL146" s="198"/>
      <c r="AM146" s="198"/>
      <c r="AN146" s="198"/>
      <c r="AO146" s="198"/>
      <c r="AP146" s="198"/>
      <c r="AQ146" s="198"/>
      <c r="AR146" s="198"/>
      <c r="AS146" s="198"/>
      <c r="AT146" s="198"/>
      <c r="AU146" s="198"/>
      <c r="AV146" s="198"/>
      <c r="AW146" s="198"/>
      <c r="AX146" s="198"/>
      <c r="AY146" s="198"/>
    </row>
    <row r="147" spans="1:51" x14ac:dyDescent="0.25">
      <c r="A147" s="206"/>
      <c r="B147" s="206"/>
      <c r="C147" s="206"/>
      <c r="D147" s="200"/>
      <c r="E147" s="206"/>
      <c r="F147" s="202"/>
      <c r="G147" s="208"/>
      <c r="H147" s="202"/>
      <c r="I147" s="208"/>
      <c r="J147" s="200"/>
      <c r="K147" s="201"/>
      <c r="L147" s="200"/>
      <c r="M147" s="201"/>
      <c r="N147" s="200"/>
      <c r="O147" s="201"/>
      <c r="P147" s="200"/>
      <c r="Q147" s="216"/>
      <c r="R147" s="201"/>
      <c r="S147" s="201"/>
      <c r="T147" s="209"/>
      <c r="U147" s="201"/>
      <c r="V147" s="201"/>
      <c r="W147" s="201"/>
      <c r="X147" s="201"/>
      <c r="Y147" s="201"/>
      <c r="Z147" s="201"/>
      <c r="AA147" s="201"/>
      <c r="AB147" s="209"/>
      <c r="AC147" s="201"/>
      <c r="AD147" s="201"/>
      <c r="AE147" s="201"/>
      <c r="AF147" s="201"/>
      <c r="AG147" s="201"/>
      <c r="AH147" s="201"/>
      <c r="AI147" s="201"/>
      <c r="AJ147" s="199"/>
      <c r="AK147" s="198"/>
      <c r="AL147" s="198"/>
      <c r="AM147" s="198"/>
      <c r="AN147" s="198"/>
      <c r="AO147" s="198"/>
      <c r="AP147" s="198"/>
      <c r="AQ147" s="198"/>
      <c r="AR147" s="198"/>
      <c r="AS147" s="198"/>
      <c r="AT147" s="198"/>
      <c r="AU147" s="198"/>
      <c r="AV147" s="198"/>
      <c r="AW147" s="198"/>
      <c r="AX147" s="198"/>
      <c r="AY147" s="198"/>
    </row>
    <row r="148" spans="1:51" x14ac:dyDescent="0.25">
      <c r="A148" s="206"/>
      <c r="B148" s="206"/>
      <c r="C148" s="206"/>
      <c r="D148" s="200"/>
      <c r="E148" s="206"/>
      <c r="F148" s="202"/>
      <c r="G148" s="208"/>
      <c r="H148" s="202"/>
      <c r="I148" s="208"/>
      <c r="J148" s="200"/>
      <c r="K148" s="201"/>
      <c r="L148" s="200"/>
      <c r="M148" s="201"/>
      <c r="N148" s="200"/>
      <c r="O148" s="201"/>
      <c r="P148" s="200"/>
      <c r="Q148" s="216"/>
      <c r="R148" s="201"/>
      <c r="S148" s="201"/>
      <c r="T148" s="209"/>
      <c r="U148" s="201"/>
      <c r="V148" s="201"/>
      <c r="W148" s="201"/>
      <c r="X148" s="201"/>
      <c r="Y148" s="201"/>
      <c r="Z148" s="201"/>
      <c r="AA148" s="201"/>
      <c r="AB148" s="209"/>
      <c r="AC148" s="201"/>
      <c r="AD148" s="201"/>
      <c r="AE148" s="201"/>
      <c r="AF148" s="201"/>
      <c r="AG148" s="201"/>
      <c r="AH148" s="201"/>
      <c r="AI148" s="201"/>
      <c r="AJ148" s="199"/>
      <c r="AK148" s="198"/>
      <c r="AL148" s="198"/>
      <c r="AM148" s="198"/>
      <c r="AN148" s="198"/>
      <c r="AO148" s="198"/>
      <c r="AP148" s="198"/>
      <c r="AQ148" s="198"/>
      <c r="AR148" s="198"/>
      <c r="AS148" s="198"/>
      <c r="AT148" s="198"/>
      <c r="AU148" s="198"/>
      <c r="AV148" s="198"/>
      <c r="AW148" s="198"/>
      <c r="AX148" s="198"/>
      <c r="AY148" s="198"/>
    </row>
    <row r="149" spans="1:51" x14ac:dyDescent="0.25">
      <c r="A149" s="206"/>
      <c r="B149" s="206"/>
      <c r="C149" s="206"/>
      <c r="D149" s="200"/>
      <c r="E149" s="206"/>
      <c r="F149" s="202"/>
      <c r="G149" s="208"/>
      <c r="H149" s="202"/>
      <c r="I149" s="208"/>
      <c r="J149" s="200"/>
      <c r="K149" s="201"/>
      <c r="L149" s="200"/>
      <c r="M149" s="201"/>
      <c r="N149" s="200"/>
      <c r="O149" s="201"/>
      <c r="P149" s="200"/>
      <c r="Q149" s="216"/>
      <c r="R149" s="201"/>
      <c r="S149" s="201"/>
      <c r="T149" s="209"/>
      <c r="U149" s="201"/>
      <c r="V149" s="201"/>
      <c r="W149" s="201"/>
      <c r="X149" s="201"/>
      <c r="Y149" s="201"/>
      <c r="Z149" s="201"/>
      <c r="AA149" s="201"/>
      <c r="AB149" s="209"/>
      <c r="AC149" s="201"/>
      <c r="AD149" s="201"/>
      <c r="AE149" s="201"/>
      <c r="AF149" s="201"/>
      <c r="AG149" s="201"/>
      <c r="AH149" s="201"/>
      <c r="AI149" s="201"/>
      <c r="AJ149" s="199"/>
      <c r="AK149" s="198"/>
      <c r="AL149" s="198"/>
      <c r="AM149" s="198"/>
      <c r="AN149" s="198"/>
      <c r="AO149" s="198"/>
      <c r="AP149" s="198"/>
      <c r="AQ149" s="198"/>
      <c r="AR149" s="198"/>
      <c r="AS149" s="198"/>
      <c r="AT149" s="198"/>
      <c r="AU149" s="198"/>
      <c r="AV149" s="198"/>
      <c r="AW149" s="198"/>
      <c r="AX149" s="198"/>
      <c r="AY149" s="198"/>
    </row>
    <row r="150" spans="1:51" x14ac:dyDescent="0.25">
      <c r="A150" s="206"/>
      <c r="B150" s="206"/>
      <c r="C150" s="206"/>
      <c r="D150" s="200"/>
      <c r="E150" s="206"/>
      <c r="F150" s="202"/>
      <c r="G150" s="208"/>
      <c r="H150" s="202"/>
      <c r="I150" s="208"/>
      <c r="J150" s="200"/>
      <c r="K150" s="201"/>
      <c r="L150" s="200"/>
      <c r="M150" s="201"/>
      <c r="N150" s="200"/>
      <c r="O150" s="201"/>
      <c r="P150" s="200"/>
      <c r="Q150" s="216"/>
      <c r="R150" s="201"/>
      <c r="S150" s="201"/>
      <c r="T150" s="209"/>
      <c r="U150" s="201"/>
      <c r="V150" s="201"/>
      <c r="W150" s="201"/>
      <c r="X150" s="201"/>
      <c r="Y150" s="201"/>
      <c r="Z150" s="201"/>
      <c r="AA150" s="201"/>
      <c r="AB150" s="209"/>
      <c r="AC150" s="201"/>
      <c r="AD150" s="201"/>
      <c r="AE150" s="201"/>
      <c r="AF150" s="201"/>
      <c r="AG150" s="201"/>
      <c r="AH150" s="201"/>
      <c r="AI150" s="201"/>
      <c r="AJ150" s="199"/>
      <c r="AK150" s="198"/>
      <c r="AL150" s="198"/>
      <c r="AM150" s="198"/>
      <c r="AN150" s="198"/>
      <c r="AO150" s="198"/>
      <c r="AP150" s="198"/>
      <c r="AQ150" s="198"/>
      <c r="AR150" s="198"/>
      <c r="AS150" s="198"/>
      <c r="AT150" s="198"/>
      <c r="AU150" s="198"/>
      <c r="AV150" s="198"/>
      <c r="AW150" s="198"/>
      <c r="AX150" s="198"/>
      <c r="AY150" s="198"/>
    </row>
    <row r="151" spans="1:51" x14ac:dyDescent="0.25">
      <c r="A151" s="206"/>
      <c r="B151" s="206"/>
      <c r="C151" s="206"/>
      <c r="D151" s="200"/>
      <c r="E151" s="206"/>
      <c r="F151" s="202"/>
      <c r="G151" s="208"/>
      <c r="H151" s="202"/>
      <c r="I151" s="208"/>
      <c r="J151" s="200"/>
      <c r="K151" s="201"/>
      <c r="L151" s="200"/>
      <c r="M151" s="201"/>
      <c r="N151" s="200"/>
      <c r="O151" s="201"/>
      <c r="P151" s="200"/>
      <c r="Q151" s="216"/>
      <c r="R151" s="201"/>
      <c r="S151" s="201"/>
      <c r="T151" s="209"/>
      <c r="U151" s="201"/>
      <c r="V151" s="201"/>
      <c r="W151" s="201"/>
      <c r="X151" s="201"/>
      <c r="Y151" s="201"/>
      <c r="Z151" s="201"/>
      <c r="AA151" s="201"/>
      <c r="AB151" s="209"/>
      <c r="AC151" s="201"/>
      <c r="AD151" s="201"/>
      <c r="AE151" s="201"/>
      <c r="AF151" s="201"/>
      <c r="AG151" s="201"/>
      <c r="AH151" s="201"/>
      <c r="AI151" s="201"/>
      <c r="AJ151" s="199"/>
      <c r="AK151" s="198"/>
      <c r="AL151" s="198"/>
      <c r="AM151" s="198"/>
      <c r="AN151" s="198"/>
      <c r="AO151" s="198"/>
      <c r="AP151" s="198"/>
      <c r="AQ151" s="198"/>
      <c r="AR151" s="198"/>
      <c r="AS151" s="198"/>
      <c r="AT151" s="198"/>
      <c r="AU151" s="198"/>
      <c r="AV151" s="198"/>
      <c r="AW151" s="198"/>
      <c r="AX151" s="198"/>
      <c r="AY151" s="198"/>
    </row>
    <row r="152" spans="1:51" x14ac:dyDescent="0.25">
      <c r="A152" s="206"/>
      <c r="B152" s="206"/>
      <c r="C152" s="206"/>
      <c r="D152" s="200"/>
      <c r="E152" s="206"/>
      <c r="F152" s="202"/>
      <c r="G152" s="208"/>
      <c r="H152" s="202"/>
      <c r="I152" s="208"/>
      <c r="J152" s="200"/>
      <c r="K152" s="201"/>
      <c r="L152" s="200"/>
      <c r="M152" s="201"/>
      <c r="N152" s="200"/>
      <c r="O152" s="201"/>
      <c r="P152" s="200"/>
      <c r="Q152" s="216"/>
      <c r="R152" s="201"/>
      <c r="S152" s="201"/>
      <c r="T152" s="209"/>
      <c r="U152" s="201"/>
      <c r="V152" s="201"/>
      <c r="W152" s="201"/>
      <c r="X152" s="201"/>
      <c r="Y152" s="201"/>
      <c r="Z152" s="201"/>
      <c r="AA152" s="201"/>
      <c r="AB152" s="209"/>
      <c r="AC152" s="201"/>
      <c r="AD152" s="201"/>
      <c r="AE152" s="201"/>
      <c r="AF152" s="201"/>
      <c r="AG152" s="201"/>
      <c r="AH152" s="201"/>
      <c r="AI152" s="201"/>
      <c r="AJ152" s="199"/>
      <c r="AK152" s="198"/>
      <c r="AL152" s="198"/>
      <c r="AM152" s="198"/>
      <c r="AN152" s="198"/>
      <c r="AO152" s="198"/>
      <c r="AP152" s="198"/>
      <c r="AQ152" s="198"/>
      <c r="AR152" s="198"/>
      <c r="AS152" s="198"/>
      <c r="AT152" s="198"/>
      <c r="AU152" s="198"/>
      <c r="AV152" s="198"/>
      <c r="AW152" s="198"/>
      <c r="AX152" s="198"/>
      <c r="AY152" s="198"/>
    </row>
    <row r="153" spans="1:51" x14ac:dyDescent="0.25">
      <c r="A153" s="206"/>
      <c r="B153" s="206"/>
      <c r="C153" s="206"/>
      <c r="D153" s="200"/>
      <c r="E153" s="206"/>
      <c r="F153" s="202"/>
      <c r="G153" s="208"/>
      <c r="H153" s="202"/>
      <c r="I153" s="208"/>
      <c r="J153" s="200"/>
      <c r="K153" s="201"/>
      <c r="L153" s="200"/>
      <c r="M153" s="201"/>
      <c r="N153" s="200"/>
      <c r="O153" s="201"/>
      <c r="P153" s="200"/>
      <c r="Q153" s="216"/>
      <c r="R153" s="201"/>
      <c r="S153" s="201"/>
      <c r="T153" s="209"/>
      <c r="U153" s="201"/>
      <c r="V153" s="201"/>
      <c r="W153" s="201"/>
      <c r="X153" s="201"/>
      <c r="Y153" s="201"/>
      <c r="Z153" s="201"/>
      <c r="AA153" s="201"/>
      <c r="AB153" s="209"/>
      <c r="AC153" s="201"/>
      <c r="AD153" s="201"/>
      <c r="AE153" s="201"/>
      <c r="AF153" s="201"/>
      <c r="AG153" s="201"/>
      <c r="AH153" s="201"/>
      <c r="AI153" s="201"/>
      <c r="AJ153" s="199"/>
      <c r="AK153" s="198"/>
      <c r="AL153" s="198"/>
      <c r="AM153" s="198"/>
      <c r="AN153" s="198"/>
      <c r="AO153" s="198"/>
      <c r="AP153" s="198"/>
      <c r="AQ153" s="198"/>
      <c r="AR153" s="198"/>
      <c r="AS153" s="198"/>
      <c r="AT153" s="198"/>
      <c r="AU153" s="198"/>
      <c r="AV153" s="198"/>
      <c r="AW153" s="198"/>
      <c r="AX153" s="198"/>
      <c r="AY153" s="198"/>
    </row>
    <row r="154" spans="1:51" x14ac:dyDescent="0.25">
      <c r="A154" s="206"/>
      <c r="B154" s="206"/>
      <c r="C154" s="206"/>
      <c r="D154" s="200"/>
      <c r="E154" s="206"/>
      <c r="F154" s="202"/>
      <c r="G154" s="208"/>
      <c r="H154" s="202"/>
      <c r="I154" s="208"/>
      <c r="J154" s="200"/>
      <c r="K154" s="201"/>
      <c r="L154" s="200"/>
      <c r="M154" s="201"/>
      <c r="N154" s="200"/>
      <c r="O154" s="201"/>
      <c r="P154" s="200"/>
      <c r="Q154" s="216"/>
      <c r="R154" s="201"/>
      <c r="S154" s="201"/>
      <c r="T154" s="209"/>
      <c r="U154" s="201"/>
      <c r="V154" s="201"/>
      <c r="W154" s="201"/>
      <c r="X154" s="201"/>
      <c r="Y154" s="201"/>
      <c r="Z154" s="201"/>
      <c r="AA154" s="201"/>
      <c r="AB154" s="209"/>
      <c r="AC154" s="201"/>
      <c r="AD154" s="201"/>
      <c r="AE154" s="201"/>
      <c r="AF154" s="201"/>
      <c r="AG154" s="201"/>
      <c r="AH154" s="201"/>
      <c r="AI154" s="201"/>
      <c r="AJ154" s="199"/>
      <c r="AK154" s="198"/>
      <c r="AL154" s="198"/>
      <c r="AM154" s="198"/>
      <c r="AN154" s="198"/>
      <c r="AO154" s="198"/>
      <c r="AP154" s="198"/>
      <c r="AQ154" s="198"/>
      <c r="AR154" s="198"/>
      <c r="AS154" s="198"/>
      <c r="AT154" s="198"/>
      <c r="AU154" s="198"/>
      <c r="AV154" s="198"/>
      <c r="AW154" s="198"/>
      <c r="AX154" s="198"/>
      <c r="AY154" s="198"/>
    </row>
    <row r="155" spans="1:51" x14ac:dyDescent="0.25">
      <c r="A155" s="206"/>
      <c r="B155" s="206"/>
      <c r="C155" s="206"/>
      <c r="D155" s="200"/>
      <c r="E155" s="206"/>
      <c r="F155" s="202"/>
      <c r="G155" s="208"/>
      <c r="H155" s="202"/>
      <c r="I155" s="208"/>
      <c r="J155" s="200"/>
      <c r="K155" s="201"/>
      <c r="L155" s="200"/>
      <c r="M155" s="201"/>
      <c r="N155" s="200"/>
      <c r="O155" s="201"/>
      <c r="P155" s="200"/>
      <c r="Q155" s="216"/>
      <c r="R155" s="201"/>
      <c r="S155" s="201"/>
      <c r="T155" s="209"/>
      <c r="U155" s="201"/>
      <c r="V155" s="201"/>
      <c r="W155" s="201"/>
      <c r="X155" s="201"/>
      <c r="Y155" s="201"/>
      <c r="Z155" s="201"/>
      <c r="AA155" s="201"/>
      <c r="AB155" s="209"/>
      <c r="AC155" s="201"/>
      <c r="AD155" s="201"/>
      <c r="AE155" s="201"/>
      <c r="AF155" s="201"/>
      <c r="AG155" s="201"/>
      <c r="AH155" s="201"/>
      <c r="AI155" s="201"/>
      <c r="AJ155" s="199"/>
      <c r="AK155" s="198"/>
      <c r="AL155" s="198"/>
      <c r="AM155" s="198"/>
      <c r="AN155" s="198"/>
      <c r="AO155" s="198"/>
      <c r="AP155" s="198"/>
      <c r="AQ155" s="198"/>
      <c r="AR155" s="198"/>
      <c r="AS155" s="198"/>
      <c r="AT155" s="198"/>
      <c r="AU155" s="198"/>
      <c r="AV155" s="198"/>
      <c r="AW155" s="198"/>
      <c r="AX155" s="198"/>
      <c r="AY155" s="198"/>
    </row>
    <row r="156" spans="1:51" x14ac:dyDescent="0.25">
      <c r="A156" s="206"/>
      <c r="B156" s="206"/>
      <c r="C156" s="206"/>
      <c r="D156" s="200"/>
      <c r="E156" s="206"/>
      <c r="F156" s="202"/>
      <c r="G156" s="208"/>
      <c r="H156" s="202"/>
      <c r="I156" s="208"/>
      <c r="J156" s="200"/>
      <c r="K156" s="201"/>
      <c r="L156" s="200"/>
      <c r="M156" s="201"/>
      <c r="N156" s="200"/>
      <c r="O156" s="201"/>
      <c r="P156" s="200"/>
      <c r="Q156" s="216"/>
      <c r="R156" s="201"/>
      <c r="S156" s="201"/>
      <c r="T156" s="209"/>
      <c r="U156" s="201"/>
      <c r="V156" s="201"/>
      <c r="W156" s="201"/>
      <c r="X156" s="201"/>
      <c r="Y156" s="201"/>
      <c r="Z156" s="201"/>
      <c r="AA156" s="201"/>
      <c r="AB156" s="209"/>
      <c r="AC156" s="201"/>
      <c r="AD156" s="201"/>
      <c r="AE156" s="201"/>
      <c r="AF156" s="201"/>
      <c r="AG156" s="201"/>
      <c r="AH156" s="201"/>
      <c r="AI156" s="201"/>
      <c r="AJ156" s="199"/>
      <c r="AK156" s="198"/>
      <c r="AL156" s="198"/>
      <c r="AM156" s="198"/>
      <c r="AN156" s="198"/>
      <c r="AO156" s="198"/>
      <c r="AP156" s="198"/>
      <c r="AQ156" s="198"/>
      <c r="AR156" s="198"/>
      <c r="AS156" s="198"/>
      <c r="AT156" s="198"/>
      <c r="AU156" s="198"/>
      <c r="AV156" s="198"/>
      <c r="AW156" s="198"/>
      <c r="AX156" s="198"/>
      <c r="AY156" s="198"/>
    </row>
    <row r="157" spans="1:51" x14ac:dyDescent="0.25">
      <c r="A157" s="206"/>
      <c r="B157" s="206"/>
      <c r="C157" s="206"/>
      <c r="D157" s="200"/>
      <c r="E157" s="206"/>
      <c r="F157" s="202"/>
      <c r="G157" s="208"/>
      <c r="H157" s="202"/>
      <c r="I157" s="208"/>
      <c r="J157" s="200"/>
      <c r="K157" s="201"/>
      <c r="L157" s="200"/>
      <c r="M157" s="201"/>
      <c r="N157" s="200"/>
      <c r="O157" s="201"/>
      <c r="P157" s="200"/>
      <c r="Q157" s="216"/>
      <c r="R157" s="201"/>
      <c r="S157" s="201"/>
      <c r="T157" s="209"/>
      <c r="U157" s="201"/>
      <c r="V157" s="201"/>
      <c r="W157" s="201"/>
      <c r="X157" s="201"/>
      <c r="Y157" s="201"/>
      <c r="Z157" s="201"/>
      <c r="AA157" s="201"/>
      <c r="AB157" s="209"/>
      <c r="AC157" s="201"/>
      <c r="AD157" s="201"/>
      <c r="AE157" s="201"/>
      <c r="AF157" s="201"/>
      <c r="AG157" s="201"/>
      <c r="AH157" s="201"/>
      <c r="AI157" s="201"/>
      <c r="AJ157" s="199"/>
      <c r="AK157" s="198"/>
      <c r="AL157" s="198"/>
      <c r="AM157" s="198"/>
      <c r="AN157" s="198"/>
      <c r="AO157" s="198"/>
      <c r="AP157" s="198"/>
      <c r="AQ157" s="198"/>
      <c r="AR157" s="198"/>
      <c r="AS157" s="198"/>
      <c r="AT157" s="198"/>
      <c r="AU157" s="198"/>
      <c r="AV157" s="198"/>
      <c r="AW157" s="198"/>
      <c r="AX157" s="198"/>
      <c r="AY157" s="198"/>
    </row>
    <row r="158" spans="1:51" x14ac:dyDescent="0.25">
      <c r="A158" s="206"/>
      <c r="B158" s="206"/>
      <c r="C158" s="206"/>
      <c r="D158" s="200"/>
      <c r="E158" s="206"/>
      <c r="F158" s="202"/>
      <c r="G158" s="208"/>
      <c r="H158" s="202"/>
      <c r="I158" s="208"/>
      <c r="J158" s="200"/>
      <c r="K158" s="201"/>
      <c r="L158" s="200"/>
      <c r="M158" s="201"/>
      <c r="N158" s="200"/>
      <c r="O158" s="201"/>
      <c r="P158" s="200"/>
      <c r="Q158" s="216"/>
      <c r="R158" s="201"/>
      <c r="S158" s="201"/>
      <c r="T158" s="209"/>
      <c r="U158" s="201"/>
      <c r="V158" s="201"/>
      <c r="W158" s="201"/>
      <c r="X158" s="201"/>
      <c r="Y158" s="201"/>
      <c r="Z158" s="201"/>
      <c r="AA158" s="201"/>
      <c r="AB158" s="209"/>
      <c r="AC158" s="201"/>
      <c r="AD158" s="201"/>
      <c r="AE158" s="201"/>
      <c r="AF158" s="201"/>
      <c r="AG158" s="201"/>
      <c r="AH158" s="201"/>
      <c r="AI158" s="201"/>
      <c r="AJ158" s="199"/>
      <c r="AK158" s="198"/>
      <c r="AL158" s="198"/>
      <c r="AM158" s="198"/>
      <c r="AN158" s="198"/>
      <c r="AO158" s="198"/>
      <c r="AP158" s="198"/>
      <c r="AQ158" s="198"/>
      <c r="AR158" s="198"/>
      <c r="AS158" s="198"/>
      <c r="AT158" s="198"/>
      <c r="AU158" s="198"/>
      <c r="AV158" s="198"/>
      <c r="AW158" s="198"/>
      <c r="AX158" s="198"/>
      <c r="AY158" s="198"/>
    </row>
    <row r="159" spans="1:51" x14ac:dyDescent="0.25">
      <c r="A159" s="206"/>
      <c r="B159" s="206"/>
      <c r="C159" s="206"/>
      <c r="D159" s="200"/>
      <c r="E159" s="206"/>
      <c r="F159" s="202"/>
      <c r="G159" s="208"/>
      <c r="H159" s="202"/>
      <c r="I159" s="208"/>
      <c r="J159" s="200"/>
      <c r="K159" s="201"/>
      <c r="L159" s="200"/>
      <c r="M159" s="201"/>
      <c r="N159" s="200"/>
      <c r="O159" s="201"/>
      <c r="P159" s="200"/>
      <c r="Q159" s="216"/>
      <c r="R159" s="201"/>
      <c r="S159" s="201"/>
      <c r="T159" s="209"/>
      <c r="U159" s="201"/>
      <c r="V159" s="201"/>
      <c r="W159" s="201"/>
      <c r="X159" s="201"/>
      <c r="Y159" s="201"/>
      <c r="Z159" s="201"/>
      <c r="AA159" s="201"/>
      <c r="AB159" s="209"/>
      <c r="AC159" s="201"/>
      <c r="AD159" s="201"/>
      <c r="AE159" s="201"/>
      <c r="AF159" s="201"/>
      <c r="AG159" s="201"/>
      <c r="AH159" s="201"/>
      <c r="AI159" s="201"/>
      <c r="AJ159" s="199"/>
      <c r="AK159" s="198"/>
      <c r="AL159" s="198"/>
      <c r="AM159" s="198"/>
      <c r="AN159" s="198"/>
      <c r="AO159" s="198"/>
      <c r="AP159" s="198"/>
      <c r="AQ159" s="198"/>
      <c r="AR159" s="198"/>
      <c r="AS159" s="198"/>
      <c r="AT159" s="198"/>
      <c r="AU159" s="198"/>
      <c r="AV159" s="198"/>
      <c r="AW159" s="198"/>
      <c r="AX159" s="198"/>
      <c r="AY159" s="198"/>
    </row>
    <row r="160" spans="1:51" x14ac:dyDescent="0.25">
      <c r="A160" s="206"/>
      <c r="B160" s="206"/>
      <c r="C160" s="206"/>
      <c r="D160" s="200"/>
      <c r="E160" s="206"/>
      <c r="F160" s="202"/>
      <c r="G160" s="208"/>
      <c r="H160" s="202"/>
      <c r="I160" s="208"/>
      <c r="J160" s="200"/>
      <c r="K160" s="201"/>
      <c r="L160" s="200"/>
      <c r="M160" s="201"/>
      <c r="N160" s="200"/>
      <c r="O160" s="201"/>
      <c r="P160" s="200"/>
      <c r="Q160" s="216"/>
      <c r="R160" s="201"/>
      <c r="S160" s="201"/>
      <c r="T160" s="209"/>
      <c r="U160" s="201"/>
      <c r="V160" s="201"/>
      <c r="W160" s="201"/>
      <c r="X160" s="201"/>
      <c r="Y160" s="201"/>
      <c r="Z160" s="201"/>
      <c r="AA160" s="201"/>
      <c r="AB160" s="209"/>
      <c r="AC160" s="201"/>
      <c r="AD160" s="201"/>
      <c r="AE160" s="201"/>
      <c r="AF160" s="201"/>
      <c r="AG160" s="201"/>
      <c r="AH160" s="201"/>
      <c r="AI160" s="201"/>
      <c r="AJ160" s="199"/>
      <c r="AK160" s="198"/>
      <c r="AL160" s="198"/>
      <c r="AM160" s="198"/>
      <c r="AN160" s="198"/>
      <c r="AO160" s="198"/>
      <c r="AP160" s="198"/>
      <c r="AQ160" s="198"/>
      <c r="AR160" s="198"/>
      <c r="AS160" s="198"/>
      <c r="AT160" s="198"/>
      <c r="AU160" s="198"/>
      <c r="AV160" s="198"/>
      <c r="AW160" s="198"/>
      <c r="AX160" s="198"/>
      <c r="AY160" s="198"/>
    </row>
    <row r="161" spans="1:51" x14ac:dyDescent="0.25">
      <c r="A161" s="206"/>
      <c r="B161" s="206"/>
      <c r="C161" s="206"/>
      <c r="D161" s="200"/>
      <c r="E161" s="206"/>
      <c r="F161" s="202"/>
      <c r="G161" s="208"/>
      <c r="H161" s="202"/>
      <c r="I161" s="208"/>
      <c r="J161" s="200"/>
      <c r="K161" s="201"/>
      <c r="L161" s="200"/>
      <c r="M161" s="201"/>
      <c r="N161" s="200"/>
      <c r="O161" s="201"/>
      <c r="P161" s="200"/>
      <c r="Q161" s="216"/>
      <c r="R161" s="201"/>
      <c r="S161" s="201"/>
      <c r="T161" s="209"/>
      <c r="U161" s="201"/>
      <c r="V161" s="201"/>
      <c r="W161" s="201"/>
      <c r="X161" s="201"/>
      <c r="Y161" s="201"/>
      <c r="Z161" s="201"/>
      <c r="AA161" s="201"/>
      <c r="AB161" s="209"/>
      <c r="AC161" s="201"/>
      <c r="AD161" s="201"/>
      <c r="AE161" s="201"/>
      <c r="AF161" s="201"/>
      <c r="AG161" s="201"/>
      <c r="AH161" s="201"/>
      <c r="AI161" s="201"/>
      <c r="AJ161" s="199"/>
      <c r="AK161" s="198"/>
      <c r="AL161" s="198"/>
      <c r="AM161" s="198"/>
      <c r="AN161" s="198"/>
      <c r="AO161" s="198"/>
      <c r="AP161" s="198"/>
      <c r="AQ161" s="198"/>
      <c r="AR161" s="198"/>
      <c r="AS161" s="198"/>
      <c r="AT161" s="198"/>
      <c r="AU161" s="198"/>
      <c r="AV161" s="198"/>
      <c r="AW161" s="198"/>
      <c r="AX161" s="198"/>
      <c r="AY161" s="198"/>
    </row>
    <row r="162" spans="1:51" x14ac:dyDescent="0.25">
      <c r="A162" s="206"/>
      <c r="B162" s="206"/>
      <c r="C162" s="206"/>
      <c r="D162" s="200"/>
      <c r="E162" s="206"/>
      <c r="F162" s="202"/>
      <c r="G162" s="208"/>
      <c r="H162" s="202"/>
      <c r="I162" s="208"/>
      <c r="J162" s="200"/>
      <c r="K162" s="201"/>
      <c r="L162" s="200"/>
      <c r="M162" s="201"/>
      <c r="N162" s="200"/>
      <c r="O162" s="201"/>
      <c r="P162" s="200"/>
      <c r="Q162" s="216"/>
      <c r="R162" s="201"/>
      <c r="S162" s="201"/>
      <c r="T162" s="209"/>
      <c r="U162" s="201"/>
      <c r="V162" s="201"/>
      <c r="W162" s="201"/>
      <c r="X162" s="201"/>
      <c r="Y162" s="201"/>
      <c r="Z162" s="201"/>
      <c r="AA162" s="201"/>
      <c r="AB162" s="209"/>
      <c r="AC162" s="201"/>
      <c r="AD162" s="201"/>
      <c r="AE162" s="201"/>
      <c r="AF162" s="201"/>
      <c r="AG162" s="201"/>
      <c r="AH162" s="201"/>
      <c r="AI162" s="201"/>
      <c r="AJ162" s="199"/>
      <c r="AK162" s="198"/>
      <c r="AL162" s="198"/>
      <c r="AM162" s="198"/>
      <c r="AN162" s="198"/>
      <c r="AO162" s="198"/>
      <c r="AP162" s="198"/>
      <c r="AQ162" s="198"/>
      <c r="AR162" s="198"/>
      <c r="AS162" s="198"/>
      <c r="AT162" s="198"/>
      <c r="AU162" s="198"/>
      <c r="AV162" s="198"/>
      <c r="AW162" s="198"/>
      <c r="AX162" s="198"/>
      <c r="AY162" s="198"/>
    </row>
    <row r="163" spans="1:51" x14ac:dyDescent="0.25">
      <c r="A163" s="206"/>
      <c r="B163" s="206"/>
      <c r="C163" s="206"/>
      <c r="D163" s="200"/>
      <c r="E163" s="206"/>
      <c r="F163" s="202"/>
      <c r="G163" s="208"/>
      <c r="H163" s="202"/>
      <c r="I163" s="208"/>
      <c r="J163" s="200"/>
      <c r="K163" s="201"/>
      <c r="L163" s="200"/>
      <c r="M163" s="201"/>
      <c r="N163" s="200"/>
      <c r="O163" s="201"/>
      <c r="P163" s="200"/>
      <c r="Q163" s="216"/>
      <c r="R163" s="201"/>
      <c r="S163" s="201"/>
      <c r="T163" s="209"/>
      <c r="U163" s="201"/>
      <c r="V163" s="201"/>
      <c r="W163" s="201"/>
      <c r="X163" s="201"/>
      <c r="Y163" s="201"/>
      <c r="Z163" s="201"/>
      <c r="AA163" s="201"/>
      <c r="AB163" s="209"/>
      <c r="AC163" s="201"/>
      <c r="AD163" s="201"/>
      <c r="AE163" s="201"/>
      <c r="AF163" s="201"/>
      <c r="AG163" s="201"/>
      <c r="AH163" s="201"/>
      <c r="AI163" s="201"/>
      <c r="AJ163" s="199"/>
      <c r="AK163" s="198"/>
      <c r="AL163" s="198"/>
      <c r="AM163" s="198"/>
      <c r="AN163" s="198"/>
      <c r="AO163" s="198"/>
      <c r="AP163" s="198"/>
      <c r="AQ163" s="198"/>
      <c r="AR163" s="198"/>
      <c r="AS163" s="198"/>
      <c r="AT163" s="198"/>
      <c r="AU163" s="198"/>
      <c r="AV163" s="198"/>
      <c r="AW163" s="198"/>
      <c r="AX163" s="198"/>
      <c r="AY163" s="198"/>
    </row>
    <row r="164" spans="1:51" x14ac:dyDescent="0.25">
      <c r="A164" s="206"/>
      <c r="B164" s="206"/>
      <c r="C164" s="206"/>
      <c r="D164" s="200"/>
      <c r="E164" s="206"/>
      <c r="F164" s="202"/>
      <c r="G164" s="208"/>
      <c r="H164" s="202"/>
      <c r="I164" s="208"/>
      <c r="J164" s="200"/>
      <c r="K164" s="201"/>
      <c r="L164" s="200"/>
      <c r="M164" s="201"/>
      <c r="N164" s="200"/>
      <c r="O164" s="201"/>
      <c r="P164" s="200"/>
      <c r="Q164" s="216"/>
      <c r="R164" s="201"/>
      <c r="S164" s="201"/>
      <c r="T164" s="209"/>
      <c r="U164" s="201"/>
      <c r="V164" s="201"/>
      <c r="W164" s="201"/>
      <c r="X164" s="201"/>
      <c r="Y164" s="201"/>
      <c r="Z164" s="201"/>
      <c r="AA164" s="201"/>
      <c r="AB164" s="209"/>
      <c r="AC164" s="201"/>
      <c r="AD164" s="201"/>
      <c r="AE164" s="201"/>
      <c r="AF164" s="201"/>
      <c r="AG164" s="201"/>
      <c r="AH164" s="201"/>
      <c r="AI164" s="201"/>
      <c r="AJ164" s="199"/>
      <c r="AK164" s="198"/>
      <c r="AL164" s="198"/>
      <c r="AM164" s="198"/>
      <c r="AN164" s="198"/>
      <c r="AO164" s="198"/>
      <c r="AP164" s="198"/>
      <c r="AQ164" s="198"/>
      <c r="AR164" s="198"/>
      <c r="AS164" s="198"/>
      <c r="AT164" s="198"/>
      <c r="AU164" s="198"/>
      <c r="AV164" s="198"/>
      <c r="AW164" s="198"/>
      <c r="AX164" s="198"/>
      <c r="AY164" s="198"/>
    </row>
    <row r="165" spans="1:51" x14ac:dyDescent="0.25">
      <c r="A165" s="206"/>
      <c r="B165" s="206"/>
      <c r="C165" s="206"/>
      <c r="D165" s="200"/>
      <c r="E165" s="206"/>
      <c r="F165" s="202"/>
      <c r="G165" s="208"/>
      <c r="H165" s="202"/>
      <c r="I165" s="208"/>
      <c r="J165" s="200"/>
      <c r="K165" s="201"/>
      <c r="L165" s="200"/>
      <c r="M165" s="201"/>
      <c r="N165" s="200"/>
      <c r="O165" s="201"/>
      <c r="P165" s="200"/>
      <c r="Q165" s="216"/>
      <c r="R165" s="201"/>
      <c r="S165" s="201"/>
      <c r="T165" s="209"/>
      <c r="U165" s="201"/>
      <c r="V165" s="201"/>
      <c r="W165" s="201"/>
      <c r="X165" s="201"/>
      <c r="Y165" s="201"/>
      <c r="Z165" s="201"/>
      <c r="AA165" s="201"/>
      <c r="AB165" s="209"/>
      <c r="AC165" s="201"/>
      <c r="AD165" s="201"/>
      <c r="AE165" s="201"/>
      <c r="AF165" s="201"/>
      <c r="AG165" s="201"/>
      <c r="AH165" s="201"/>
      <c r="AI165" s="201"/>
      <c r="AJ165" s="199"/>
      <c r="AK165" s="198"/>
      <c r="AL165" s="198"/>
      <c r="AM165" s="198"/>
      <c r="AN165" s="198"/>
      <c r="AO165" s="198"/>
      <c r="AP165" s="198"/>
      <c r="AQ165" s="198"/>
      <c r="AR165" s="198"/>
      <c r="AS165" s="198"/>
      <c r="AT165" s="198"/>
      <c r="AU165" s="198"/>
      <c r="AV165" s="198"/>
      <c r="AW165" s="198"/>
      <c r="AX165" s="198"/>
      <c r="AY165" s="198"/>
    </row>
    <row r="166" spans="1:51" x14ac:dyDescent="0.25">
      <c r="A166" s="206"/>
      <c r="B166" s="206"/>
      <c r="C166" s="206"/>
      <c r="D166" s="200"/>
      <c r="E166" s="206"/>
      <c r="F166" s="202"/>
      <c r="G166" s="208"/>
      <c r="H166" s="202"/>
      <c r="I166" s="208"/>
      <c r="J166" s="200"/>
      <c r="K166" s="201"/>
      <c r="L166" s="200"/>
      <c r="M166" s="201"/>
      <c r="N166" s="200"/>
      <c r="O166" s="201"/>
      <c r="P166" s="200"/>
      <c r="Q166" s="216"/>
      <c r="R166" s="201"/>
      <c r="S166" s="201"/>
      <c r="T166" s="209"/>
      <c r="U166" s="201"/>
      <c r="V166" s="201"/>
      <c r="W166" s="201"/>
      <c r="X166" s="201"/>
      <c r="Y166" s="201"/>
      <c r="Z166" s="201"/>
      <c r="AA166" s="201"/>
      <c r="AB166" s="209"/>
      <c r="AC166" s="201"/>
      <c r="AD166" s="201"/>
      <c r="AE166" s="201"/>
      <c r="AF166" s="201"/>
      <c r="AG166" s="201"/>
      <c r="AH166" s="201"/>
      <c r="AI166" s="201"/>
      <c r="AJ166" s="199"/>
      <c r="AK166" s="198"/>
      <c r="AL166" s="198"/>
      <c r="AM166" s="198"/>
      <c r="AN166" s="198"/>
      <c r="AO166" s="198"/>
      <c r="AP166" s="198"/>
      <c r="AQ166" s="198"/>
      <c r="AR166" s="198"/>
      <c r="AS166" s="198"/>
      <c r="AT166" s="198"/>
      <c r="AU166" s="198"/>
      <c r="AV166" s="198"/>
      <c r="AW166" s="198"/>
      <c r="AX166" s="198"/>
      <c r="AY166" s="198"/>
    </row>
    <row r="167" spans="1:51" x14ac:dyDescent="0.25">
      <c r="A167" s="206"/>
      <c r="B167" s="206"/>
      <c r="C167" s="206"/>
      <c r="D167" s="200"/>
      <c r="E167" s="206"/>
      <c r="F167" s="202"/>
      <c r="G167" s="208"/>
      <c r="H167" s="202"/>
      <c r="I167" s="208"/>
      <c r="J167" s="200"/>
      <c r="K167" s="201"/>
      <c r="L167" s="200"/>
      <c r="M167" s="201"/>
      <c r="N167" s="200"/>
      <c r="O167" s="201"/>
      <c r="P167" s="200"/>
      <c r="Q167" s="216"/>
      <c r="R167" s="201"/>
      <c r="S167" s="201"/>
      <c r="T167" s="209"/>
      <c r="U167" s="201"/>
      <c r="V167" s="201"/>
      <c r="W167" s="201"/>
      <c r="X167" s="201"/>
      <c r="Y167" s="201"/>
      <c r="Z167" s="201"/>
      <c r="AA167" s="201"/>
      <c r="AB167" s="209"/>
      <c r="AC167" s="201"/>
      <c r="AD167" s="201"/>
      <c r="AE167" s="201"/>
      <c r="AF167" s="201"/>
      <c r="AG167" s="201"/>
      <c r="AH167" s="201"/>
      <c r="AI167" s="201"/>
      <c r="AJ167" s="199"/>
      <c r="AK167" s="198"/>
      <c r="AL167" s="198"/>
      <c r="AM167" s="198"/>
      <c r="AN167" s="198"/>
      <c r="AO167" s="198"/>
      <c r="AP167" s="198"/>
      <c r="AQ167" s="198"/>
      <c r="AR167" s="198"/>
      <c r="AS167" s="198"/>
      <c r="AT167" s="198"/>
      <c r="AU167" s="198"/>
      <c r="AV167" s="198"/>
      <c r="AW167" s="198"/>
      <c r="AX167" s="198"/>
      <c r="AY167" s="198"/>
    </row>
  </sheetData>
  <mergeCells count="1">
    <mergeCell ref="B88:D88"/>
  </mergeCells>
  <phoneticPr fontId="3" type="noConversion"/>
  <pageMargins left="0.3" right="0.17" top="0.91" bottom="0.37" header="0.42" footer="0.21"/>
  <pageSetup scale="70" orientation="landscape" r:id="rId1"/>
  <headerFooter alignWithMargins="0">
    <oddHeader>&amp;L&amp;"Arial,Bold"&amp;12Department of Public Safety&amp;R&amp;"Arial,Bold"&amp;12Justice System Appropriations Subcommittee</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6"/>
  <sheetViews>
    <sheetView tabSelected="1" zoomScale="80" zoomScaleNormal="80" workbookViewId="0">
      <selection activeCell="R1" sqref="R1:X1048576"/>
    </sheetView>
  </sheetViews>
  <sheetFormatPr defaultColWidth="9.109375" defaultRowHeight="11.4" x14ac:dyDescent="0.2"/>
  <cols>
    <col min="1" max="1" width="2.109375" style="150" customWidth="1"/>
    <col min="2" max="2" width="13" style="150" customWidth="1"/>
    <col min="3" max="3" width="0.6640625" style="150" customWidth="1"/>
    <col min="4" max="4" width="17.109375" style="151" customWidth="1"/>
    <col min="5" max="5" width="1.109375" style="150" customWidth="1"/>
    <col min="6" max="6" width="26" style="152" customWidth="1"/>
    <col min="7" max="7" width="1" style="153" customWidth="1"/>
    <col min="8" max="8" width="26.33203125" style="152" customWidth="1"/>
    <col min="9" max="9" width="1" style="153" customWidth="1"/>
    <col min="10" max="10" width="12" style="44" customWidth="1"/>
    <col min="11" max="11" width="1.33203125" style="22" customWidth="1"/>
    <col min="12" max="12" width="11.44140625" style="44" customWidth="1"/>
    <col min="13" max="13" width="1" style="22" customWidth="1"/>
    <col min="14" max="14" width="18.6640625" style="22" hidden="1" customWidth="1"/>
    <col min="15" max="15" width="0.5546875" style="22" customWidth="1"/>
    <col min="16" max="16" width="9.44140625" style="22" bestFit="1" customWidth="1"/>
    <col min="17" max="17" width="21.109375" style="216" customWidth="1"/>
    <col min="18" max="18" width="13.109375" style="22" hidden="1" customWidth="1"/>
    <col min="19" max="19" width="0.88671875" style="22" hidden="1" customWidth="1"/>
    <col min="20" max="20" width="12.44140625" style="75" hidden="1" customWidth="1"/>
    <col min="21" max="21" width="0.88671875" style="22" hidden="1" customWidth="1"/>
    <col min="22" max="22" width="10.33203125" style="205" hidden="1" customWidth="1"/>
    <col min="23" max="23" width="1.109375" style="22" hidden="1" customWidth="1"/>
    <col min="24" max="24" width="10.6640625" style="205" hidden="1" customWidth="1"/>
    <col min="25" max="25" width="0.88671875" style="22" customWidth="1"/>
    <col min="26" max="26" width="13.109375" style="205" customWidth="1"/>
    <col min="27" max="27" width="0.88671875" style="205" customWidth="1"/>
    <col min="28" max="28" width="12.44140625" style="98" customWidth="1"/>
    <col min="29" max="29" width="0.88671875" style="205" customWidth="1"/>
    <col min="30" max="30" width="10.33203125" style="205" customWidth="1"/>
    <col min="31" max="31" width="1.109375" style="205" customWidth="1"/>
    <col min="32" max="32" width="10.6640625" style="205" customWidth="1"/>
    <col min="33" max="33" width="10.33203125" style="205" customWidth="1"/>
    <col min="34" max="34" width="1.109375" style="205" customWidth="1"/>
    <col min="35" max="35" width="10.6640625" style="205" customWidth="1"/>
    <col min="36" max="36" width="9.109375" style="22" customWidth="1"/>
    <col min="37" max="16384" width="9.109375" style="22"/>
  </cols>
  <sheetData>
    <row r="1" spans="1:36" ht="36" x14ac:dyDescent="0.25">
      <c r="A1" s="154"/>
      <c r="B1" s="155" t="s">
        <v>9</v>
      </c>
      <c r="C1" s="154"/>
      <c r="D1" s="155" t="s">
        <v>40</v>
      </c>
      <c r="E1" s="154"/>
      <c r="F1" s="156" t="s">
        <v>0</v>
      </c>
      <c r="G1" s="155"/>
      <c r="H1" s="156" t="s">
        <v>1</v>
      </c>
      <c r="I1" s="155"/>
      <c r="J1" s="157" t="s">
        <v>4</v>
      </c>
      <c r="K1" s="154"/>
      <c r="L1" s="155" t="s">
        <v>2</v>
      </c>
      <c r="M1" s="154"/>
      <c r="N1" s="155" t="s">
        <v>7</v>
      </c>
      <c r="O1" s="154"/>
      <c r="P1" s="155" t="s">
        <v>8</v>
      </c>
      <c r="Q1" s="302" t="s">
        <v>24</v>
      </c>
      <c r="R1" s="158" t="s">
        <v>5</v>
      </c>
      <c r="S1" s="154"/>
      <c r="T1" s="157" t="s">
        <v>6</v>
      </c>
      <c r="U1" s="154"/>
      <c r="V1" s="189" t="s">
        <v>592</v>
      </c>
      <c r="W1" s="154"/>
      <c r="X1" s="194" t="s">
        <v>593</v>
      </c>
      <c r="Y1" s="154"/>
      <c r="Z1" s="303" t="s">
        <v>719</v>
      </c>
      <c r="AA1" s="277"/>
      <c r="AB1" s="194" t="s">
        <v>720</v>
      </c>
      <c r="AC1" s="277"/>
      <c r="AD1" s="189" t="s">
        <v>721</v>
      </c>
      <c r="AE1" s="277"/>
      <c r="AF1" s="194" t="s">
        <v>722</v>
      </c>
      <c r="AG1" s="189" t="s">
        <v>723</v>
      </c>
      <c r="AH1" s="277"/>
      <c r="AI1" s="194" t="s">
        <v>724</v>
      </c>
    </row>
    <row r="2" spans="1:36" ht="37.950000000000003" customHeight="1" x14ac:dyDescent="0.25">
      <c r="A2" s="160"/>
      <c r="B2" s="159" t="s">
        <v>551</v>
      </c>
      <c r="C2" s="199"/>
      <c r="D2" s="161" t="s">
        <v>590</v>
      </c>
      <c r="E2" s="201"/>
      <c r="F2" s="202" t="s">
        <v>552</v>
      </c>
      <c r="G2" s="200"/>
      <c r="H2" s="202" t="s">
        <v>557</v>
      </c>
      <c r="I2" s="200"/>
      <c r="J2" s="185" t="s">
        <v>717</v>
      </c>
      <c r="K2" s="201"/>
      <c r="L2" s="200" t="s">
        <v>553</v>
      </c>
      <c r="M2" s="201"/>
      <c r="N2" s="161" t="s">
        <v>589</v>
      </c>
      <c r="O2" s="201"/>
      <c r="P2" s="201">
        <v>2011</v>
      </c>
      <c r="Q2" s="207" t="s">
        <v>801</v>
      </c>
      <c r="R2" s="203">
        <v>197</v>
      </c>
      <c r="S2" s="201"/>
      <c r="T2" s="178">
        <f>197*4000</f>
        <v>788000</v>
      </c>
      <c r="U2" s="201"/>
      <c r="V2" s="190">
        <v>160</v>
      </c>
      <c r="W2" s="201"/>
      <c r="X2" s="195">
        <f>160*4606</f>
        <v>736960</v>
      </c>
      <c r="Y2" s="201"/>
      <c r="Z2" s="304">
        <v>159</v>
      </c>
      <c r="AA2" s="201"/>
      <c r="AB2" s="178">
        <f>(158*5000)+(1*275)</f>
        <v>790275</v>
      </c>
      <c r="AC2" s="201"/>
      <c r="AD2" s="190">
        <v>181</v>
      </c>
      <c r="AE2" s="201"/>
      <c r="AF2" s="195">
        <f>181*5000</f>
        <v>905000</v>
      </c>
      <c r="AG2" s="190">
        <v>172</v>
      </c>
      <c r="AH2" s="201"/>
      <c r="AI2" s="195">
        <f>(169*5374.09)+(3*300)</f>
        <v>909121.21000000008</v>
      </c>
      <c r="AJ2" s="71"/>
    </row>
    <row r="3" spans="1:36" ht="42.6" customHeight="1" x14ac:dyDescent="0.25">
      <c r="A3" s="160"/>
      <c r="B3" s="159" t="s">
        <v>554</v>
      </c>
      <c r="C3" s="160"/>
      <c r="D3" s="161" t="s">
        <v>590</v>
      </c>
      <c r="E3" s="203"/>
      <c r="F3" s="162" t="s">
        <v>555</v>
      </c>
      <c r="G3" s="161"/>
      <c r="H3" s="162" t="s">
        <v>556</v>
      </c>
      <c r="I3" s="161"/>
      <c r="J3" s="186" t="s">
        <v>718</v>
      </c>
      <c r="K3" s="203"/>
      <c r="L3" s="161" t="s">
        <v>129</v>
      </c>
      <c r="M3" s="203"/>
      <c r="N3" s="161" t="s">
        <v>589</v>
      </c>
      <c r="O3" s="203"/>
      <c r="P3" s="203">
        <v>2011</v>
      </c>
      <c r="Q3" s="207" t="s">
        <v>801</v>
      </c>
      <c r="R3" s="203">
        <v>13</v>
      </c>
      <c r="S3" s="203"/>
      <c r="T3" s="179">
        <f>13*850</f>
        <v>11050</v>
      </c>
      <c r="U3" s="203"/>
      <c r="V3" s="191">
        <v>10</v>
      </c>
      <c r="W3" s="203"/>
      <c r="X3" s="195">
        <f>(4*500)+(6*850)</f>
        <v>7100</v>
      </c>
      <c r="Y3" s="203"/>
      <c r="Z3" s="304">
        <v>18</v>
      </c>
      <c r="AA3" s="203"/>
      <c r="AB3" s="179">
        <f>(7*500)+(4*850)+(7*250)</f>
        <v>8650</v>
      </c>
      <c r="AC3" s="203"/>
      <c r="AD3" s="191">
        <v>15</v>
      </c>
      <c r="AE3" s="203"/>
      <c r="AF3" s="195">
        <f>(3*850)+(5*550)+(6*250)</f>
        <v>6800</v>
      </c>
      <c r="AG3" s="191">
        <v>17</v>
      </c>
      <c r="AH3" s="203"/>
      <c r="AI3" s="195">
        <f>(2*950)+(2*850)+(4*600)+(4*500)+(5*250)</f>
        <v>9250</v>
      </c>
      <c r="AJ3" s="310"/>
    </row>
    <row r="4" spans="1:36" ht="42.6" customHeight="1" x14ac:dyDescent="0.2">
      <c r="A4" s="160"/>
      <c r="B4" s="159" t="s">
        <v>554</v>
      </c>
      <c r="C4" s="160"/>
      <c r="D4" s="161" t="s">
        <v>590</v>
      </c>
      <c r="E4" s="203"/>
      <c r="F4" s="162" t="s">
        <v>603</v>
      </c>
      <c r="G4" s="161"/>
      <c r="H4" s="162" t="s">
        <v>562</v>
      </c>
      <c r="I4" s="161"/>
      <c r="J4" s="186">
        <v>135</v>
      </c>
      <c r="K4" s="203"/>
      <c r="L4" s="161" t="s">
        <v>118</v>
      </c>
      <c r="M4" s="203"/>
      <c r="N4" s="161" t="s">
        <v>589</v>
      </c>
      <c r="O4" s="203"/>
      <c r="P4" s="203">
        <v>2011</v>
      </c>
      <c r="Q4" s="207" t="s">
        <v>801</v>
      </c>
      <c r="R4" s="203">
        <v>29</v>
      </c>
      <c r="S4" s="203"/>
      <c r="T4" s="179">
        <f>29*135</f>
        <v>3915</v>
      </c>
      <c r="U4" s="203"/>
      <c r="V4" s="191">
        <v>0</v>
      </c>
      <c r="W4" s="203"/>
      <c r="X4" s="195">
        <v>0</v>
      </c>
      <c r="Y4" s="203"/>
      <c r="Z4" s="304">
        <v>40</v>
      </c>
      <c r="AA4" s="203"/>
      <c r="AB4" s="179">
        <f>40*135</f>
        <v>5400</v>
      </c>
      <c r="AC4" s="203"/>
      <c r="AD4" s="191">
        <v>0</v>
      </c>
      <c r="AE4" s="203"/>
      <c r="AF4" s="195">
        <v>0</v>
      </c>
      <c r="AG4" s="191">
        <v>0</v>
      </c>
      <c r="AH4" s="203"/>
      <c r="AI4" s="195">
        <v>0</v>
      </c>
      <c r="AJ4" s="71"/>
    </row>
    <row r="5" spans="1:36" ht="42.6" customHeight="1" x14ac:dyDescent="0.2">
      <c r="A5" s="160"/>
      <c r="B5" s="159" t="s">
        <v>554</v>
      </c>
      <c r="C5" s="160"/>
      <c r="D5" s="161" t="s">
        <v>590</v>
      </c>
      <c r="E5" s="203"/>
      <c r="F5" s="162" t="s">
        <v>604</v>
      </c>
      <c r="G5" s="161"/>
      <c r="H5" s="162" t="s">
        <v>562</v>
      </c>
      <c r="I5" s="161"/>
      <c r="J5" s="186">
        <v>100</v>
      </c>
      <c r="K5" s="203"/>
      <c r="L5" s="161" t="s">
        <v>118</v>
      </c>
      <c r="M5" s="203"/>
      <c r="N5" s="161" t="s">
        <v>589</v>
      </c>
      <c r="O5" s="203"/>
      <c r="P5" s="203">
        <v>2011</v>
      </c>
      <c r="Q5" s="207" t="s">
        <v>801</v>
      </c>
      <c r="R5" s="203">
        <v>11</v>
      </c>
      <c r="S5" s="203"/>
      <c r="T5" s="179">
        <f>11*100</f>
        <v>1100</v>
      </c>
      <c r="U5" s="203"/>
      <c r="V5" s="191">
        <v>0</v>
      </c>
      <c r="W5" s="203"/>
      <c r="X5" s="195">
        <v>0</v>
      </c>
      <c r="Y5" s="203"/>
      <c r="Z5" s="304">
        <v>0</v>
      </c>
      <c r="AA5" s="203">
        <v>0</v>
      </c>
      <c r="AB5" s="179">
        <v>0</v>
      </c>
      <c r="AC5" s="203"/>
      <c r="AD5" s="191">
        <v>0</v>
      </c>
      <c r="AE5" s="203"/>
      <c r="AF5" s="195">
        <v>0</v>
      </c>
      <c r="AG5" s="191">
        <v>0</v>
      </c>
      <c r="AH5" s="203"/>
      <c r="AI5" s="195">
        <v>0</v>
      </c>
      <c r="AJ5" s="71"/>
    </row>
    <row r="6" spans="1:36" ht="42.6" customHeight="1" x14ac:dyDescent="0.2">
      <c r="A6" s="160"/>
      <c r="B6" s="159" t="s">
        <v>554</v>
      </c>
      <c r="C6" s="160"/>
      <c r="D6" s="161" t="s">
        <v>590</v>
      </c>
      <c r="E6" s="203"/>
      <c r="F6" s="162" t="s">
        <v>605</v>
      </c>
      <c r="G6" s="161"/>
      <c r="H6" s="162" t="s">
        <v>562</v>
      </c>
      <c r="I6" s="161"/>
      <c r="J6" s="186">
        <v>170</v>
      </c>
      <c r="K6" s="203"/>
      <c r="L6" s="161" t="s">
        <v>118</v>
      </c>
      <c r="M6" s="203"/>
      <c r="N6" s="161" t="s">
        <v>589</v>
      </c>
      <c r="O6" s="203"/>
      <c r="P6" s="203">
        <v>2011</v>
      </c>
      <c r="Q6" s="207" t="s">
        <v>801</v>
      </c>
      <c r="R6" s="203">
        <v>7</v>
      </c>
      <c r="S6" s="203"/>
      <c r="T6" s="179">
        <f>7*170</f>
        <v>1190</v>
      </c>
      <c r="U6" s="203"/>
      <c r="V6" s="191">
        <v>0</v>
      </c>
      <c r="W6" s="203"/>
      <c r="X6" s="195">
        <v>0</v>
      </c>
      <c r="Y6" s="203"/>
      <c r="Z6" s="304">
        <v>14</v>
      </c>
      <c r="AA6" s="203"/>
      <c r="AB6" s="179">
        <f>14*180</f>
        <v>2520</v>
      </c>
      <c r="AC6" s="203"/>
      <c r="AD6" s="191">
        <v>0</v>
      </c>
      <c r="AE6" s="203"/>
      <c r="AF6" s="195">
        <v>0</v>
      </c>
      <c r="AG6" s="191">
        <v>0</v>
      </c>
      <c r="AH6" s="203"/>
      <c r="AI6" s="195">
        <v>0</v>
      </c>
      <c r="AJ6" s="71"/>
    </row>
    <row r="7" spans="1:36" ht="42.6" customHeight="1" x14ac:dyDescent="0.2">
      <c r="A7" s="160"/>
      <c r="B7" s="159" t="s">
        <v>554</v>
      </c>
      <c r="C7" s="160"/>
      <c r="D7" s="161" t="s">
        <v>590</v>
      </c>
      <c r="E7" s="203"/>
      <c r="F7" s="162" t="s">
        <v>606</v>
      </c>
      <c r="G7" s="161"/>
      <c r="H7" s="162" t="s">
        <v>562</v>
      </c>
      <c r="I7" s="161"/>
      <c r="J7" s="186">
        <v>275</v>
      </c>
      <c r="K7" s="203"/>
      <c r="L7" s="161" t="s">
        <v>118</v>
      </c>
      <c r="M7" s="203"/>
      <c r="N7" s="161" t="s">
        <v>589</v>
      </c>
      <c r="O7" s="203"/>
      <c r="P7" s="203">
        <v>2011</v>
      </c>
      <c r="Q7" s="207" t="s">
        <v>801</v>
      </c>
      <c r="R7" s="203">
        <v>6</v>
      </c>
      <c r="S7" s="203"/>
      <c r="T7" s="179">
        <f>6*275</f>
        <v>1650</v>
      </c>
      <c r="U7" s="203"/>
      <c r="V7" s="191">
        <v>0</v>
      </c>
      <c r="W7" s="203"/>
      <c r="X7" s="195">
        <v>0</v>
      </c>
      <c r="Y7" s="203"/>
      <c r="Z7" s="304">
        <v>0</v>
      </c>
      <c r="AA7" s="203"/>
      <c r="AB7" s="179">
        <v>0</v>
      </c>
      <c r="AC7" s="203"/>
      <c r="AD7" s="191">
        <v>8</v>
      </c>
      <c r="AE7" s="203"/>
      <c r="AF7" s="195">
        <f>8*275</f>
        <v>2200</v>
      </c>
      <c r="AG7" s="191">
        <v>10</v>
      </c>
      <c r="AH7" s="203"/>
      <c r="AI7" s="195">
        <f>10*275</f>
        <v>2750</v>
      </c>
      <c r="AJ7" s="71"/>
    </row>
    <row r="8" spans="1:36" ht="38.4" customHeight="1" x14ac:dyDescent="0.2">
      <c r="A8" s="160"/>
      <c r="B8" s="159" t="s">
        <v>554</v>
      </c>
      <c r="C8" s="160"/>
      <c r="D8" s="161" t="s">
        <v>590</v>
      </c>
      <c r="E8" s="203"/>
      <c r="F8" s="162" t="s">
        <v>558</v>
      </c>
      <c r="G8" s="161"/>
      <c r="H8" s="162" t="s">
        <v>562</v>
      </c>
      <c r="I8" s="161"/>
      <c r="J8" s="186">
        <v>130</v>
      </c>
      <c r="K8" s="203"/>
      <c r="L8" s="161" t="s">
        <v>118</v>
      </c>
      <c r="M8" s="203"/>
      <c r="N8" s="161" t="s">
        <v>589</v>
      </c>
      <c r="O8" s="203"/>
      <c r="P8" s="203">
        <v>2011</v>
      </c>
      <c r="Q8" s="207" t="s">
        <v>801</v>
      </c>
      <c r="R8" s="203">
        <v>14</v>
      </c>
      <c r="S8" s="203"/>
      <c r="T8" s="179">
        <f>14*130</f>
        <v>1820</v>
      </c>
      <c r="U8" s="203"/>
      <c r="V8" s="190">
        <v>11</v>
      </c>
      <c r="W8" s="203"/>
      <c r="X8" s="195">
        <f>11*130</f>
        <v>1430</v>
      </c>
      <c r="Y8" s="203"/>
      <c r="Z8" s="304">
        <v>0</v>
      </c>
      <c r="AA8" s="203"/>
      <c r="AB8" s="179">
        <v>0</v>
      </c>
      <c r="AC8" s="203"/>
      <c r="AD8" s="190">
        <v>0</v>
      </c>
      <c r="AE8" s="203"/>
      <c r="AF8" s="195">
        <v>0</v>
      </c>
      <c r="AG8" s="190">
        <v>0</v>
      </c>
      <c r="AH8" s="203"/>
      <c r="AI8" s="195">
        <v>0</v>
      </c>
      <c r="AJ8" s="71"/>
    </row>
    <row r="9" spans="1:36" ht="38.4" customHeight="1" x14ac:dyDescent="0.2">
      <c r="A9" s="160"/>
      <c r="B9" s="159" t="s">
        <v>554</v>
      </c>
      <c r="C9" s="160"/>
      <c r="D9" s="161" t="s">
        <v>590</v>
      </c>
      <c r="E9" s="203"/>
      <c r="F9" s="162" t="s">
        <v>607</v>
      </c>
      <c r="G9" s="161"/>
      <c r="H9" s="162" t="s">
        <v>562</v>
      </c>
      <c r="I9" s="161"/>
      <c r="J9" s="186">
        <v>170</v>
      </c>
      <c r="K9" s="203"/>
      <c r="L9" s="161" t="s">
        <v>118</v>
      </c>
      <c r="M9" s="203"/>
      <c r="N9" s="161" t="s">
        <v>589</v>
      </c>
      <c r="O9" s="203"/>
      <c r="P9" s="203">
        <v>2011</v>
      </c>
      <c r="Q9" s="207" t="s">
        <v>801</v>
      </c>
      <c r="R9" s="203">
        <v>4</v>
      </c>
      <c r="S9" s="203"/>
      <c r="T9" s="179">
        <f>4*170</f>
        <v>680</v>
      </c>
      <c r="U9" s="203"/>
      <c r="V9" s="190">
        <v>0</v>
      </c>
      <c r="W9" s="203"/>
      <c r="X9" s="195">
        <v>0</v>
      </c>
      <c r="Y9" s="203"/>
      <c r="Z9" s="304">
        <v>0</v>
      </c>
      <c r="AA9" s="203"/>
      <c r="AB9" s="179">
        <v>0</v>
      </c>
      <c r="AC9" s="203"/>
      <c r="AD9" s="190">
        <v>0</v>
      </c>
      <c r="AE9" s="203"/>
      <c r="AF9" s="195">
        <v>0</v>
      </c>
      <c r="AG9" s="190">
        <v>0</v>
      </c>
      <c r="AH9" s="203"/>
      <c r="AI9" s="195">
        <v>0</v>
      </c>
      <c r="AJ9" s="71"/>
    </row>
    <row r="10" spans="1:36" ht="38.4" customHeight="1" x14ac:dyDescent="0.2">
      <c r="A10" s="160"/>
      <c r="B10" s="159" t="s">
        <v>554</v>
      </c>
      <c r="C10" s="160"/>
      <c r="D10" s="161" t="s">
        <v>590</v>
      </c>
      <c r="E10" s="203"/>
      <c r="F10" s="162" t="s">
        <v>608</v>
      </c>
      <c r="G10" s="161"/>
      <c r="H10" s="162" t="s">
        <v>562</v>
      </c>
      <c r="I10" s="161"/>
      <c r="J10" s="186">
        <v>275</v>
      </c>
      <c r="K10" s="203"/>
      <c r="L10" s="161" t="s">
        <v>118</v>
      </c>
      <c r="M10" s="203"/>
      <c r="N10" s="161" t="s">
        <v>589</v>
      </c>
      <c r="O10" s="203"/>
      <c r="P10" s="203">
        <v>2011</v>
      </c>
      <c r="Q10" s="207" t="s">
        <v>801</v>
      </c>
      <c r="R10" s="203">
        <v>29</v>
      </c>
      <c r="S10" s="203"/>
      <c r="T10" s="179">
        <f>29*275</f>
        <v>7975</v>
      </c>
      <c r="U10" s="203"/>
      <c r="V10" s="190">
        <v>28</v>
      </c>
      <c r="W10" s="203"/>
      <c r="X10" s="195">
        <f>28*275</f>
        <v>7700</v>
      </c>
      <c r="Y10" s="203"/>
      <c r="Z10" s="304">
        <v>30</v>
      </c>
      <c r="AA10" s="203"/>
      <c r="AB10" s="179">
        <f>30*275</f>
        <v>8250</v>
      </c>
      <c r="AC10" s="203"/>
      <c r="AD10" s="190">
        <v>30</v>
      </c>
      <c r="AE10" s="203"/>
      <c r="AF10" s="195">
        <f>30*300</f>
        <v>9000</v>
      </c>
      <c r="AG10" s="190">
        <v>44</v>
      </c>
      <c r="AH10" s="203"/>
      <c r="AI10" s="195">
        <f>(34*275)+(10*300)</f>
        <v>12350</v>
      </c>
      <c r="AJ10" s="71"/>
    </row>
    <row r="11" spans="1:36" ht="38.4" customHeight="1" x14ac:dyDescent="0.2">
      <c r="A11" s="160"/>
      <c r="B11" s="159" t="s">
        <v>554</v>
      </c>
      <c r="C11" s="160"/>
      <c r="D11" s="161" t="s">
        <v>590</v>
      </c>
      <c r="E11" s="203"/>
      <c r="F11" s="162" t="s">
        <v>609</v>
      </c>
      <c r="G11" s="161"/>
      <c r="H11" s="162" t="s">
        <v>562</v>
      </c>
      <c r="I11" s="161"/>
      <c r="J11" s="186">
        <v>550</v>
      </c>
      <c r="K11" s="203"/>
      <c r="L11" s="161" t="s">
        <v>118</v>
      </c>
      <c r="M11" s="203"/>
      <c r="N11" s="161" t="s">
        <v>589</v>
      </c>
      <c r="O11" s="203"/>
      <c r="P11" s="203">
        <v>2011</v>
      </c>
      <c r="Q11" s="207" t="s">
        <v>801</v>
      </c>
      <c r="R11" s="203">
        <v>43</v>
      </c>
      <c r="S11" s="203"/>
      <c r="T11" s="179">
        <f>43*550</f>
        <v>23650</v>
      </c>
      <c r="U11" s="203"/>
      <c r="V11" s="190">
        <v>48</v>
      </c>
      <c r="W11" s="203"/>
      <c r="X11" s="195">
        <f>48*550</f>
        <v>26400</v>
      </c>
      <c r="Y11" s="203"/>
      <c r="Z11" s="304">
        <v>41</v>
      </c>
      <c r="AA11" s="203"/>
      <c r="AB11" s="179">
        <f>41*575</f>
        <v>23575</v>
      </c>
      <c r="AC11" s="203"/>
      <c r="AD11" s="190">
        <v>94</v>
      </c>
      <c r="AE11" s="203"/>
      <c r="AF11" s="195">
        <f>94*575</f>
        <v>54050</v>
      </c>
      <c r="AG11" s="190">
        <v>33</v>
      </c>
      <c r="AH11" s="203"/>
      <c r="AI11" s="195">
        <f>33*575</f>
        <v>18975</v>
      </c>
      <c r="AJ11" s="71"/>
    </row>
    <row r="12" spans="1:36" ht="38.4" customHeight="1" x14ac:dyDescent="0.2">
      <c r="A12" s="160"/>
      <c r="B12" s="159"/>
      <c r="C12" s="160"/>
      <c r="D12" s="161"/>
      <c r="E12" s="203"/>
      <c r="F12" s="162" t="s">
        <v>751</v>
      </c>
      <c r="G12" s="161"/>
      <c r="H12" s="162" t="s">
        <v>562</v>
      </c>
      <c r="I12" s="161"/>
      <c r="J12" s="186">
        <v>695</v>
      </c>
      <c r="K12" s="203"/>
      <c r="L12" s="161" t="s">
        <v>118</v>
      </c>
      <c r="M12" s="203"/>
      <c r="N12" s="161" t="s">
        <v>589</v>
      </c>
      <c r="O12" s="203"/>
      <c r="P12" s="203">
        <v>2013</v>
      </c>
      <c r="Q12" s="207" t="s">
        <v>801</v>
      </c>
      <c r="R12" s="203">
        <v>0</v>
      </c>
      <c r="S12" s="203"/>
      <c r="T12" s="179">
        <v>0</v>
      </c>
      <c r="U12" s="203"/>
      <c r="V12" s="190">
        <v>0</v>
      </c>
      <c r="W12" s="203"/>
      <c r="X12" s="195">
        <v>0</v>
      </c>
      <c r="Y12" s="203"/>
      <c r="Z12" s="304">
        <v>0</v>
      </c>
      <c r="AA12" s="203"/>
      <c r="AB12" s="179">
        <v>0</v>
      </c>
      <c r="AC12" s="203"/>
      <c r="AD12" s="190">
        <v>28</v>
      </c>
      <c r="AE12" s="203"/>
      <c r="AF12" s="195">
        <f>28*695</f>
        <v>19460</v>
      </c>
      <c r="AG12" s="190">
        <v>0</v>
      </c>
      <c r="AH12" s="203"/>
      <c r="AI12" s="195">
        <v>0</v>
      </c>
      <c r="AJ12" s="71"/>
    </row>
    <row r="13" spans="1:36" ht="38.4" customHeight="1" x14ac:dyDescent="0.2">
      <c r="A13" s="160"/>
      <c r="B13" s="159" t="s">
        <v>554</v>
      </c>
      <c r="C13" s="160"/>
      <c r="D13" s="161" t="s">
        <v>590</v>
      </c>
      <c r="E13" s="203"/>
      <c r="F13" s="162" t="s">
        <v>610</v>
      </c>
      <c r="G13" s="161"/>
      <c r="H13" s="162" t="s">
        <v>562</v>
      </c>
      <c r="I13" s="161"/>
      <c r="J13" s="187" t="s">
        <v>611</v>
      </c>
      <c r="K13" s="203"/>
      <c r="L13" s="161" t="s">
        <v>118</v>
      </c>
      <c r="M13" s="203"/>
      <c r="N13" s="161" t="s">
        <v>589</v>
      </c>
      <c r="O13" s="203"/>
      <c r="P13" s="203">
        <v>2011</v>
      </c>
      <c r="Q13" s="207" t="s">
        <v>801</v>
      </c>
      <c r="R13" s="203">
        <v>0</v>
      </c>
      <c r="S13" s="203"/>
      <c r="T13" s="179">
        <v>0</v>
      </c>
      <c r="U13" s="203"/>
      <c r="V13" s="190">
        <v>50</v>
      </c>
      <c r="W13" s="203"/>
      <c r="X13" s="195">
        <f>50*275</f>
        <v>13750</v>
      </c>
      <c r="Y13" s="203"/>
      <c r="Z13" s="304">
        <v>46</v>
      </c>
      <c r="AA13" s="203"/>
      <c r="AB13" s="179">
        <f>46*200</f>
        <v>9200</v>
      </c>
      <c r="AC13" s="203"/>
      <c r="AD13" s="190">
        <v>48</v>
      </c>
      <c r="AE13" s="203"/>
      <c r="AF13" s="195">
        <f>48*400</f>
        <v>19200</v>
      </c>
      <c r="AG13" s="190">
        <v>49</v>
      </c>
      <c r="AH13" s="203"/>
      <c r="AI13" s="195">
        <f>49*400</f>
        <v>19600</v>
      </c>
      <c r="AJ13" s="71"/>
    </row>
    <row r="14" spans="1:36" ht="38.4" customHeight="1" x14ac:dyDescent="0.2">
      <c r="A14" s="160"/>
      <c r="B14" s="159" t="s">
        <v>554</v>
      </c>
      <c r="C14" s="160"/>
      <c r="D14" s="161" t="s">
        <v>590</v>
      </c>
      <c r="E14" s="203"/>
      <c r="F14" s="162" t="s">
        <v>612</v>
      </c>
      <c r="G14" s="161"/>
      <c r="H14" s="162" t="s">
        <v>562</v>
      </c>
      <c r="I14" s="161"/>
      <c r="J14" s="187">
        <v>475</v>
      </c>
      <c r="K14" s="203"/>
      <c r="L14" s="161" t="s">
        <v>118</v>
      </c>
      <c r="M14" s="203"/>
      <c r="N14" s="161" t="s">
        <v>589</v>
      </c>
      <c r="O14" s="203"/>
      <c r="P14" s="203">
        <v>2011</v>
      </c>
      <c r="Q14" s="207" t="s">
        <v>801</v>
      </c>
      <c r="R14" s="203">
        <v>12</v>
      </c>
      <c r="S14" s="203"/>
      <c r="T14" s="179">
        <f>12*475</f>
        <v>5700</v>
      </c>
      <c r="U14" s="203"/>
      <c r="V14" s="190">
        <v>0</v>
      </c>
      <c r="W14" s="203"/>
      <c r="X14" s="195">
        <v>0</v>
      </c>
      <c r="Y14" s="203"/>
      <c r="Z14" s="304">
        <v>8</v>
      </c>
      <c r="AA14" s="203"/>
      <c r="AB14" s="179">
        <f>8*475</f>
        <v>3800</v>
      </c>
      <c r="AC14" s="203"/>
      <c r="AD14" s="190">
        <v>0</v>
      </c>
      <c r="AE14" s="203"/>
      <c r="AF14" s="195">
        <v>0</v>
      </c>
      <c r="AG14" s="190">
        <v>16</v>
      </c>
      <c r="AH14" s="203"/>
      <c r="AI14" s="195">
        <f>16*475</f>
        <v>7600</v>
      </c>
      <c r="AJ14" s="71"/>
    </row>
    <row r="15" spans="1:36" ht="38.4" customHeight="1" x14ac:dyDescent="0.2">
      <c r="A15" s="160"/>
      <c r="B15" s="159" t="s">
        <v>554</v>
      </c>
      <c r="C15" s="160"/>
      <c r="D15" s="161" t="s">
        <v>590</v>
      </c>
      <c r="E15" s="203"/>
      <c r="F15" s="162" t="s">
        <v>613</v>
      </c>
      <c r="G15" s="161"/>
      <c r="H15" s="162" t="s">
        <v>562</v>
      </c>
      <c r="I15" s="161"/>
      <c r="J15" s="187">
        <v>150</v>
      </c>
      <c r="K15" s="203"/>
      <c r="L15" s="161" t="s">
        <v>118</v>
      </c>
      <c r="M15" s="203"/>
      <c r="N15" s="161" t="s">
        <v>589</v>
      </c>
      <c r="O15" s="203"/>
      <c r="P15" s="203">
        <v>2011</v>
      </c>
      <c r="Q15" s="207" t="s">
        <v>801</v>
      </c>
      <c r="R15" s="203">
        <v>12</v>
      </c>
      <c r="S15" s="203"/>
      <c r="T15" s="179">
        <f>12*150</f>
        <v>1800</v>
      </c>
      <c r="U15" s="203"/>
      <c r="V15" s="190">
        <v>11</v>
      </c>
      <c r="W15" s="203"/>
      <c r="X15" s="195">
        <f>11*150</f>
        <v>1650</v>
      </c>
      <c r="Y15" s="203"/>
      <c r="Z15" s="304">
        <v>0</v>
      </c>
      <c r="AA15" s="203"/>
      <c r="AB15" s="179">
        <v>0</v>
      </c>
      <c r="AC15" s="203"/>
      <c r="AD15" s="190">
        <v>14</v>
      </c>
      <c r="AE15" s="203"/>
      <c r="AF15" s="195">
        <f>14*150</f>
        <v>2100</v>
      </c>
      <c r="AG15" s="190">
        <v>11</v>
      </c>
      <c r="AH15" s="203"/>
      <c r="AI15" s="195">
        <f>11*150</f>
        <v>1650</v>
      </c>
      <c r="AJ15" s="71"/>
    </row>
    <row r="16" spans="1:36" ht="38.4" customHeight="1" x14ac:dyDescent="0.2">
      <c r="A16" s="160"/>
      <c r="B16" s="159" t="s">
        <v>554</v>
      </c>
      <c r="C16" s="160"/>
      <c r="D16" s="161" t="s">
        <v>590</v>
      </c>
      <c r="E16" s="203"/>
      <c r="F16" s="162" t="s">
        <v>614</v>
      </c>
      <c r="G16" s="161"/>
      <c r="H16" s="162" t="s">
        <v>562</v>
      </c>
      <c r="I16" s="161"/>
      <c r="J16" s="187">
        <v>150</v>
      </c>
      <c r="K16" s="203"/>
      <c r="L16" s="161" t="s">
        <v>118</v>
      </c>
      <c r="M16" s="203"/>
      <c r="N16" s="161" t="s">
        <v>589</v>
      </c>
      <c r="O16" s="203"/>
      <c r="P16" s="203">
        <v>2011</v>
      </c>
      <c r="Q16" s="207" t="s">
        <v>801</v>
      </c>
      <c r="R16" s="203">
        <v>1</v>
      </c>
      <c r="S16" s="203"/>
      <c r="T16" s="179">
        <f>1*150</f>
        <v>150</v>
      </c>
      <c r="U16" s="203"/>
      <c r="V16" s="190">
        <v>0</v>
      </c>
      <c r="W16" s="203"/>
      <c r="X16" s="195">
        <v>0</v>
      </c>
      <c r="Y16" s="203"/>
      <c r="Z16" s="304">
        <v>0</v>
      </c>
      <c r="AA16" s="203"/>
      <c r="AB16" s="179">
        <v>0</v>
      </c>
      <c r="AC16" s="203"/>
      <c r="AD16" s="190">
        <v>0</v>
      </c>
      <c r="AE16" s="203"/>
      <c r="AF16" s="195">
        <v>0</v>
      </c>
      <c r="AG16" s="190">
        <v>0</v>
      </c>
      <c r="AH16" s="203"/>
      <c r="AI16" s="195">
        <v>0</v>
      </c>
      <c r="AJ16" s="71"/>
    </row>
    <row r="17" spans="1:36" ht="38.4" customHeight="1" x14ac:dyDescent="0.2">
      <c r="A17" s="160"/>
      <c r="B17" s="159" t="s">
        <v>554</v>
      </c>
      <c r="C17" s="160"/>
      <c r="D17" s="161" t="s">
        <v>590</v>
      </c>
      <c r="E17" s="203"/>
      <c r="F17" s="162" t="s">
        <v>615</v>
      </c>
      <c r="G17" s="161"/>
      <c r="H17" s="162" t="s">
        <v>562</v>
      </c>
      <c r="I17" s="161"/>
      <c r="J17" s="187">
        <v>475</v>
      </c>
      <c r="K17" s="203"/>
      <c r="L17" s="161" t="s">
        <v>118</v>
      </c>
      <c r="M17" s="203"/>
      <c r="N17" s="161" t="s">
        <v>589</v>
      </c>
      <c r="O17" s="203"/>
      <c r="P17" s="203">
        <v>2011</v>
      </c>
      <c r="Q17" s="207" t="s">
        <v>801</v>
      </c>
      <c r="R17" s="203">
        <v>15</v>
      </c>
      <c r="S17" s="203"/>
      <c r="T17" s="179">
        <f>15*475</f>
        <v>7125</v>
      </c>
      <c r="U17" s="203"/>
      <c r="V17" s="190">
        <v>26</v>
      </c>
      <c r="W17" s="203"/>
      <c r="X17" s="195">
        <f>26*475</f>
        <v>12350</v>
      </c>
      <c r="Y17" s="203"/>
      <c r="Z17" s="304">
        <v>29</v>
      </c>
      <c r="AA17" s="203"/>
      <c r="AB17" s="179">
        <f>29*475</f>
        <v>13775</v>
      </c>
      <c r="AC17" s="203"/>
      <c r="AD17" s="190">
        <v>13</v>
      </c>
      <c r="AE17" s="203"/>
      <c r="AF17" s="195">
        <f>13*475</f>
        <v>6175</v>
      </c>
      <c r="AG17" s="190">
        <v>20</v>
      </c>
      <c r="AH17" s="203"/>
      <c r="AI17" s="195">
        <f>20*475</f>
        <v>9500</v>
      </c>
      <c r="AJ17" s="71"/>
    </row>
    <row r="18" spans="1:36" ht="38.4" customHeight="1" x14ac:dyDescent="0.2">
      <c r="A18" s="160"/>
      <c r="B18" s="159" t="s">
        <v>554</v>
      </c>
      <c r="C18" s="160"/>
      <c r="D18" s="161" t="s">
        <v>590</v>
      </c>
      <c r="E18" s="203"/>
      <c r="F18" s="162" t="s">
        <v>616</v>
      </c>
      <c r="G18" s="161"/>
      <c r="H18" s="162" t="s">
        <v>562</v>
      </c>
      <c r="I18" s="161"/>
      <c r="J18" s="187" t="s">
        <v>617</v>
      </c>
      <c r="K18" s="203"/>
      <c r="L18" s="161" t="s">
        <v>118</v>
      </c>
      <c r="M18" s="203"/>
      <c r="N18" s="161" t="s">
        <v>589</v>
      </c>
      <c r="O18" s="203"/>
      <c r="P18" s="203">
        <v>2011</v>
      </c>
      <c r="Q18" s="207" t="s">
        <v>801</v>
      </c>
      <c r="R18" s="203">
        <v>0</v>
      </c>
      <c r="S18" s="203"/>
      <c r="T18" s="179">
        <v>0</v>
      </c>
      <c r="U18" s="203"/>
      <c r="V18" s="190">
        <v>0</v>
      </c>
      <c r="W18" s="203"/>
      <c r="X18" s="195">
        <v>0</v>
      </c>
      <c r="Y18" s="203"/>
      <c r="Z18" s="304">
        <v>0</v>
      </c>
      <c r="AA18" s="203"/>
      <c r="AB18" s="179" t="s">
        <v>750</v>
      </c>
      <c r="AC18" s="203"/>
      <c r="AD18" s="190">
        <v>0</v>
      </c>
      <c r="AE18" s="203"/>
      <c r="AF18" s="195">
        <v>0</v>
      </c>
      <c r="AG18" s="190">
        <v>0</v>
      </c>
      <c r="AH18" s="203"/>
      <c r="AI18" s="195">
        <v>0</v>
      </c>
      <c r="AJ18" s="71"/>
    </row>
    <row r="19" spans="1:36" ht="38.4" customHeight="1" x14ac:dyDescent="0.2">
      <c r="A19" s="160"/>
      <c r="B19" s="159" t="s">
        <v>554</v>
      </c>
      <c r="C19" s="160"/>
      <c r="D19" s="161" t="s">
        <v>590</v>
      </c>
      <c r="E19" s="203"/>
      <c r="F19" s="162" t="s">
        <v>618</v>
      </c>
      <c r="G19" s="161"/>
      <c r="H19" s="162" t="s">
        <v>562</v>
      </c>
      <c r="I19" s="161"/>
      <c r="J19" s="187" t="s">
        <v>617</v>
      </c>
      <c r="K19" s="203"/>
      <c r="L19" s="161" t="s">
        <v>118</v>
      </c>
      <c r="M19" s="203"/>
      <c r="N19" s="161" t="s">
        <v>589</v>
      </c>
      <c r="O19" s="203"/>
      <c r="P19" s="203">
        <v>2011</v>
      </c>
      <c r="Q19" s="207" t="s">
        <v>801</v>
      </c>
      <c r="R19" s="203">
        <v>0</v>
      </c>
      <c r="S19" s="203"/>
      <c r="T19" s="179">
        <v>0</v>
      </c>
      <c r="U19" s="203"/>
      <c r="V19" s="190">
        <v>0</v>
      </c>
      <c r="W19" s="203"/>
      <c r="X19" s="195">
        <v>0</v>
      </c>
      <c r="Y19" s="203"/>
      <c r="Z19" s="304">
        <v>0</v>
      </c>
      <c r="AA19" s="203"/>
      <c r="AB19" s="179" t="s">
        <v>750</v>
      </c>
      <c r="AC19" s="203"/>
      <c r="AD19" s="190">
        <v>0</v>
      </c>
      <c r="AE19" s="203"/>
      <c r="AF19" s="195">
        <v>0</v>
      </c>
      <c r="AG19" s="190">
        <v>0</v>
      </c>
      <c r="AH19" s="203"/>
      <c r="AI19" s="195">
        <v>0</v>
      </c>
      <c r="AJ19" s="71"/>
    </row>
    <row r="20" spans="1:36" ht="38.4" customHeight="1" x14ac:dyDescent="0.2">
      <c r="A20" s="160"/>
      <c r="B20" s="159" t="s">
        <v>554</v>
      </c>
      <c r="C20" s="160"/>
      <c r="D20" s="161" t="s">
        <v>590</v>
      </c>
      <c r="E20" s="203"/>
      <c r="F20" s="162" t="s">
        <v>752</v>
      </c>
      <c r="G20" s="161"/>
      <c r="H20" s="162" t="s">
        <v>562</v>
      </c>
      <c r="I20" s="161"/>
      <c r="J20" s="187" t="s">
        <v>619</v>
      </c>
      <c r="K20" s="203"/>
      <c r="L20" s="161" t="s">
        <v>118</v>
      </c>
      <c r="M20" s="203"/>
      <c r="N20" s="161" t="s">
        <v>589</v>
      </c>
      <c r="O20" s="203"/>
      <c r="P20" s="203">
        <v>2011</v>
      </c>
      <c r="Q20" s="207" t="s">
        <v>801</v>
      </c>
      <c r="R20" s="203">
        <v>1</v>
      </c>
      <c r="S20" s="203"/>
      <c r="T20" s="179">
        <f>1*275</f>
        <v>275</v>
      </c>
      <c r="U20" s="203"/>
      <c r="V20" s="190">
        <v>6</v>
      </c>
      <c r="W20" s="203"/>
      <c r="X20" s="195">
        <f>6*15</f>
        <v>90</v>
      </c>
      <c r="Y20" s="203"/>
      <c r="Z20" s="304">
        <v>5</v>
      </c>
      <c r="AA20" s="203"/>
      <c r="AB20" s="179">
        <f>5*15</f>
        <v>75</v>
      </c>
      <c r="AC20" s="203"/>
      <c r="AD20" s="190">
        <v>19</v>
      </c>
      <c r="AE20" s="203"/>
      <c r="AF20" s="195">
        <f>19*15</f>
        <v>285</v>
      </c>
      <c r="AG20" s="190">
        <v>7</v>
      </c>
      <c r="AH20" s="203"/>
      <c r="AI20" s="195">
        <f>7*15</f>
        <v>105</v>
      </c>
      <c r="AJ20" s="71"/>
    </row>
    <row r="21" spans="1:36" ht="38.4" customHeight="1" x14ac:dyDescent="0.2">
      <c r="A21" s="160"/>
      <c r="B21" s="159" t="s">
        <v>554</v>
      </c>
      <c r="C21" s="160"/>
      <c r="D21" s="161" t="s">
        <v>590</v>
      </c>
      <c r="E21" s="203"/>
      <c r="F21" s="162" t="s">
        <v>753</v>
      </c>
      <c r="G21" s="161"/>
      <c r="H21" s="162" t="s">
        <v>562</v>
      </c>
      <c r="I21" s="161"/>
      <c r="J21" s="187">
        <v>100</v>
      </c>
      <c r="K21" s="203"/>
      <c r="L21" s="161" t="s">
        <v>118</v>
      </c>
      <c r="M21" s="203"/>
      <c r="N21" s="161" t="s">
        <v>589</v>
      </c>
      <c r="O21" s="203"/>
      <c r="P21" s="203">
        <v>2011</v>
      </c>
      <c r="Q21" s="207" t="s">
        <v>801</v>
      </c>
      <c r="R21" s="203">
        <v>12</v>
      </c>
      <c r="S21" s="203"/>
      <c r="T21" s="179">
        <f>12*100</f>
        <v>1200</v>
      </c>
      <c r="U21" s="203"/>
      <c r="V21" s="190">
        <v>7</v>
      </c>
      <c r="W21" s="203"/>
      <c r="X21" s="195">
        <f>7*100</f>
        <v>700</v>
      </c>
      <c r="Y21" s="203"/>
      <c r="Z21" s="305">
        <v>11</v>
      </c>
      <c r="AA21" s="203"/>
      <c r="AB21" s="179">
        <f>11*15</f>
        <v>165</v>
      </c>
      <c r="AC21" s="203"/>
      <c r="AD21" s="190">
        <v>8</v>
      </c>
      <c r="AE21" s="203"/>
      <c r="AF21" s="195">
        <f>8*15</f>
        <v>120</v>
      </c>
      <c r="AG21" s="190">
        <v>0</v>
      </c>
      <c r="AH21" s="203"/>
      <c r="AI21" s="195">
        <v>0</v>
      </c>
      <c r="AJ21" s="71"/>
    </row>
    <row r="22" spans="1:36" ht="38.4" customHeight="1" x14ac:dyDescent="0.2">
      <c r="A22" s="160"/>
      <c r="B22" s="159" t="s">
        <v>554</v>
      </c>
      <c r="C22" s="160"/>
      <c r="D22" s="161" t="s">
        <v>590</v>
      </c>
      <c r="E22" s="203"/>
      <c r="F22" s="162" t="s">
        <v>620</v>
      </c>
      <c r="G22" s="161"/>
      <c r="H22" s="162" t="s">
        <v>562</v>
      </c>
      <c r="I22" s="161"/>
      <c r="J22" s="187">
        <v>95</v>
      </c>
      <c r="K22" s="203"/>
      <c r="L22" s="161" t="s">
        <v>118</v>
      </c>
      <c r="M22" s="203"/>
      <c r="N22" s="161" t="s">
        <v>589</v>
      </c>
      <c r="O22" s="203"/>
      <c r="P22" s="203">
        <v>2011</v>
      </c>
      <c r="Q22" s="207" t="s">
        <v>801</v>
      </c>
      <c r="R22" s="203">
        <v>59</v>
      </c>
      <c r="S22" s="203"/>
      <c r="T22" s="179">
        <f>59*95</f>
        <v>5605</v>
      </c>
      <c r="U22" s="203"/>
      <c r="V22" s="190">
        <v>0</v>
      </c>
      <c r="W22" s="203"/>
      <c r="X22" s="195">
        <v>0</v>
      </c>
      <c r="Y22" s="203"/>
      <c r="Z22" s="305">
        <v>53</v>
      </c>
      <c r="AA22" s="203"/>
      <c r="AB22" s="179">
        <f>53*95</f>
        <v>5035</v>
      </c>
      <c r="AC22" s="203"/>
      <c r="AD22" s="190">
        <v>49</v>
      </c>
      <c r="AE22" s="203"/>
      <c r="AF22" s="195">
        <f>49*125</f>
        <v>6125</v>
      </c>
      <c r="AG22" s="190">
        <v>29</v>
      </c>
      <c r="AH22" s="203"/>
      <c r="AI22" s="195">
        <f>29*125</f>
        <v>3625</v>
      </c>
      <c r="AJ22" s="71"/>
    </row>
    <row r="23" spans="1:36" ht="38.4" customHeight="1" x14ac:dyDescent="0.2">
      <c r="A23" s="160"/>
      <c r="B23" s="159" t="s">
        <v>554</v>
      </c>
      <c r="C23" s="160"/>
      <c r="D23" s="161" t="s">
        <v>590</v>
      </c>
      <c r="E23" s="203"/>
      <c r="F23" s="162" t="s">
        <v>621</v>
      </c>
      <c r="G23" s="161"/>
      <c r="H23" s="162" t="s">
        <v>562</v>
      </c>
      <c r="I23" s="161"/>
      <c r="J23" s="187">
        <v>90</v>
      </c>
      <c r="K23" s="203"/>
      <c r="L23" s="161" t="s">
        <v>118</v>
      </c>
      <c r="M23" s="203"/>
      <c r="N23" s="161" t="s">
        <v>589</v>
      </c>
      <c r="O23" s="203"/>
      <c r="P23" s="203">
        <v>2011</v>
      </c>
      <c r="Q23" s="207" t="s">
        <v>801</v>
      </c>
      <c r="R23" s="203">
        <v>13</v>
      </c>
      <c r="S23" s="203"/>
      <c r="T23" s="179">
        <f>13*90</f>
        <v>1170</v>
      </c>
      <c r="U23" s="203"/>
      <c r="V23" s="190">
        <v>0</v>
      </c>
      <c r="W23" s="203"/>
      <c r="X23" s="195">
        <v>0</v>
      </c>
      <c r="Y23" s="203"/>
      <c r="Z23" s="305">
        <v>0</v>
      </c>
      <c r="AA23" s="203"/>
      <c r="AB23" s="179">
        <v>0</v>
      </c>
      <c r="AC23" s="203"/>
      <c r="AD23" s="190">
        <v>0</v>
      </c>
      <c r="AE23" s="203"/>
      <c r="AF23" s="195">
        <v>0</v>
      </c>
      <c r="AG23" s="190">
        <v>0</v>
      </c>
      <c r="AH23" s="203"/>
      <c r="AI23" s="195">
        <v>0</v>
      </c>
      <c r="AJ23" s="71"/>
    </row>
    <row r="24" spans="1:36" ht="38.4" customHeight="1" x14ac:dyDescent="0.2">
      <c r="A24" s="160"/>
      <c r="B24" s="159" t="s">
        <v>554</v>
      </c>
      <c r="C24" s="160"/>
      <c r="D24" s="161" t="s">
        <v>590</v>
      </c>
      <c r="E24" s="203"/>
      <c r="F24" s="162" t="s">
        <v>622</v>
      </c>
      <c r="G24" s="161"/>
      <c r="H24" s="162" t="s">
        <v>562</v>
      </c>
      <c r="I24" s="161"/>
      <c r="J24" s="187">
        <v>80</v>
      </c>
      <c r="K24" s="203"/>
      <c r="L24" s="161" t="s">
        <v>118</v>
      </c>
      <c r="M24" s="203"/>
      <c r="N24" s="161" t="s">
        <v>589</v>
      </c>
      <c r="O24" s="203"/>
      <c r="P24" s="203">
        <v>2011</v>
      </c>
      <c r="Q24" s="207" t="s">
        <v>801</v>
      </c>
      <c r="R24" s="203">
        <v>19</v>
      </c>
      <c r="S24" s="203"/>
      <c r="T24" s="179">
        <f>19*80</f>
        <v>1520</v>
      </c>
      <c r="U24" s="203"/>
      <c r="V24" s="190">
        <v>0</v>
      </c>
      <c r="W24" s="203"/>
      <c r="X24" s="195">
        <v>0</v>
      </c>
      <c r="Y24" s="203"/>
      <c r="Z24" s="305">
        <v>0</v>
      </c>
      <c r="AA24" s="203"/>
      <c r="AB24" s="179">
        <v>0</v>
      </c>
      <c r="AC24" s="203"/>
      <c r="AD24" s="190">
        <v>13</v>
      </c>
      <c r="AE24" s="203"/>
      <c r="AF24" s="195">
        <f>13*85</f>
        <v>1105</v>
      </c>
      <c r="AG24" s="190">
        <v>0</v>
      </c>
      <c r="AH24" s="203"/>
      <c r="AI24" s="195">
        <v>0</v>
      </c>
      <c r="AJ24" s="71"/>
    </row>
    <row r="25" spans="1:36" ht="38.4" customHeight="1" x14ac:dyDescent="0.2">
      <c r="A25" s="160"/>
      <c r="B25" s="159" t="s">
        <v>554</v>
      </c>
      <c r="C25" s="160"/>
      <c r="D25" s="161" t="s">
        <v>590</v>
      </c>
      <c r="E25" s="203"/>
      <c r="F25" s="162" t="s">
        <v>623</v>
      </c>
      <c r="G25" s="161"/>
      <c r="H25" s="162" t="s">
        <v>562</v>
      </c>
      <c r="I25" s="161"/>
      <c r="J25" s="187">
        <v>160</v>
      </c>
      <c r="K25" s="203"/>
      <c r="L25" s="161" t="s">
        <v>118</v>
      </c>
      <c r="M25" s="203"/>
      <c r="N25" s="161" t="s">
        <v>589</v>
      </c>
      <c r="O25" s="203"/>
      <c r="P25" s="203">
        <v>2011</v>
      </c>
      <c r="Q25" s="207" t="s">
        <v>801</v>
      </c>
      <c r="R25" s="203">
        <v>24</v>
      </c>
      <c r="S25" s="203"/>
      <c r="T25" s="179">
        <f>24*160</f>
        <v>3840</v>
      </c>
      <c r="U25" s="203"/>
      <c r="V25" s="190">
        <v>0</v>
      </c>
      <c r="W25" s="203"/>
      <c r="X25" s="195">
        <v>0</v>
      </c>
      <c r="Y25" s="203"/>
      <c r="Z25" s="311">
        <v>20</v>
      </c>
      <c r="AA25" s="203"/>
      <c r="AB25" s="179">
        <f>20*160</f>
        <v>3200</v>
      </c>
      <c r="AC25" s="203"/>
      <c r="AD25" s="190">
        <v>8</v>
      </c>
      <c r="AE25" s="203"/>
      <c r="AF25" s="195">
        <f>8*125</f>
        <v>1000</v>
      </c>
      <c r="AG25" s="190">
        <v>18</v>
      </c>
      <c r="AH25" s="203"/>
      <c r="AI25" s="195">
        <f>18*125</f>
        <v>2250</v>
      </c>
      <c r="AJ25" s="71"/>
    </row>
    <row r="26" spans="1:36" ht="38.4" customHeight="1" x14ac:dyDescent="0.2">
      <c r="A26" s="160"/>
      <c r="B26" s="159" t="s">
        <v>554</v>
      </c>
      <c r="C26" s="160"/>
      <c r="D26" s="161" t="s">
        <v>590</v>
      </c>
      <c r="E26" s="203"/>
      <c r="F26" s="162" t="s">
        <v>625</v>
      </c>
      <c r="G26" s="161"/>
      <c r="H26" s="162" t="s">
        <v>562</v>
      </c>
      <c r="I26" s="161"/>
      <c r="J26" s="187">
        <v>95</v>
      </c>
      <c r="K26" s="203"/>
      <c r="L26" s="161" t="s">
        <v>118</v>
      </c>
      <c r="M26" s="203"/>
      <c r="N26" s="161" t="s">
        <v>589</v>
      </c>
      <c r="O26" s="203"/>
      <c r="P26" s="203">
        <v>2011</v>
      </c>
      <c r="Q26" s="207" t="s">
        <v>801</v>
      </c>
      <c r="R26" s="203">
        <v>0</v>
      </c>
      <c r="S26" s="203"/>
      <c r="T26" s="179">
        <v>0</v>
      </c>
      <c r="U26" s="203"/>
      <c r="V26" s="190">
        <v>8</v>
      </c>
      <c r="W26" s="203"/>
      <c r="X26" s="195">
        <f>8*95</f>
        <v>760</v>
      </c>
      <c r="Y26" s="203"/>
      <c r="Z26" s="305">
        <v>8</v>
      </c>
      <c r="AA26" s="203"/>
      <c r="AB26" s="179">
        <f>8*130</f>
        <v>1040</v>
      </c>
      <c r="AC26" s="203"/>
      <c r="AD26" s="190">
        <v>0</v>
      </c>
      <c r="AE26" s="203"/>
      <c r="AF26" s="195">
        <v>0</v>
      </c>
      <c r="AG26" s="190">
        <v>0</v>
      </c>
      <c r="AH26" s="203"/>
      <c r="AI26" s="195">
        <v>0</v>
      </c>
      <c r="AJ26" s="71"/>
    </row>
    <row r="27" spans="1:36" ht="41.4" customHeight="1" x14ac:dyDescent="0.2">
      <c r="A27" s="160"/>
      <c r="B27" s="159" t="s">
        <v>554</v>
      </c>
      <c r="C27" s="160"/>
      <c r="D27" s="161" t="s">
        <v>590</v>
      </c>
      <c r="E27" s="203"/>
      <c r="F27" s="162" t="s">
        <v>624</v>
      </c>
      <c r="G27" s="161"/>
      <c r="H27" s="162" t="s">
        <v>562</v>
      </c>
      <c r="I27" s="161"/>
      <c r="J27" s="187">
        <v>125</v>
      </c>
      <c r="K27" s="203"/>
      <c r="L27" s="161" t="s">
        <v>118</v>
      </c>
      <c r="M27" s="203"/>
      <c r="N27" s="161" t="s">
        <v>589</v>
      </c>
      <c r="O27" s="203"/>
      <c r="P27" s="203">
        <v>2011</v>
      </c>
      <c r="Q27" s="207" t="s">
        <v>801</v>
      </c>
      <c r="R27" s="203">
        <v>13</v>
      </c>
      <c r="S27" s="203"/>
      <c r="T27" s="179">
        <f>13*125</f>
        <v>1625</v>
      </c>
      <c r="U27" s="203"/>
      <c r="V27" s="190">
        <v>0</v>
      </c>
      <c r="W27" s="203"/>
      <c r="X27" s="195">
        <v>0</v>
      </c>
      <c r="Y27" s="203"/>
      <c r="Z27" s="305">
        <v>0</v>
      </c>
      <c r="AA27" s="203"/>
      <c r="AB27" s="179">
        <v>0</v>
      </c>
      <c r="AC27" s="203"/>
      <c r="AD27" s="190">
        <v>0</v>
      </c>
      <c r="AE27" s="203"/>
      <c r="AF27" s="195">
        <v>0</v>
      </c>
      <c r="AG27" s="190">
        <v>0</v>
      </c>
      <c r="AH27" s="203"/>
      <c r="AI27" s="195">
        <v>0</v>
      </c>
      <c r="AJ27" s="71"/>
    </row>
    <row r="28" spans="1:36" ht="49.95" customHeight="1" x14ac:dyDescent="0.2">
      <c r="A28" s="160"/>
      <c r="B28" s="159" t="s">
        <v>554</v>
      </c>
      <c r="C28" s="160"/>
      <c r="D28" s="161" t="s">
        <v>590</v>
      </c>
      <c r="E28" s="203"/>
      <c r="F28" s="162" t="s">
        <v>559</v>
      </c>
      <c r="G28" s="161"/>
      <c r="H28" s="162" t="s">
        <v>562</v>
      </c>
      <c r="I28" s="161"/>
      <c r="J28" s="186">
        <v>125</v>
      </c>
      <c r="K28" s="203"/>
      <c r="L28" s="161" t="s">
        <v>118</v>
      </c>
      <c r="M28" s="203"/>
      <c r="N28" s="161" t="s">
        <v>589</v>
      </c>
      <c r="O28" s="203"/>
      <c r="P28" s="203">
        <v>2011</v>
      </c>
      <c r="Q28" s="207" t="s">
        <v>801</v>
      </c>
      <c r="R28" s="203">
        <v>71</v>
      </c>
      <c r="S28" s="203"/>
      <c r="T28" s="179">
        <f>71*125</f>
        <v>8875</v>
      </c>
      <c r="U28" s="203"/>
      <c r="V28" s="190">
        <v>50</v>
      </c>
      <c r="W28" s="203"/>
      <c r="X28" s="195">
        <f>50*125</f>
        <v>6250</v>
      </c>
      <c r="Y28" s="203"/>
      <c r="Z28" s="305">
        <v>84</v>
      </c>
      <c r="AA28" s="203"/>
      <c r="AB28" s="179">
        <f>84*125</f>
        <v>10500</v>
      </c>
      <c r="AC28" s="203"/>
      <c r="AD28" s="190">
        <v>87</v>
      </c>
      <c r="AE28" s="203"/>
      <c r="AF28" s="195">
        <f>87*125</f>
        <v>10875</v>
      </c>
      <c r="AG28" s="190">
        <v>58</v>
      </c>
      <c r="AH28" s="203"/>
      <c r="AI28" s="195">
        <f>58*125</f>
        <v>7250</v>
      </c>
      <c r="AJ28" s="71"/>
    </row>
    <row r="29" spans="1:36" ht="49.95" customHeight="1" x14ac:dyDescent="0.2">
      <c r="A29" s="160"/>
      <c r="B29" s="159" t="s">
        <v>554</v>
      </c>
      <c r="C29" s="160"/>
      <c r="D29" s="161" t="s">
        <v>590</v>
      </c>
      <c r="E29" s="203"/>
      <c r="F29" s="162" t="s">
        <v>560</v>
      </c>
      <c r="G29" s="161"/>
      <c r="H29" s="162" t="s">
        <v>562</v>
      </c>
      <c r="I29" s="161"/>
      <c r="J29" s="186">
        <v>225</v>
      </c>
      <c r="K29" s="203"/>
      <c r="L29" s="161" t="s">
        <v>118</v>
      </c>
      <c r="M29" s="203"/>
      <c r="N29" s="161" t="s">
        <v>589</v>
      </c>
      <c r="O29" s="203"/>
      <c r="P29" s="203">
        <v>2011</v>
      </c>
      <c r="Q29" s="207" t="s">
        <v>801</v>
      </c>
      <c r="R29" s="203">
        <v>45</v>
      </c>
      <c r="S29" s="203"/>
      <c r="T29" s="179">
        <f>45*225</f>
        <v>10125</v>
      </c>
      <c r="U29" s="203"/>
      <c r="V29" s="190">
        <v>260</v>
      </c>
      <c r="W29" s="203"/>
      <c r="X29" s="195">
        <f>260*225</f>
        <v>58500</v>
      </c>
      <c r="Y29" s="203"/>
      <c r="Z29" s="305">
        <v>211</v>
      </c>
      <c r="AA29" s="203"/>
      <c r="AB29" s="179">
        <f>211*200</f>
        <v>42200</v>
      </c>
      <c r="AC29" s="203"/>
      <c r="AD29" s="190">
        <v>130</v>
      </c>
      <c r="AE29" s="203"/>
      <c r="AF29" s="195">
        <f>130*150</f>
        <v>19500</v>
      </c>
      <c r="AG29" s="190">
        <v>206</v>
      </c>
      <c r="AH29" s="203"/>
      <c r="AI29" s="195">
        <f>206*150</f>
        <v>30900</v>
      </c>
      <c r="AJ29" s="71"/>
    </row>
    <row r="30" spans="1:36" ht="49.95" customHeight="1" x14ac:dyDescent="0.2">
      <c r="A30" s="160"/>
      <c r="B30" s="159" t="s">
        <v>554</v>
      </c>
      <c r="C30" s="160"/>
      <c r="D30" s="161" t="s">
        <v>590</v>
      </c>
      <c r="E30" s="203"/>
      <c r="F30" s="162" t="s">
        <v>561</v>
      </c>
      <c r="G30" s="161"/>
      <c r="H30" s="162" t="s">
        <v>562</v>
      </c>
      <c r="I30" s="161"/>
      <c r="J30" s="186">
        <v>240</v>
      </c>
      <c r="K30" s="203"/>
      <c r="L30" s="161" t="s">
        <v>118</v>
      </c>
      <c r="M30" s="203"/>
      <c r="N30" s="161" t="s">
        <v>589</v>
      </c>
      <c r="O30" s="203"/>
      <c r="P30" s="203">
        <v>2011</v>
      </c>
      <c r="Q30" s="207" t="s">
        <v>801</v>
      </c>
      <c r="R30" s="203">
        <v>40</v>
      </c>
      <c r="S30" s="203"/>
      <c r="T30" s="179">
        <f>40*240</f>
        <v>9600</v>
      </c>
      <c r="U30" s="203"/>
      <c r="V30" s="190">
        <v>102</v>
      </c>
      <c r="W30" s="203"/>
      <c r="X30" s="195">
        <f>102*240</f>
        <v>24480</v>
      </c>
      <c r="Y30" s="203"/>
      <c r="Z30" s="305">
        <v>67</v>
      </c>
      <c r="AA30" s="203"/>
      <c r="AB30" s="179">
        <f>67*200</f>
        <v>13400</v>
      </c>
      <c r="AC30" s="203"/>
      <c r="AD30" s="190">
        <v>82</v>
      </c>
      <c r="AE30" s="203"/>
      <c r="AF30" s="195">
        <f>82*175</f>
        <v>14350</v>
      </c>
      <c r="AG30" s="190">
        <v>90</v>
      </c>
      <c r="AH30" s="203"/>
      <c r="AI30" s="195">
        <f>90*175</f>
        <v>15750</v>
      </c>
      <c r="AJ30" s="71"/>
    </row>
    <row r="31" spans="1:36" ht="49.95" customHeight="1" x14ac:dyDescent="0.2">
      <c r="A31" s="160"/>
      <c r="B31" s="159" t="s">
        <v>554</v>
      </c>
      <c r="C31" s="160"/>
      <c r="D31" s="161" t="s">
        <v>590</v>
      </c>
      <c r="E31" s="203"/>
      <c r="F31" s="162" t="s">
        <v>626</v>
      </c>
      <c r="G31" s="161"/>
      <c r="H31" s="162" t="s">
        <v>562</v>
      </c>
      <c r="I31" s="161"/>
      <c r="J31" s="186">
        <v>90</v>
      </c>
      <c r="K31" s="203"/>
      <c r="L31" s="161" t="s">
        <v>118</v>
      </c>
      <c r="M31" s="203"/>
      <c r="N31" s="161" t="s">
        <v>589</v>
      </c>
      <c r="O31" s="203"/>
      <c r="P31" s="203">
        <v>2011</v>
      </c>
      <c r="Q31" s="207" t="s">
        <v>801</v>
      </c>
      <c r="R31" s="203">
        <v>6</v>
      </c>
      <c r="S31" s="203"/>
      <c r="T31" s="179">
        <f>6*90</f>
        <v>540</v>
      </c>
      <c r="U31" s="203"/>
      <c r="V31" s="190">
        <v>0</v>
      </c>
      <c r="W31" s="203"/>
      <c r="X31" s="195">
        <v>0</v>
      </c>
      <c r="Y31" s="203"/>
      <c r="Z31" s="305">
        <v>11</v>
      </c>
      <c r="AA31" s="203"/>
      <c r="AB31" s="179">
        <f>11*90</f>
        <v>990</v>
      </c>
      <c r="AC31" s="203"/>
      <c r="AD31" s="190">
        <v>0</v>
      </c>
      <c r="AE31" s="203"/>
      <c r="AF31" s="195">
        <v>0</v>
      </c>
      <c r="AG31" s="190">
        <v>17</v>
      </c>
      <c r="AH31" s="203"/>
      <c r="AI31" s="195">
        <f>17*125</f>
        <v>2125</v>
      </c>
      <c r="AJ31" s="71"/>
    </row>
    <row r="32" spans="1:36" ht="49.95" customHeight="1" x14ac:dyDescent="0.2">
      <c r="A32" s="160"/>
      <c r="B32" s="159" t="s">
        <v>554</v>
      </c>
      <c r="C32" s="160"/>
      <c r="D32" s="161" t="s">
        <v>590</v>
      </c>
      <c r="E32" s="203"/>
      <c r="F32" s="162" t="s">
        <v>627</v>
      </c>
      <c r="G32" s="161"/>
      <c r="H32" s="162" t="s">
        <v>562</v>
      </c>
      <c r="I32" s="161"/>
      <c r="J32" s="186">
        <v>100</v>
      </c>
      <c r="K32" s="203"/>
      <c r="L32" s="161" t="s">
        <v>118</v>
      </c>
      <c r="M32" s="203"/>
      <c r="N32" s="161" t="s">
        <v>589</v>
      </c>
      <c r="O32" s="203"/>
      <c r="P32" s="203">
        <v>2011</v>
      </c>
      <c r="Q32" s="207" t="s">
        <v>801</v>
      </c>
      <c r="R32" s="203">
        <v>20</v>
      </c>
      <c r="S32" s="203"/>
      <c r="T32" s="179">
        <f>20*100</f>
        <v>2000</v>
      </c>
      <c r="U32" s="203"/>
      <c r="V32" s="190">
        <v>15</v>
      </c>
      <c r="W32" s="203"/>
      <c r="X32" s="195">
        <f>15*100</f>
        <v>1500</v>
      </c>
      <c r="Y32" s="203"/>
      <c r="Z32" s="305">
        <v>17</v>
      </c>
      <c r="AA32" s="203"/>
      <c r="AB32" s="179">
        <f>17*100</f>
        <v>1700</v>
      </c>
      <c r="AC32" s="203"/>
      <c r="AD32" s="190">
        <v>28</v>
      </c>
      <c r="AE32" s="203"/>
      <c r="AF32" s="195">
        <f>28*100</f>
        <v>2800</v>
      </c>
      <c r="AG32" s="190">
        <v>24</v>
      </c>
      <c r="AH32" s="203"/>
      <c r="AI32" s="195">
        <f>24*100</f>
        <v>2400</v>
      </c>
      <c r="AJ32" s="71"/>
    </row>
    <row r="33" spans="1:36" ht="49.95" customHeight="1" x14ac:dyDescent="0.2">
      <c r="A33" s="160"/>
      <c r="B33" s="159" t="s">
        <v>554</v>
      </c>
      <c r="C33" s="160"/>
      <c r="D33" s="161" t="s">
        <v>590</v>
      </c>
      <c r="E33" s="203"/>
      <c r="F33" s="162" t="s">
        <v>628</v>
      </c>
      <c r="G33" s="161"/>
      <c r="H33" s="162" t="s">
        <v>562</v>
      </c>
      <c r="I33" s="161"/>
      <c r="J33" s="186">
        <v>130</v>
      </c>
      <c r="K33" s="203"/>
      <c r="L33" s="161" t="s">
        <v>118</v>
      </c>
      <c r="M33" s="203"/>
      <c r="N33" s="161" t="s">
        <v>589</v>
      </c>
      <c r="O33" s="203"/>
      <c r="P33" s="203">
        <v>2011</v>
      </c>
      <c r="Q33" s="207" t="s">
        <v>801</v>
      </c>
      <c r="R33" s="203">
        <v>7</v>
      </c>
      <c r="S33" s="203"/>
      <c r="T33" s="179">
        <f>7*130</f>
        <v>910</v>
      </c>
      <c r="U33" s="203"/>
      <c r="V33" s="190">
        <v>0</v>
      </c>
      <c r="W33" s="203"/>
      <c r="X33" s="195">
        <v>0</v>
      </c>
      <c r="Y33" s="203"/>
      <c r="Z33" s="305">
        <v>0</v>
      </c>
      <c r="AA33" s="203"/>
      <c r="AB33" s="179">
        <v>0</v>
      </c>
      <c r="AC33" s="203"/>
      <c r="AD33" s="190">
        <v>0</v>
      </c>
      <c r="AE33" s="203"/>
      <c r="AF33" s="195">
        <v>0</v>
      </c>
      <c r="AG33" s="190">
        <v>0</v>
      </c>
      <c r="AH33" s="203"/>
      <c r="AI33" s="195">
        <v>0</v>
      </c>
      <c r="AJ33" s="71"/>
    </row>
    <row r="34" spans="1:36" ht="49.95" customHeight="1" x14ac:dyDescent="0.2">
      <c r="A34" s="160"/>
      <c r="B34" s="159" t="s">
        <v>554</v>
      </c>
      <c r="C34" s="160"/>
      <c r="D34" s="161" t="s">
        <v>590</v>
      </c>
      <c r="E34" s="203"/>
      <c r="F34" s="162" t="s">
        <v>563</v>
      </c>
      <c r="G34" s="161"/>
      <c r="H34" s="162" t="s">
        <v>562</v>
      </c>
      <c r="I34" s="161"/>
      <c r="J34" s="186">
        <v>150</v>
      </c>
      <c r="K34" s="203"/>
      <c r="L34" s="161" t="s">
        <v>118</v>
      </c>
      <c r="M34" s="203"/>
      <c r="N34" s="161" t="s">
        <v>589</v>
      </c>
      <c r="O34" s="203"/>
      <c r="P34" s="203">
        <v>2011</v>
      </c>
      <c r="Q34" s="207" t="s">
        <v>801</v>
      </c>
      <c r="R34" s="203">
        <v>38</v>
      </c>
      <c r="S34" s="203"/>
      <c r="T34" s="179">
        <f>38*150</f>
        <v>5700</v>
      </c>
      <c r="U34" s="203"/>
      <c r="V34" s="190">
        <v>42</v>
      </c>
      <c r="W34" s="203"/>
      <c r="X34" s="195">
        <f>42*150</f>
        <v>6300</v>
      </c>
      <c r="Y34" s="203"/>
      <c r="Z34" s="305">
        <v>31</v>
      </c>
      <c r="AA34" s="203"/>
      <c r="AB34" s="179">
        <f>31*150</f>
        <v>4650</v>
      </c>
      <c r="AC34" s="203"/>
      <c r="AD34" s="190">
        <v>37</v>
      </c>
      <c r="AE34" s="203"/>
      <c r="AF34" s="195">
        <f>37*125</f>
        <v>4625</v>
      </c>
      <c r="AG34" s="190">
        <v>54</v>
      </c>
      <c r="AH34" s="203"/>
      <c r="AI34" s="195">
        <f>54*125</f>
        <v>6750</v>
      </c>
      <c r="AJ34" s="71"/>
    </row>
    <row r="35" spans="1:36" ht="49.95" customHeight="1" x14ac:dyDescent="0.2">
      <c r="A35" s="160"/>
      <c r="B35" s="159" t="s">
        <v>554</v>
      </c>
      <c r="C35" s="160"/>
      <c r="D35" s="161" t="s">
        <v>590</v>
      </c>
      <c r="E35" s="203"/>
      <c r="F35" s="162" t="s">
        <v>629</v>
      </c>
      <c r="G35" s="161"/>
      <c r="H35" s="162" t="s">
        <v>562</v>
      </c>
      <c r="I35" s="161"/>
      <c r="J35" s="186" t="s">
        <v>617</v>
      </c>
      <c r="K35" s="203"/>
      <c r="L35" s="161" t="s">
        <v>118</v>
      </c>
      <c r="M35" s="203"/>
      <c r="N35" s="161" t="s">
        <v>589</v>
      </c>
      <c r="O35" s="203"/>
      <c r="P35" s="203">
        <v>2011</v>
      </c>
      <c r="Q35" s="207" t="s">
        <v>801</v>
      </c>
      <c r="R35" s="203">
        <v>0</v>
      </c>
      <c r="S35" s="203"/>
      <c r="T35" s="179">
        <v>0</v>
      </c>
      <c r="U35" s="203"/>
      <c r="V35" s="190">
        <v>0</v>
      </c>
      <c r="W35" s="203"/>
      <c r="X35" s="195">
        <v>0</v>
      </c>
      <c r="Y35" s="203"/>
      <c r="Z35" s="305">
        <v>0</v>
      </c>
      <c r="AA35" s="203"/>
      <c r="AB35" s="179">
        <v>0</v>
      </c>
      <c r="AC35" s="203"/>
      <c r="AD35" s="190">
        <v>0</v>
      </c>
      <c r="AE35" s="203"/>
      <c r="AF35" s="195">
        <v>0</v>
      </c>
      <c r="AG35" s="190">
        <v>0</v>
      </c>
      <c r="AH35" s="203"/>
      <c r="AI35" s="195">
        <v>0</v>
      </c>
      <c r="AJ35" s="71"/>
    </row>
    <row r="36" spans="1:36" ht="49.95" customHeight="1" x14ac:dyDescent="0.2">
      <c r="A36" s="160"/>
      <c r="B36" s="159" t="s">
        <v>554</v>
      </c>
      <c r="C36" s="160"/>
      <c r="D36" s="161" t="s">
        <v>590</v>
      </c>
      <c r="E36" s="203"/>
      <c r="F36" s="162" t="s">
        <v>630</v>
      </c>
      <c r="G36" s="161"/>
      <c r="H36" s="162" t="s">
        <v>562</v>
      </c>
      <c r="I36" s="161"/>
      <c r="J36" s="186" t="s">
        <v>617</v>
      </c>
      <c r="K36" s="203"/>
      <c r="L36" s="161" t="s">
        <v>118</v>
      </c>
      <c r="M36" s="203"/>
      <c r="N36" s="161" t="s">
        <v>589</v>
      </c>
      <c r="O36" s="203"/>
      <c r="P36" s="203">
        <v>2011</v>
      </c>
      <c r="Q36" s="207" t="s">
        <v>801</v>
      </c>
      <c r="R36" s="203">
        <v>0</v>
      </c>
      <c r="S36" s="203"/>
      <c r="T36" s="179">
        <v>0</v>
      </c>
      <c r="U36" s="203"/>
      <c r="V36" s="190">
        <v>0</v>
      </c>
      <c r="W36" s="203"/>
      <c r="X36" s="195">
        <v>0</v>
      </c>
      <c r="Y36" s="203"/>
      <c r="Z36" s="305">
        <v>0</v>
      </c>
      <c r="AA36" s="203"/>
      <c r="AB36" s="179">
        <v>0</v>
      </c>
      <c r="AC36" s="203"/>
      <c r="AD36" s="190">
        <v>0</v>
      </c>
      <c r="AE36" s="203"/>
      <c r="AF36" s="195">
        <v>0</v>
      </c>
      <c r="AG36" s="190">
        <v>0</v>
      </c>
      <c r="AH36" s="203"/>
      <c r="AI36" s="195">
        <v>0</v>
      </c>
      <c r="AJ36" s="71"/>
    </row>
    <row r="37" spans="1:36" ht="49.95" customHeight="1" x14ac:dyDescent="0.2">
      <c r="A37" s="160"/>
      <c r="B37" s="159" t="s">
        <v>554</v>
      </c>
      <c r="C37" s="160"/>
      <c r="D37" s="161" t="s">
        <v>590</v>
      </c>
      <c r="E37" s="203"/>
      <c r="F37" s="162" t="s">
        <v>564</v>
      </c>
      <c r="G37" s="161"/>
      <c r="H37" s="162" t="s">
        <v>562</v>
      </c>
      <c r="I37" s="161"/>
      <c r="J37" s="186">
        <v>195</v>
      </c>
      <c r="K37" s="203"/>
      <c r="L37" s="161" t="s">
        <v>118</v>
      </c>
      <c r="M37" s="203"/>
      <c r="N37" s="161" t="s">
        <v>589</v>
      </c>
      <c r="O37" s="203"/>
      <c r="P37" s="203">
        <v>2011</v>
      </c>
      <c r="Q37" s="207" t="s">
        <v>801</v>
      </c>
      <c r="R37" s="203">
        <v>0</v>
      </c>
      <c r="S37" s="203"/>
      <c r="T37" s="179">
        <v>0</v>
      </c>
      <c r="U37" s="203"/>
      <c r="V37" s="190">
        <v>6</v>
      </c>
      <c r="W37" s="203"/>
      <c r="X37" s="195">
        <f>6*195</f>
        <v>1170</v>
      </c>
      <c r="Y37" s="203"/>
      <c r="Z37" s="305">
        <v>0</v>
      </c>
      <c r="AA37" s="203"/>
      <c r="AB37" s="179">
        <v>0</v>
      </c>
      <c r="AC37" s="203"/>
      <c r="AD37" s="190">
        <v>0</v>
      </c>
      <c r="AE37" s="203"/>
      <c r="AF37" s="195">
        <v>0</v>
      </c>
      <c r="AG37" s="190">
        <v>0</v>
      </c>
      <c r="AH37" s="203"/>
      <c r="AI37" s="195">
        <v>0</v>
      </c>
      <c r="AJ37" s="71"/>
    </row>
    <row r="38" spans="1:36" ht="49.95" customHeight="1" x14ac:dyDescent="0.2">
      <c r="A38" s="160"/>
      <c r="B38" s="159" t="s">
        <v>554</v>
      </c>
      <c r="C38" s="160"/>
      <c r="D38" s="161" t="s">
        <v>590</v>
      </c>
      <c r="E38" s="203"/>
      <c r="F38" s="162" t="s">
        <v>565</v>
      </c>
      <c r="G38" s="161"/>
      <c r="H38" s="162" t="s">
        <v>562</v>
      </c>
      <c r="I38" s="161"/>
      <c r="J38" s="186" t="s">
        <v>595</v>
      </c>
      <c r="K38" s="203"/>
      <c r="L38" s="161" t="s">
        <v>118</v>
      </c>
      <c r="M38" s="203"/>
      <c r="N38" s="161" t="s">
        <v>589</v>
      </c>
      <c r="O38" s="203"/>
      <c r="P38" s="203">
        <v>2011</v>
      </c>
      <c r="Q38" s="207" t="s">
        <v>801</v>
      </c>
      <c r="R38" s="161" t="s">
        <v>596</v>
      </c>
      <c r="S38" s="203"/>
      <c r="T38" s="179">
        <f>(30*100)+(6*190)</f>
        <v>4140</v>
      </c>
      <c r="U38" s="203"/>
      <c r="V38" s="191">
        <v>45</v>
      </c>
      <c r="W38" s="203"/>
      <c r="X38" s="195">
        <f>(31*100)+(14*15)</f>
        <v>3310</v>
      </c>
      <c r="Y38" s="203"/>
      <c r="Z38" s="306">
        <v>33</v>
      </c>
      <c r="AA38" s="203"/>
      <c r="AB38" s="179">
        <f>33*15</f>
        <v>495</v>
      </c>
      <c r="AC38" s="203"/>
      <c r="AD38" s="191">
        <v>69</v>
      </c>
      <c r="AE38" s="203"/>
      <c r="AF38" s="195">
        <f>69*15</f>
        <v>1035</v>
      </c>
      <c r="AG38" s="191">
        <v>8</v>
      </c>
      <c r="AH38" s="203"/>
      <c r="AI38" s="195">
        <f>8*15</f>
        <v>120</v>
      </c>
      <c r="AJ38" s="71"/>
    </row>
    <row r="39" spans="1:36" ht="49.95" customHeight="1" x14ac:dyDescent="0.2">
      <c r="A39" s="160"/>
      <c r="B39" s="159" t="s">
        <v>554</v>
      </c>
      <c r="C39" s="160"/>
      <c r="D39" s="161" t="s">
        <v>590</v>
      </c>
      <c r="E39" s="203"/>
      <c r="F39" s="162" t="s">
        <v>566</v>
      </c>
      <c r="G39" s="161"/>
      <c r="H39" s="162" t="s">
        <v>562</v>
      </c>
      <c r="I39" s="161"/>
      <c r="J39" s="186">
        <v>150</v>
      </c>
      <c r="K39" s="203"/>
      <c r="L39" s="161" t="s">
        <v>118</v>
      </c>
      <c r="M39" s="203"/>
      <c r="N39" s="161" t="s">
        <v>589</v>
      </c>
      <c r="O39" s="203"/>
      <c r="P39" s="203">
        <v>2011</v>
      </c>
      <c r="Q39" s="207" t="s">
        <v>801</v>
      </c>
      <c r="R39" s="203">
        <v>0</v>
      </c>
      <c r="S39" s="203"/>
      <c r="T39" s="179">
        <v>0</v>
      </c>
      <c r="U39" s="203"/>
      <c r="V39" s="190">
        <v>16</v>
      </c>
      <c r="W39" s="203"/>
      <c r="X39" s="195">
        <f>16*150</f>
        <v>2400</v>
      </c>
      <c r="Y39" s="203"/>
      <c r="Z39" s="305">
        <v>0</v>
      </c>
      <c r="AA39" s="203"/>
      <c r="AB39" s="179">
        <v>0</v>
      </c>
      <c r="AC39" s="203"/>
      <c r="AD39" s="190">
        <v>18</v>
      </c>
      <c r="AE39" s="203"/>
      <c r="AF39" s="195">
        <f>18*200</f>
        <v>3600</v>
      </c>
      <c r="AG39" s="190">
        <v>0</v>
      </c>
      <c r="AH39" s="203"/>
      <c r="AI39" s="195">
        <v>0</v>
      </c>
      <c r="AJ39" s="71"/>
    </row>
    <row r="40" spans="1:36" ht="49.95" customHeight="1" x14ac:dyDescent="0.2">
      <c r="A40" s="160"/>
      <c r="B40" s="159" t="s">
        <v>554</v>
      </c>
      <c r="C40" s="160"/>
      <c r="D40" s="161" t="s">
        <v>590</v>
      </c>
      <c r="E40" s="203"/>
      <c r="F40" s="162" t="s">
        <v>631</v>
      </c>
      <c r="G40" s="161"/>
      <c r="H40" s="162" t="s">
        <v>562</v>
      </c>
      <c r="I40" s="161"/>
      <c r="J40" s="186">
        <v>110</v>
      </c>
      <c r="K40" s="203"/>
      <c r="L40" s="161" t="s">
        <v>118</v>
      </c>
      <c r="M40" s="203"/>
      <c r="N40" s="161" t="s">
        <v>589</v>
      </c>
      <c r="O40" s="203"/>
      <c r="P40" s="203">
        <v>2011</v>
      </c>
      <c r="Q40" s="207" t="s">
        <v>801</v>
      </c>
      <c r="R40" s="203">
        <v>18</v>
      </c>
      <c r="S40" s="203"/>
      <c r="T40" s="179">
        <f>18*110</f>
        <v>1980</v>
      </c>
      <c r="U40" s="203"/>
      <c r="V40" s="190">
        <v>0</v>
      </c>
      <c r="W40" s="203"/>
      <c r="X40" s="195">
        <v>0</v>
      </c>
      <c r="Y40" s="203"/>
      <c r="Z40" s="305">
        <v>0</v>
      </c>
      <c r="AA40" s="203"/>
      <c r="AB40" s="179">
        <v>0</v>
      </c>
      <c r="AC40" s="203"/>
      <c r="AD40" s="190">
        <v>0</v>
      </c>
      <c r="AE40" s="203"/>
      <c r="AF40" s="195">
        <v>0</v>
      </c>
      <c r="AG40" s="190">
        <v>0</v>
      </c>
      <c r="AH40" s="203"/>
      <c r="AI40" s="195">
        <v>0</v>
      </c>
      <c r="AJ40" s="71"/>
    </row>
    <row r="41" spans="1:36" ht="49.95" customHeight="1" x14ac:dyDescent="0.2">
      <c r="A41" s="160"/>
      <c r="B41" s="159" t="s">
        <v>554</v>
      </c>
      <c r="C41" s="160"/>
      <c r="D41" s="161" t="s">
        <v>590</v>
      </c>
      <c r="E41" s="203"/>
      <c r="F41" s="162" t="s">
        <v>632</v>
      </c>
      <c r="G41" s="161"/>
      <c r="H41" s="162" t="s">
        <v>562</v>
      </c>
      <c r="I41" s="161"/>
      <c r="J41" s="186">
        <v>40</v>
      </c>
      <c r="K41" s="203"/>
      <c r="L41" s="161" t="s">
        <v>118</v>
      </c>
      <c r="M41" s="203"/>
      <c r="N41" s="161" t="s">
        <v>589</v>
      </c>
      <c r="O41" s="203"/>
      <c r="P41" s="203">
        <v>2011</v>
      </c>
      <c r="Q41" s="207" t="s">
        <v>801</v>
      </c>
      <c r="R41" s="203">
        <v>13</v>
      </c>
      <c r="S41" s="203"/>
      <c r="T41" s="179">
        <f>13*40</f>
        <v>520</v>
      </c>
      <c r="U41" s="203"/>
      <c r="V41" s="190">
        <v>0</v>
      </c>
      <c r="W41" s="203"/>
      <c r="X41" s="195">
        <v>0</v>
      </c>
      <c r="Y41" s="203"/>
      <c r="Z41" s="305">
        <v>0</v>
      </c>
      <c r="AA41" s="203"/>
      <c r="AB41" s="179">
        <v>0</v>
      </c>
      <c r="AC41" s="203"/>
      <c r="AD41" s="190">
        <v>13</v>
      </c>
      <c r="AE41" s="203"/>
      <c r="AF41" s="195">
        <f>13*85</f>
        <v>1105</v>
      </c>
      <c r="AG41" s="190">
        <v>0</v>
      </c>
      <c r="AH41" s="203"/>
      <c r="AI41" s="195">
        <v>0</v>
      </c>
      <c r="AJ41" s="71"/>
    </row>
    <row r="42" spans="1:36" ht="49.95" customHeight="1" x14ac:dyDescent="0.2">
      <c r="A42" s="160"/>
      <c r="B42" s="159" t="s">
        <v>554</v>
      </c>
      <c r="C42" s="160"/>
      <c r="D42" s="161" t="s">
        <v>590</v>
      </c>
      <c r="E42" s="203"/>
      <c r="F42" s="162" t="s">
        <v>567</v>
      </c>
      <c r="G42" s="161"/>
      <c r="H42" s="162" t="s">
        <v>562</v>
      </c>
      <c r="I42" s="161"/>
      <c r="J42" s="186">
        <v>150</v>
      </c>
      <c r="K42" s="203"/>
      <c r="L42" s="161" t="s">
        <v>118</v>
      </c>
      <c r="M42" s="203"/>
      <c r="N42" s="161" t="s">
        <v>589</v>
      </c>
      <c r="O42" s="203"/>
      <c r="P42" s="203">
        <v>2011</v>
      </c>
      <c r="Q42" s="207" t="s">
        <v>801</v>
      </c>
      <c r="R42" s="203">
        <v>7</v>
      </c>
      <c r="S42" s="203"/>
      <c r="T42" s="179">
        <f>7*150</f>
        <v>1050</v>
      </c>
      <c r="U42" s="203"/>
      <c r="V42" s="190">
        <v>4</v>
      </c>
      <c r="W42" s="203"/>
      <c r="X42" s="195">
        <f>4*150</f>
        <v>600</v>
      </c>
      <c r="Y42" s="203"/>
      <c r="Z42" s="305">
        <v>0</v>
      </c>
      <c r="AA42" s="203">
        <v>0</v>
      </c>
      <c r="AB42" s="179">
        <v>0</v>
      </c>
      <c r="AC42" s="203"/>
      <c r="AD42" s="190">
        <v>5</v>
      </c>
      <c r="AE42" s="203"/>
      <c r="AF42" s="195">
        <f>5*150</f>
        <v>750</v>
      </c>
      <c r="AG42" s="190">
        <v>3</v>
      </c>
      <c r="AH42" s="203"/>
      <c r="AI42" s="195">
        <f>3*150</f>
        <v>450</v>
      </c>
      <c r="AJ42" s="71"/>
    </row>
    <row r="43" spans="1:36" ht="49.95" customHeight="1" x14ac:dyDescent="0.25">
      <c r="A43" s="160"/>
      <c r="B43" s="159" t="s">
        <v>554</v>
      </c>
      <c r="C43" s="160"/>
      <c r="D43" s="161" t="s">
        <v>590</v>
      </c>
      <c r="E43" s="203"/>
      <c r="F43" s="162" t="s">
        <v>633</v>
      </c>
      <c r="G43" s="161"/>
      <c r="H43" s="162" t="s">
        <v>562</v>
      </c>
      <c r="I43" s="161"/>
      <c r="J43" s="186" t="s">
        <v>634</v>
      </c>
      <c r="K43" s="203"/>
      <c r="L43" s="161" t="s">
        <v>118</v>
      </c>
      <c r="M43" s="203"/>
      <c r="N43" s="161" t="s">
        <v>589</v>
      </c>
      <c r="O43" s="203"/>
      <c r="P43" s="203">
        <v>2011</v>
      </c>
      <c r="Q43" s="207" t="s">
        <v>801</v>
      </c>
      <c r="R43" s="161">
        <v>11</v>
      </c>
      <c r="S43" s="203"/>
      <c r="T43" s="188">
        <f>11*180</f>
        <v>1980</v>
      </c>
      <c r="U43" s="203"/>
      <c r="V43" s="203">
        <v>0</v>
      </c>
      <c r="W43" s="203"/>
      <c r="X43" s="179">
        <v>0</v>
      </c>
      <c r="Y43" s="203"/>
      <c r="Z43" s="306">
        <v>14</v>
      </c>
      <c r="AA43" s="203"/>
      <c r="AB43" s="188">
        <f>14*180</f>
        <v>2520</v>
      </c>
      <c r="AC43" s="203"/>
      <c r="AD43" s="203">
        <v>6</v>
      </c>
      <c r="AE43" s="203"/>
      <c r="AF43" s="179">
        <f>6*250</f>
        <v>1500</v>
      </c>
      <c r="AG43" s="203">
        <v>0</v>
      </c>
      <c r="AH43" s="203"/>
      <c r="AI43" s="179">
        <v>0</v>
      </c>
      <c r="AJ43" s="310"/>
    </row>
    <row r="44" spans="1:36" ht="49.95" customHeight="1" x14ac:dyDescent="0.2">
      <c r="A44" s="160"/>
      <c r="B44" s="159" t="s">
        <v>554</v>
      </c>
      <c r="C44" s="160"/>
      <c r="D44" s="161" t="s">
        <v>590</v>
      </c>
      <c r="E44" s="203"/>
      <c r="F44" s="162" t="s">
        <v>568</v>
      </c>
      <c r="G44" s="161"/>
      <c r="H44" s="162" t="s">
        <v>562</v>
      </c>
      <c r="I44" s="161"/>
      <c r="J44" s="186" t="s">
        <v>597</v>
      </c>
      <c r="K44" s="203"/>
      <c r="L44" s="161" t="s">
        <v>118</v>
      </c>
      <c r="M44" s="203"/>
      <c r="N44" s="161" t="s">
        <v>589</v>
      </c>
      <c r="O44" s="203"/>
      <c r="P44" s="203">
        <v>2011</v>
      </c>
      <c r="Q44" s="207" t="s">
        <v>801</v>
      </c>
      <c r="R44" s="203">
        <v>7</v>
      </c>
      <c r="S44" s="203"/>
      <c r="T44" s="179">
        <f>7*270</f>
        <v>1890</v>
      </c>
      <c r="U44" s="203"/>
      <c r="V44" s="190">
        <v>13</v>
      </c>
      <c r="W44" s="203"/>
      <c r="X44" s="195">
        <f>13*275</f>
        <v>3575</v>
      </c>
      <c r="Y44" s="203"/>
      <c r="Z44" s="305">
        <v>4</v>
      </c>
      <c r="AA44" s="203"/>
      <c r="AB44" s="179">
        <f>4*250</f>
        <v>1000</v>
      </c>
      <c r="AC44" s="203"/>
      <c r="AD44" s="190">
        <v>0</v>
      </c>
      <c r="AE44" s="203"/>
      <c r="AF44" s="195">
        <v>0</v>
      </c>
      <c r="AG44" s="190">
        <v>13</v>
      </c>
      <c r="AH44" s="203"/>
      <c r="AI44" s="195">
        <f>13*250</f>
        <v>3250</v>
      </c>
      <c r="AJ44" s="71"/>
    </row>
    <row r="45" spans="1:36" ht="49.95" customHeight="1" x14ac:dyDescent="0.2">
      <c r="A45" s="160"/>
      <c r="B45" s="159" t="s">
        <v>554</v>
      </c>
      <c r="C45" s="203"/>
      <c r="D45" s="161" t="s">
        <v>590</v>
      </c>
      <c r="E45" s="203"/>
      <c r="F45" s="162" t="s">
        <v>569</v>
      </c>
      <c r="G45" s="161"/>
      <c r="H45" s="162" t="s">
        <v>562</v>
      </c>
      <c r="I45" s="161"/>
      <c r="J45" s="186">
        <v>75</v>
      </c>
      <c r="K45" s="203"/>
      <c r="L45" s="161" t="s">
        <v>118</v>
      </c>
      <c r="M45" s="203"/>
      <c r="N45" s="161" t="s">
        <v>589</v>
      </c>
      <c r="O45" s="203"/>
      <c r="P45" s="203">
        <v>2011</v>
      </c>
      <c r="Q45" s="207" t="s">
        <v>801</v>
      </c>
      <c r="R45" s="203">
        <v>20</v>
      </c>
      <c r="S45" s="203"/>
      <c r="T45" s="179">
        <f>20*75</f>
        <v>1500</v>
      </c>
      <c r="U45" s="203"/>
      <c r="V45" s="190">
        <v>19</v>
      </c>
      <c r="W45" s="203"/>
      <c r="X45" s="195">
        <f>19*75</f>
        <v>1425</v>
      </c>
      <c r="Y45" s="203"/>
      <c r="Z45" s="305">
        <v>0</v>
      </c>
      <c r="AA45" s="203"/>
      <c r="AB45" s="179">
        <v>0</v>
      </c>
      <c r="AC45" s="203"/>
      <c r="AD45" s="190">
        <v>0</v>
      </c>
      <c r="AE45" s="203"/>
      <c r="AF45" s="195">
        <v>0</v>
      </c>
      <c r="AG45" s="190">
        <v>0</v>
      </c>
      <c r="AH45" s="203"/>
      <c r="AI45" s="195">
        <v>0</v>
      </c>
      <c r="AJ45" s="71"/>
    </row>
    <row r="46" spans="1:36" ht="49.95" customHeight="1" x14ac:dyDescent="0.2">
      <c r="A46" s="160"/>
      <c r="B46" s="159" t="s">
        <v>554</v>
      </c>
      <c r="C46" s="203"/>
      <c r="D46" s="161" t="s">
        <v>590</v>
      </c>
      <c r="E46" s="203"/>
      <c r="F46" s="162" t="s">
        <v>635</v>
      </c>
      <c r="G46" s="161"/>
      <c r="H46" s="162" t="s">
        <v>562</v>
      </c>
      <c r="I46" s="161"/>
      <c r="J46" s="186" t="s">
        <v>617</v>
      </c>
      <c r="K46" s="203"/>
      <c r="L46" s="161" t="s">
        <v>118</v>
      </c>
      <c r="M46" s="203"/>
      <c r="N46" s="161" t="s">
        <v>589</v>
      </c>
      <c r="O46" s="203"/>
      <c r="P46" s="203">
        <v>2011</v>
      </c>
      <c r="Q46" s="207" t="s">
        <v>801</v>
      </c>
      <c r="R46" s="203">
        <v>0</v>
      </c>
      <c r="S46" s="203"/>
      <c r="T46" s="179">
        <v>0</v>
      </c>
      <c r="U46" s="203"/>
      <c r="V46" s="190">
        <v>0</v>
      </c>
      <c r="W46" s="203"/>
      <c r="X46" s="195">
        <v>0</v>
      </c>
      <c r="Y46" s="203"/>
      <c r="Z46" s="305">
        <v>0</v>
      </c>
      <c r="AA46" s="203"/>
      <c r="AB46" s="179" t="s">
        <v>750</v>
      </c>
      <c r="AC46" s="203"/>
      <c r="AD46" s="190">
        <v>0</v>
      </c>
      <c r="AE46" s="203"/>
      <c r="AF46" s="195">
        <v>0</v>
      </c>
      <c r="AG46" s="190">
        <v>0</v>
      </c>
      <c r="AH46" s="203"/>
      <c r="AI46" s="195">
        <v>0</v>
      </c>
      <c r="AJ46" s="71"/>
    </row>
    <row r="47" spans="1:36" ht="49.95" customHeight="1" x14ac:dyDescent="0.2">
      <c r="A47" s="160"/>
      <c r="B47" s="159" t="s">
        <v>554</v>
      </c>
      <c r="C47" s="203"/>
      <c r="D47" s="161" t="s">
        <v>590</v>
      </c>
      <c r="E47" s="203"/>
      <c r="F47" s="162" t="s">
        <v>570</v>
      </c>
      <c r="G47" s="161"/>
      <c r="H47" s="162" t="s">
        <v>562</v>
      </c>
      <c r="I47" s="161"/>
      <c r="J47" s="186">
        <v>50</v>
      </c>
      <c r="K47" s="203"/>
      <c r="L47" s="161" t="s">
        <v>118</v>
      </c>
      <c r="M47" s="203"/>
      <c r="N47" s="161" t="s">
        <v>589</v>
      </c>
      <c r="O47" s="203"/>
      <c r="P47" s="203">
        <v>2011</v>
      </c>
      <c r="Q47" s="207" t="s">
        <v>801</v>
      </c>
      <c r="R47" s="203">
        <v>0</v>
      </c>
      <c r="S47" s="203"/>
      <c r="T47" s="179">
        <v>0</v>
      </c>
      <c r="U47" s="203"/>
      <c r="V47" s="190">
        <v>20</v>
      </c>
      <c r="W47" s="203"/>
      <c r="X47" s="195">
        <f>20*50</f>
        <v>1000</v>
      </c>
      <c r="Y47" s="203"/>
      <c r="Z47" s="305">
        <v>0</v>
      </c>
      <c r="AA47" s="203"/>
      <c r="AB47" s="179">
        <v>0</v>
      </c>
      <c r="AC47" s="203"/>
      <c r="AD47" s="190">
        <v>0</v>
      </c>
      <c r="AE47" s="203"/>
      <c r="AF47" s="195">
        <v>0</v>
      </c>
      <c r="AG47" s="190">
        <v>0</v>
      </c>
      <c r="AH47" s="203"/>
      <c r="AI47" s="195">
        <v>0</v>
      </c>
      <c r="AJ47" s="71"/>
    </row>
    <row r="48" spans="1:36" ht="49.95" customHeight="1" x14ac:dyDescent="0.2">
      <c r="A48" s="160"/>
      <c r="B48" s="159"/>
      <c r="C48" s="203"/>
      <c r="D48" s="161"/>
      <c r="E48" s="203"/>
      <c r="F48" s="162" t="s">
        <v>754</v>
      </c>
      <c r="G48" s="161"/>
      <c r="H48" s="162" t="s">
        <v>562</v>
      </c>
      <c r="I48" s="161"/>
      <c r="J48" s="186" t="s">
        <v>750</v>
      </c>
      <c r="K48" s="203"/>
      <c r="L48" s="161" t="s">
        <v>118</v>
      </c>
      <c r="M48" s="203"/>
      <c r="N48" s="161" t="s">
        <v>589</v>
      </c>
      <c r="O48" s="203"/>
      <c r="P48" s="203"/>
      <c r="Q48" s="207" t="s">
        <v>801</v>
      </c>
      <c r="R48" s="203">
        <v>0</v>
      </c>
      <c r="S48" s="203"/>
      <c r="T48" s="179">
        <v>0</v>
      </c>
      <c r="U48" s="203"/>
      <c r="V48" s="190">
        <v>0</v>
      </c>
      <c r="W48" s="203"/>
      <c r="X48" s="195">
        <v>0</v>
      </c>
      <c r="Y48" s="203"/>
      <c r="Z48" s="305">
        <v>0</v>
      </c>
      <c r="AA48" s="203"/>
      <c r="AB48" s="179">
        <v>0</v>
      </c>
      <c r="AC48" s="203"/>
      <c r="AD48" s="190">
        <v>0</v>
      </c>
      <c r="AE48" s="203"/>
      <c r="AF48" s="195">
        <v>0</v>
      </c>
      <c r="AG48" s="190">
        <v>50</v>
      </c>
      <c r="AH48" s="203"/>
      <c r="AI48" s="195">
        <f>50*225</f>
        <v>11250</v>
      </c>
      <c r="AJ48" s="71"/>
    </row>
    <row r="49" spans="1:36" ht="49.95" customHeight="1" x14ac:dyDescent="0.2">
      <c r="A49" s="160"/>
      <c r="B49" s="159" t="s">
        <v>554</v>
      </c>
      <c r="C49" s="203"/>
      <c r="D49" s="161" t="s">
        <v>590</v>
      </c>
      <c r="E49" s="203"/>
      <c r="F49" s="162" t="s">
        <v>636</v>
      </c>
      <c r="G49" s="161"/>
      <c r="H49" s="162" t="s">
        <v>562</v>
      </c>
      <c r="I49" s="161"/>
      <c r="J49" s="186">
        <v>295</v>
      </c>
      <c r="K49" s="203"/>
      <c r="L49" s="161" t="s">
        <v>118</v>
      </c>
      <c r="M49" s="203"/>
      <c r="N49" s="161" t="s">
        <v>589</v>
      </c>
      <c r="O49" s="203"/>
      <c r="P49" s="203">
        <v>2011</v>
      </c>
      <c r="Q49" s="207" t="s">
        <v>801</v>
      </c>
      <c r="R49" s="203">
        <v>23</v>
      </c>
      <c r="S49" s="203"/>
      <c r="T49" s="179">
        <f>23*295</f>
        <v>6785</v>
      </c>
      <c r="U49" s="203"/>
      <c r="V49" s="190">
        <v>0</v>
      </c>
      <c r="W49" s="203"/>
      <c r="X49" s="195">
        <v>0</v>
      </c>
      <c r="Y49" s="203"/>
      <c r="Z49" s="305">
        <v>0</v>
      </c>
      <c r="AA49" s="203"/>
      <c r="AB49" s="179" t="s">
        <v>750</v>
      </c>
      <c r="AC49" s="203"/>
      <c r="AD49" s="190">
        <v>0</v>
      </c>
      <c r="AE49" s="203"/>
      <c r="AF49" s="195">
        <v>0</v>
      </c>
      <c r="AG49" s="190">
        <v>0</v>
      </c>
      <c r="AH49" s="203"/>
      <c r="AI49" s="195">
        <v>0</v>
      </c>
      <c r="AJ49" s="71"/>
    </row>
    <row r="50" spans="1:36" ht="49.95" customHeight="1" x14ac:dyDescent="0.2">
      <c r="A50" s="160"/>
      <c r="B50" s="159" t="s">
        <v>554</v>
      </c>
      <c r="C50" s="203"/>
      <c r="D50" s="161" t="s">
        <v>590</v>
      </c>
      <c r="E50" s="203"/>
      <c r="F50" s="162" t="s">
        <v>637</v>
      </c>
      <c r="G50" s="161"/>
      <c r="H50" s="162" t="s">
        <v>562</v>
      </c>
      <c r="I50" s="161"/>
      <c r="J50" s="186">
        <v>550</v>
      </c>
      <c r="K50" s="203"/>
      <c r="L50" s="161" t="s">
        <v>118</v>
      </c>
      <c r="M50" s="203"/>
      <c r="N50" s="161" t="s">
        <v>589</v>
      </c>
      <c r="O50" s="203"/>
      <c r="P50" s="203">
        <v>2011</v>
      </c>
      <c r="Q50" s="207" t="s">
        <v>801</v>
      </c>
      <c r="R50" s="203">
        <v>43</v>
      </c>
      <c r="S50" s="203"/>
      <c r="T50" s="179">
        <f>43*550</f>
        <v>23650</v>
      </c>
      <c r="U50" s="203"/>
      <c r="V50" s="190">
        <v>29</v>
      </c>
      <c r="W50" s="203"/>
      <c r="X50" s="195">
        <f>29*550</f>
        <v>15950</v>
      </c>
      <c r="Y50" s="203"/>
      <c r="Z50" s="305">
        <v>31</v>
      </c>
      <c r="AA50" s="203"/>
      <c r="AB50" s="179">
        <f>31*550</f>
        <v>17050</v>
      </c>
      <c r="AC50" s="203"/>
      <c r="AD50" s="190">
        <v>26</v>
      </c>
      <c r="AE50" s="203"/>
      <c r="AF50" s="195">
        <f>26*595</f>
        <v>15470</v>
      </c>
      <c r="AG50" s="190">
        <v>0</v>
      </c>
      <c r="AH50" s="203"/>
      <c r="AI50" s="195">
        <v>0</v>
      </c>
      <c r="AJ50" s="71"/>
    </row>
    <row r="51" spans="1:36" ht="49.95" customHeight="1" x14ac:dyDescent="0.2">
      <c r="A51" s="160"/>
      <c r="B51" s="159" t="s">
        <v>554</v>
      </c>
      <c r="C51" s="203"/>
      <c r="D51" s="161" t="s">
        <v>590</v>
      </c>
      <c r="E51" s="203"/>
      <c r="F51" s="162" t="s">
        <v>638</v>
      </c>
      <c r="G51" s="161"/>
      <c r="H51" s="162" t="s">
        <v>562</v>
      </c>
      <c r="I51" s="161"/>
      <c r="J51" s="186" t="s">
        <v>617</v>
      </c>
      <c r="K51" s="203"/>
      <c r="L51" s="161" t="s">
        <v>118</v>
      </c>
      <c r="M51" s="203"/>
      <c r="N51" s="161" t="s">
        <v>589</v>
      </c>
      <c r="O51" s="203"/>
      <c r="P51" s="203">
        <v>2011</v>
      </c>
      <c r="Q51" s="207" t="s">
        <v>801</v>
      </c>
      <c r="R51" s="203">
        <v>0</v>
      </c>
      <c r="S51" s="203"/>
      <c r="T51" s="179">
        <v>0</v>
      </c>
      <c r="U51" s="203"/>
      <c r="V51" s="190">
        <v>0</v>
      </c>
      <c r="W51" s="203"/>
      <c r="X51" s="195">
        <v>0</v>
      </c>
      <c r="Y51" s="203"/>
      <c r="Z51" s="305">
        <v>0</v>
      </c>
      <c r="AA51" s="203"/>
      <c r="AB51" s="179">
        <v>0</v>
      </c>
      <c r="AC51" s="203"/>
      <c r="AD51" s="190">
        <v>0</v>
      </c>
      <c r="AE51" s="203"/>
      <c r="AF51" s="195">
        <v>0</v>
      </c>
      <c r="AG51" s="190">
        <v>0</v>
      </c>
      <c r="AH51" s="203"/>
      <c r="AI51" s="195">
        <v>0</v>
      </c>
      <c r="AJ51" s="71"/>
    </row>
    <row r="52" spans="1:36" ht="49.95" customHeight="1" x14ac:dyDescent="0.2">
      <c r="A52" s="160"/>
      <c r="B52" s="159" t="s">
        <v>554</v>
      </c>
      <c r="C52" s="203"/>
      <c r="D52" s="161" t="s">
        <v>590</v>
      </c>
      <c r="E52" s="203"/>
      <c r="F52" s="162" t="s">
        <v>639</v>
      </c>
      <c r="G52" s="161"/>
      <c r="H52" s="162" t="s">
        <v>562</v>
      </c>
      <c r="I52" s="161"/>
      <c r="J52" s="186">
        <v>30</v>
      </c>
      <c r="K52" s="203"/>
      <c r="L52" s="161" t="s">
        <v>118</v>
      </c>
      <c r="M52" s="203"/>
      <c r="N52" s="161" t="s">
        <v>589</v>
      </c>
      <c r="O52" s="203"/>
      <c r="P52" s="203">
        <v>2011</v>
      </c>
      <c r="Q52" s="207" t="s">
        <v>801</v>
      </c>
      <c r="R52" s="203">
        <v>22</v>
      </c>
      <c r="S52" s="203"/>
      <c r="T52" s="179">
        <f>22*30</f>
        <v>660</v>
      </c>
      <c r="U52" s="203"/>
      <c r="V52" s="190">
        <v>0</v>
      </c>
      <c r="W52" s="203"/>
      <c r="X52" s="195">
        <v>0</v>
      </c>
      <c r="Y52" s="203"/>
      <c r="Z52" s="305">
        <v>0</v>
      </c>
      <c r="AA52" s="203"/>
      <c r="AB52" s="179">
        <v>0</v>
      </c>
      <c r="AC52" s="203"/>
      <c r="AD52" s="190">
        <v>0</v>
      </c>
      <c r="AE52" s="203"/>
      <c r="AF52" s="195">
        <v>0</v>
      </c>
      <c r="AG52" s="190">
        <v>0</v>
      </c>
      <c r="AH52" s="203"/>
      <c r="AI52" s="195">
        <v>0</v>
      </c>
      <c r="AJ52" s="71"/>
    </row>
    <row r="53" spans="1:36" ht="49.95" customHeight="1" x14ac:dyDescent="0.2">
      <c r="A53" s="160"/>
      <c r="B53" s="159" t="s">
        <v>554</v>
      </c>
      <c r="C53" s="203"/>
      <c r="D53" s="161" t="s">
        <v>590</v>
      </c>
      <c r="E53" s="203"/>
      <c r="F53" s="162" t="s">
        <v>640</v>
      </c>
      <c r="G53" s="161"/>
      <c r="H53" s="162" t="s">
        <v>562</v>
      </c>
      <c r="I53" s="161"/>
      <c r="J53" s="186">
        <v>80</v>
      </c>
      <c r="K53" s="203"/>
      <c r="L53" s="161" t="s">
        <v>118</v>
      </c>
      <c r="M53" s="203"/>
      <c r="N53" s="161" t="s">
        <v>589</v>
      </c>
      <c r="O53" s="203"/>
      <c r="P53" s="203">
        <v>2011</v>
      </c>
      <c r="Q53" s="207" t="s">
        <v>801</v>
      </c>
      <c r="R53" s="203">
        <v>8</v>
      </c>
      <c r="S53" s="203"/>
      <c r="T53" s="179">
        <f>8*80</f>
        <v>640</v>
      </c>
      <c r="U53" s="203"/>
      <c r="V53" s="190">
        <v>0</v>
      </c>
      <c r="W53" s="203"/>
      <c r="X53" s="195">
        <v>0</v>
      </c>
      <c r="Y53" s="203"/>
      <c r="Z53" s="305">
        <v>8</v>
      </c>
      <c r="AA53" s="203"/>
      <c r="AB53" s="179">
        <f>8*80</f>
        <v>640</v>
      </c>
      <c r="AC53" s="203"/>
      <c r="AD53" s="190">
        <v>0</v>
      </c>
      <c r="AE53" s="203"/>
      <c r="AF53" s="195">
        <v>0</v>
      </c>
      <c r="AG53" s="190">
        <v>18</v>
      </c>
      <c r="AH53" s="203"/>
      <c r="AI53" s="195">
        <f>18*50</f>
        <v>900</v>
      </c>
      <c r="AJ53" s="71"/>
    </row>
    <row r="54" spans="1:36" ht="49.95" customHeight="1" x14ac:dyDescent="0.2">
      <c r="A54" s="160"/>
      <c r="B54" s="159" t="s">
        <v>554</v>
      </c>
      <c r="C54" s="203"/>
      <c r="D54" s="161" t="s">
        <v>590</v>
      </c>
      <c r="E54" s="203"/>
      <c r="F54" s="162" t="s">
        <v>641</v>
      </c>
      <c r="G54" s="161"/>
      <c r="H54" s="162" t="s">
        <v>562</v>
      </c>
      <c r="I54" s="161"/>
      <c r="J54" s="186">
        <v>100</v>
      </c>
      <c r="K54" s="203"/>
      <c r="L54" s="161" t="s">
        <v>118</v>
      </c>
      <c r="M54" s="203"/>
      <c r="N54" s="161" t="s">
        <v>589</v>
      </c>
      <c r="O54" s="203"/>
      <c r="P54" s="203">
        <v>2011</v>
      </c>
      <c r="Q54" s="207" t="s">
        <v>801</v>
      </c>
      <c r="R54" s="203">
        <v>65</v>
      </c>
      <c r="S54" s="203"/>
      <c r="T54" s="179">
        <f>65*100</f>
        <v>6500</v>
      </c>
      <c r="U54" s="203"/>
      <c r="V54" s="190">
        <v>0</v>
      </c>
      <c r="W54" s="203"/>
      <c r="X54" s="195">
        <v>0</v>
      </c>
      <c r="Y54" s="203"/>
      <c r="Z54" s="305">
        <v>0</v>
      </c>
      <c r="AA54" s="203"/>
      <c r="AB54" s="179">
        <v>0</v>
      </c>
      <c r="AC54" s="203"/>
      <c r="AD54" s="190">
        <v>0</v>
      </c>
      <c r="AE54" s="203"/>
      <c r="AF54" s="195">
        <v>0</v>
      </c>
      <c r="AG54" s="190">
        <v>0</v>
      </c>
      <c r="AH54" s="203"/>
      <c r="AI54" s="195">
        <v>0</v>
      </c>
      <c r="AJ54" s="71"/>
    </row>
    <row r="55" spans="1:36" ht="49.95" customHeight="1" x14ac:dyDescent="0.2">
      <c r="A55" s="160"/>
      <c r="B55" s="159" t="s">
        <v>554</v>
      </c>
      <c r="C55" s="203"/>
      <c r="D55" s="161" t="s">
        <v>590</v>
      </c>
      <c r="E55" s="203"/>
      <c r="F55" s="162" t="s">
        <v>642</v>
      </c>
      <c r="G55" s="161"/>
      <c r="H55" s="162" t="s">
        <v>562</v>
      </c>
      <c r="I55" s="161"/>
      <c r="J55" s="186">
        <v>75</v>
      </c>
      <c r="K55" s="203"/>
      <c r="L55" s="161" t="s">
        <v>118</v>
      </c>
      <c r="M55" s="203"/>
      <c r="N55" s="161" t="s">
        <v>589</v>
      </c>
      <c r="O55" s="203"/>
      <c r="P55" s="203">
        <v>2011</v>
      </c>
      <c r="Q55" s="207" t="s">
        <v>801</v>
      </c>
      <c r="R55" s="203">
        <v>31</v>
      </c>
      <c r="S55" s="203"/>
      <c r="T55" s="179">
        <f>31*75</f>
        <v>2325</v>
      </c>
      <c r="U55" s="203"/>
      <c r="V55" s="190">
        <v>0</v>
      </c>
      <c r="W55" s="203"/>
      <c r="X55" s="195">
        <v>0</v>
      </c>
      <c r="Y55" s="203"/>
      <c r="Z55" s="305">
        <v>0</v>
      </c>
      <c r="AA55" s="203"/>
      <c r="AB55" s="179">
        <v>0</v>
      </c>
      <c r="AC55" s="203"/>
      <c r="AD55" s="190">
        <v>0</v>
      </c>
      <c r="AE55" s="203"/>
      <c r="AF55" s="195">
        <v>0</v>
      </c>
      <c r="AG55" s="190">
        <v>0</v>
      </c>
      <c r="AH55" s="203"/>
      <c r="AI55" s="195">
        <v>0</v>
      </c>
      <c r="AJ55" s="71"/>
    </row>
    <row r="56" spans="1:36" ht="49.95" customHeight="1" x14ac:dyDescent="0.2">
      <c r="A56" s="160"/>
      <c r="B56" s="159" t="s">
        <v>554</v>
      </c>
      <c r="C56" s="203"/>
      <c r="D56" s="161" t="s">
        <v>590</v>
      </c>
      <c r="E56" s="203"/>
      <c r="F56" s="162" t="s">
        <v>643</v>
      </c>
      <c r="G56" s="161"/>
      <c r="H56" s="162" t="s">
        <v>562</v>
      </c>
      <c r="I56" s="161"/>
      <c r="J56" s="186" t="s">
        <v>644</v>
      </c>
      <c r="K56" s="203"/>
      <c r="L56" s="161" t="s">
        <v>118</v>
      </c>
      <c r="M56" s="203"/>
      <c r="N56" s="161" t="s">
        <v>589</v>
      </c>
      <c r="O56" s="203"/>
      <c r="P56" s="203">
        <v>2011</v>
      </c>
      <c r="Q56" s="207" t="s">
        <v>801</v>
      </c>
      <c r="R56" s="203">
        <v>0</v>
      </c>
      <c r="S56" s="203"/>
      <c r="T56" s="179">
        <v>0</v>
      </c>
      <c r="U56" s="203"/>
      <c r="V56" s="190">
        <v>17</v>
      </c>
      <c r="W56" s="203"/>
      <c r="X56" s="195">
        <f>17*75</f>
        <v>1275</v>
      </c>
      <c r="Y56" s="203"/>
      <c r="Z56" s="305">
        <v>13</v>
      </c>
      <c r="AA56" s="203"/>
      <c r="AB56" s="179">
        <f>13*100</f>
        <v>1300</v>
      </c>
      <c r="AC56" s="203"/>
      <c r="AD56" s="190">
        <v>18</v>
      </c>
      <c r="AE56" s="203"/>
      <c r="AF56" s="195">
        <f>18*100</f>
        <v>1800</v>
      </c>
      <c r="AG56" s="190">
        <v>0</v>
      </c>
      <c r="AH56" s="203"/>
      <c r="AI56" s="195">
        <v>0</v>
      </c>
      <c r="AJ56" s="71"/>
    </row>
    <row r="57" spans="1:36" ht="49.95" customHeight="1" x14ac:dyDescent="0.2">
      <c r="A57" s="160"/>
      <c r="B57" s="159" t="s">
        <v>554</v>
      </c>
      <c r="C57" s="203"/>
      <c r="D57" s="161" t="s">
        <v>590</v>
      </c>
      <c r="E57" s="203"/>
      <c r="F57" s="162" t="s">
        <v>645</v>
      </c>
      <c r="G57" s="161"/>
      <c r="H57" s="162" t="s">
        <v>562</v>
      </c>
      <c r="I57" s="161"/>
      <c r="J57" s="186" t="s">
        <v>646</v>
      </c>
      <c r="K57" s="203"/>
      <c r="L57" s="161" t="s">
        <v>118</v>
      </c>
      <c r="M57" s="203"/>
      <c r="N57" s="161" t="s">
        <v>589</v>
      </c>
      <c r="O57" s="203"/>
      <c r="P57" s="203">
        <v>2011</v>
      </c>
      <c r="Q57" s="207" t="s">
        <v>801</v>
      </c>
      <c r="R57" s="203">
        <v>27</v>
      </c>
      <c r="S57" s="203"/>
      <c r="T57" s="179">
        <f>27*75</f>
        <v>2025</v>
      </c>
      <c r="U57" s="203"/>
      <c r="V57" s="190">
        <v>20</v>
      </c>
      <c r="W57" s="203"/>
      <c r="X57" s="195">
        <f>20*85</f>
        <v>1700</v>
      </c>
      <c r="Y57" s="203"/>
      <c r="Z57" s="305">
        <v>0</v>
      </c>
      <c r="AA57" s="203"/>
      <c r="AB57" s="179">
        <v>0</v>
      </c>
      <c r="AC57" s="203"/>
      <c r="AD57" s="190">
        <v>0</v>
      </c>
      <c r="AE57" s="203"/>
      <c r="AF57" s="195">
        <v>0</v>
      </c>
      <c r="AG57" s="190">
        <v>0</v>
      </c>
      <c r="AH57" s="203"/>
      <c r="AI57" s="195">
        <v>0</v>
      </c>
      <c r="AJ57" s="71"/>
    </row>
    <row r="58" spans="1:36" ht="49.95" customHeight="1" x14ac:dyDescent="0.2">
      <c r="A58" s="160"/>
      <c r="B58" s="159" t="s">
        <v>554</v>
      </c>
      <c r="C58" s="203"/>
      <c r="D58" s="161" t="s">
        <v>590</v>
      </c>
      <c r="E58" s="203"/>
      <c r="F58" s="162" t="s">
        <v>647</v>
      </c>
      <c r="G58" s="161"/>
      <c r="H58" s="162" t="s">
        <v>562</v>
      </c>
      <c r="I58" s="161"/>
      <c r="J58" s="186">
        <v>290</v>
      </c>
      <c r="K58" s="203"/>
      <c r="L58" s="161" t="s">
        <v>118</v>
      </c>
      <c r="M58" s="203"/>
      <c r="N58" s="161" t="s">
        <v>589</v>
      </c>
      <c r="O58" s="203"/>
      <c r="P58" s="203">
        <v>2011</v>
      </c>
      <c r="Q58" s="207" t="s">
        <v>801</v>
      </c>
      <c r="R58" s="203">
        <v>8</v>
      </c>
      <c r="S58" s="203"/>
      <c r="T58" s="179">
        <f>8*290</f>
        <v>2320</v>
      </c>
      <c r="U58" s="203"/>
      <c r="V58" s="190">
        <v>1</v>
      </c>
      <c r="W58" s="203"/>
      <c r="X58" s="195">
        <f>1*290</f>
        <v>290</v>
      </c>
      <c r="Y58" s="203"/>
      <c r="Z58" s="305">
        <v>0</v>
      </c>
      <c r="AA58" s="203"/>
      <c r="AB58" s="179">
        <v>0</v>
      </c>
      <c r="AC58" s="203"/>
      <c r="AD58" s="190">
        <v>0</v>
      </c>
      <c r="AE58" s="203"/>
      <c r="AF58" s="195">
        <v>0</v>
      </c>
      <c r="AG58" s="190">
        <v>0</v>
      </c>
      <c r="AH58" s="203"/>
      <c r="AI58" s="195">
        <v>0</v>
      </c>
      <c r="AJ58" s="71"/>
    </row>
    <row r="59" spans="1:36" ht="49.95" customHeight="1" x14ac:dyDescent="0.2">
      <c r="A59" s="160"/>
      <c r="B59" s="159" t="s">
        <v>554</v>
      </c>
      <c r="C59" s="203"/>
      <c r="D59" s="161" t="s">
        <v>590</v>
      </c>
      <c r="E59" s="203"/>
      <c r="F59" s="162" t="s">
        <v>571</v>
      </c>
      <c r="G59" s="161"/>
      <c r="H59" s="162" t="s">
        <v>562</v>
      </c>
      <c r="I59" s="161"/>
      <c r="J59" s="186" t="s">
        <v>598</v>
      </c>
      <c r="K59" s="203"/>
      <c r="L59" s="161" t="s">
        <v>118</v>
      </c>
      <c r="M59" s="203"/>
      <c r="N59" s="161" t="s">
        <v>589</v>
      </c>
      <c r="O59" s="203"/>
      <c r="P59" s="203">
        <v>2011</v>
      </c>
      <c r="Q59" s="207" t="s">
        <v>801</v>
      </c>
      <c r="R59" s="203">
        <v>25</v>
      </c>
      <c r="S59" s="203"/>
      <c r="T59" s="179">
        <f>25*80</f>
        <v>2000</v>
      </c>
      <c r="U59" s="203"/>
      <c r="V59" s="190">
        <v>16</v>
      </c>
      <c r="W59" s="203"/>
      <c r="X59" s="195">
        <f>16*90</f>
        <v>1440</v>
      </c>
      <c r="Y59" s="203"/>
      <c r="Z59" s="305">
        <v>0</v>
      </c>
      <c r="AA59" s="203"/>
      <c r="AB59" s="179">
        <v>0</v>
      </c>
      <c r="AC59" s="203"/>
      <c r="AD59" s="190">
        <v>0</v>
      </c>
      <c r="AE59" s="203"/>
      <c r="AF59" s="195">
        <v>0</v>
      </c>
      <c r="AG59" s="190">
        <v>0</v>
      </c>
      <c r="AH59" s="203"/>
      <c r="AI59" s="195">
        <v>0</v>
      </c>
      <c r="AJ59" s="71"/>
    </row>
    <row r="60" spans="1:36" ht="49.95" customHeight="1" x14ac:dyDescent="0.2">
      <c r="A60" s="160"/>
      <c r="B60" s="159" t="s">
        <v>554</v>
      </c>
      <c r="C60" s="203"/>
      <c r="D60" s="161" t="s">
        <v>590</v>
      </c>
      <c r="E60" s="203"/>
      <c r="F60" s="162" t="s">
        <v>648</v>
      </c>
      <c r="G60" s="161"/>
      <c r="H60" s="162" t="s">
        <v>562</v>
      </c>
      <c r="I60" s="161"/>
      <c r="J60" s="187">
        <v>50</v>
      </c>
      <c r="K60" s="203"/>
      <c r="L60" s="161" t="s">
        <v>118</v>
      </c>
      <c r="M60" s="203"/>
      <c r="N60" s="161" t="s">
        <v>589</v>
      </c>
      <c r="O60" s="203"/>
      <c r="P60" s="203">
        <v>2011</v>
      </c>
      <c r="Q60" s="207" t="s">
        <v>801</v>
      </c>
      <c r="R60" s="203">
        <v>0</v>
      </c>
      <c r="S60" s="203"/>
      <c r="T60" s="179">
        <v>0</v>
      </c>
      <c r="U60" s="203"/>
      <c r="V60" s="190">
        <v>73</v>
      </c>
      <c r="W60" s="203"/>
      <c r="X60" s="195">
        <f>73*50</f>
        <v>3650</v>
      </c>
      <c r="Y60" s="203"/>
      <c r="Z60" s="305">
        <v>33</v>
      </c>
      <c r="AA60" s="203"/>
      <c r="AB60" s="179">
        <f>33*50</f>
        <v>1650</v>
      </c>
      <c r="AC60" s="203"/>
      <c r="AD60" s="190">
        <v>43</v>
      </c>
      <c r="AE60" s="203"/>
      <c r="AF60" s="195">
        <f>43*50</f>
        <v>2150</v>
      </c>
      <c r="AG60" s="190">
        <v>24</v>
      </c>
      <c r="AH60" s="203"/>
      <c r="AI60" s="195">
        <f>24*50</f>
        <v>1200</v>
      </c>
      <c r="AJ60" s="71"/>
    </row>
    <row r="61" spans="1:36" ht="49.95" customHeight="1" x14ac:dyDescent="0.2">
      <c r="A61" s="160"/>
      <c r="B61" s="159" t="s">
        <v>554</v>
      </c>
      <c r="C61" s="203"/>
      <c r="D61" s="161" t="s">
        <v>590</v>
      </c>
      <c r="E61" s="203"/>
      <c r="F61" s="162" t="s">
        <v>572</v>
      </c>
      <c r="G61" s="161"/>
      <c r="H61" s="162" t="s">
        <v>562</v>
      </c>
      <c r="I61" s="161"/>
      <c r="J61" s="186" t="s">
        <v>649</v>
      </c>
      <c r="K61" s="203"/>
      <c r="L61" s="161" t="s">
        <v>118</v>
      </c>
      <c r="M61" s="203"/>
      <c r="N61" s="161" t="s">
        <v>589</v>
      </c>
      <c r="O61" s="203"/>
      <c r="P61" s="203">
        <v>2011</v>
      </c>
      <c r="Q61" s="207" t="s">
        <v>801</v>
      </c>
      <c r="R61" s="203">
        <v>0</v>
      </c>
      <c r="S61" s="203"/>
      <c r="T61" s="179">
        <v>0</v>
      </c>
      <c r="U61" s="203"/>
      <c r="V61" s="190">
        <v>28</v>
      </c>
      <c r="W61" s="203"/>
      <c r="X61" s="195">
        <f>28*595</f>
        <v>16660</v>
      </c>
      <c r="Y61" s="203"/>
      <c r="Z61" s="305">
        <v>0</v>
      </c>
      <c r="AA61" s="203"/>
      <c r="AB61" s="179">
        <v>0</v>
      </c>
      <c r="AC61" s="203"/>
      <c r="AD61" s="190">
        <v>0</v>
      </c>
      <c r="AE61" s="203">
        <v>0</v>
      </c>
      <c r="AF61" s="195">
        <v>0</v>
      </c>
      <c r="AG61" s="190">
        <v>0</v>
      </c>
      <c r="AH61" s="203"/>
      <c r="AI61" s="195">
        <v>0</v>
      </c>
      <c r="AJ61" s="71"/>
    </row>
    <row r="62" spans="1:36" ht="49.95" customHeight="1" x14ac:dyDescent="0.2">
      <c r="A62" s="160"/>
      <c r="B62" s="159" t="s">
        <v>554</v>
      </c>
      <c r="C62" s="203"/>
      <c r="D62" s="161" t="s">
        <v>590</v>
      </c>
      <c r="E62" s="203"/>
      <c r="F62" s="162" t="s">
        <v>650</v>
      </c>
      <c r="G62" s="161"/>
      <c r="H62" s="162" t="s">
        <v>562</v>
      </c>
      <c r="I62" s="161"/>
      <c r="J62" s="186">
        <v>220</v>
      </c>
      <c r="K62" s="203"/>
      <c r="L62" s="161" t="s">
        <v>118</v>
      </c>
      <c r="M62" s="203"/>
      <c r="N62" s="161" t="s">
        <v>589</v>
      </c>
      <c r="O62" s="203"/>
      <c r="P62" s="203">
        <v>2011</v>
      </c>
      <c r="Q62" s="207" t="s">
        <v>801</v>
      </c>
      <c r="R62" s="203">
        <v>12</v>
      </c>
      <c r="S62" s="203"/>
      <c r="T62" s="179">
        <f>12*220</f>
        <v>2640</v>
      </c>
      <c r="U62" s="203"/>
      <c r="V62" s="190">
        <v>0</v>
      </c>
      <c r="W62" s="203"/>
      <c r="X62" s="195">
        <v>0</v>
      </c>
      <c r="Y62" s="203"/>
      <c r="Z62" s="305">
        <v>0</v>
      </c>
      <c r="AA62" s="203"/>
      <c r="AB62" s="179">
        <v>0</v>
      </c>
      <c r="AC62" s="203"/>
      <c r="AD62" s="190">
        <v>0</v>
      </c>
      <c r="AE62" s="203">
        <v>0</v>
      </c>
      <c r="AF62" s="195">
        <v>0</v>
      </c>
      <c r="AG62" s="190">
        <v>0</v>
      </c>
      <c r="AH62" s="203"/>
      <c r="AI62" s="195">
        <v>0</v>
      </c>
      <c r="AJ62" s="71"/>
    </row>
    <row r="63" spans="1:36" ht="49.95" customHeight="1" x14ac:dyDescent="0.2">
      <c r="A63" s="160"/>
      <c r="B63" s="159" t="s">
        <v>554</v>
      </c>
      <c r="C63" s="203"/>
      <c r="D63" s="161" t="s">
        <v>590</v>
      </c>
      <c r="E63" s="203"/>
      <c r="F63" s="162" t="s">
        <v>652</v>
      </c>
      <c r="G63" s="161"/>
      <c r="H63" s="162" t="s">
        <v>562</v>
      </c>
      <c r="I63" s="161"/>
      <c r="J63" s="187">
        <v>210</v>
      </c>
      <c r="K63" s="203"/>
      <c r="L63" s="161" t="s">
        <v>118</v>
      </c>
      <c r="M63" s="203"/>
      <c r="N63" s="161" t="s">
        <v>589</v>
      </c>
      <c r="O63" s="203"/>
      <c r="P63" s="203">
        <v>2011</v>
      </c>
      <c r="Q63" s="207" t="s">
        <v>801</v>
      </c>
      <c r="R63" s="203">
        <v>0</v>
      </c>
      <c r="S63" s="203"/>
      <c r="T63" s="179">
        <v>0</v>
      </c>
      <c r="U63" s="203"/>
      <c r="V63" s="190">
        <v>19</v>
      </c>
      <c r="W63" s="203"/>
      <c r="X63" s="195">
        <f>19*210</f>
        <v>3990</v>
      </c>
      <c r="Y63" s="203"/>
      <c r="Z63" s="305">
        <v>0</v>
      </c>
      <c r="AA63" s="203"/>
      <c r="AB63" s="179">
        <v>0</v>
      </c>
      <c r="AC63" s="203"/>
      <c r="AD63" s="190">
        <v>0</v>
      </c>
      <c r="AE63" s="203"/>
      <c r="AF63" s="195">
        <v>0</v>
      </c>
      <c r="AG63" s="190">
        <v>0</v>
      </c>
      <c r="AH63" s="203"/>
      <c r="AI63" s="195">
        <v>0</v>
      </c>
      <c r="AJ63" s="71"/>
    </row>
    <row r="64" spans="1:36" ht="49.95" customHeight="1" x14ac:dyDescent="0.2">
      <c r="A64" s="160"/>
      <c r="B64" s="159" t="s">
        <v>554</v>
      </c>
      <c r="C64" s="203"/>
      <c r="D64" s="161" t="s">
        <v>590</v>
      </c>
      <c r="E64" s="203"/>
      <c r="F64" s="162" t="s">
        <v>651</v>
      </c>
      <c r="G64" s="161"/>
      <c r="H64" s="162" t="s">
        <v>562</v>
      </c>
      <c r="I64" s="161"/>
      <c r="J64" s="186" t="s">
        <v>599</v>
      </c>
      <c r="K64" s="203"/>
      <c r="L64" s="161" t="s">
        <v>118</v>
      </c>
      <c r="M64" s="203"/>
      <c r="N64" s="161" t="s">
        <v>589</v>
      </c>
      <c r="O64" s="203"/>
      <c r="P64" s="203">
        <v>2011</v>
      </c>
      <c r="Q64" s="207" t="s">
        <v>801</v>
      </c>
      <c r="R64" s="203">
        <v>44</v>
      </c>
      <c r="S64" s="203"/>
      <c r="T64" s="179">
        <f>44*135</f>
        <v>5940</v>
      </c>
      <c r="U64" s="203"/>
      <c r="V64" s="190">
        <v>13</v>
      </c>
      <c r="W64" s="203"/>
      <c r="X64" s="195">
        <f>13*140</f>
        <v>1820</v>
      </c>
      <c r="Y64" s="203"/>
      <c r="Z64" s="305">
        <v>2</v>
      </c>
      <c r="AA64" s="203"/>
      <c r="AB64" s="179">
        <f>2*45</f>
        <v>90</v>
      </c>
      <c r="AC64" s="203"/>
      <c r="AD64" s="190">
        <v>39</v>
      </c>
      <c r="AE64" s="203"/>
      <c r="AF64" s="195">
        <f>39*140</f>
        <v>5460</v>
      </c>
      <c r="AG64" s="190">
        <v>33</v>
      </c>
      <c r="AH64" s="203"/>
      <c r="AI64" s="195">
        <f>33*140</f>
        <v>4620</v>
      </c>
      <c r="AJ64" s="71"/>
    </row>
    <row r="65" spans="1:36" ht="49.95" customHeight="1" x14ac:dyDescent="0.2">
      <c r="A65" s="160"/>
      <c r="B65" s="159"/>
      <c r="C65" s="203"/>
      <c r="D65" s="161"/>
      <c r="E65" s="203"/>
      <c r="F65" s="162" t="s">
        <v>755</v>
      </c>
      <c r="G65" s="161"/>
      <c r="H65" s="162" t="s">
        <v>562</v>
      </c>
      <c r="I65" s="161"/>
      <c r="J65" s="186">
        <v>300</v>
      </c>
      <c r="K65" s="203"/>
      <c r="L65" s="161" t="s">
        <v>118</v>
      </c>
      <c r="M65" s="203"/>
      <c r="N65" s="161" t="s">
        <v>589</v>
      </c>
      <c r="O65" s="203"/>
      <c r="P65" s="203">
        <v>2013</v>
      </c>
      <c r="Q65" s="207" t="s">
        <v>801</v>
      </c>
      <c r="R65" s="203">
        <v>0</v>
      </c>
      <c r="S65" s="203"/>
      <c r="T65" s="179">
        <v>0</v>
      </c>
      <c r="U65" s="203"/>
      <c r="V65" s="190">
        <v>0</v>
      </c>
      <c r="W65" s="203"/>
      <c r="X65" s="195">
        <v>0</v>
      </c>
      <c r="Y65" s="203"/>
      <c r="Z65" s="305">
        <v>0</v>
      </c>
      <c r="AA65" s="203"/>
      <c r="AB65" s="179">
        <v>0</v>
      </c>
      <c r="AC65" s="203"/>
      <c r="AD65" s="190">
        <v>23</v>
      </c>
      <c r="AE65" s="203"/>
      <c r="AF65" s="195">
        <f>23*300</f>
        <v>6900</v>
      </c>
      <c r="AG65" s="190">
        <v>15</v>
      </c>
      <c r="AH65" s="203"/>
      <c r="AI65" s="195">
        <f>15*300</f>
        <v>4500</v>
      </c>
      <c r="AJ65" s="71"/>
    </row>
    <row r="66" spans="1:36" ht="49.95" customHeight="1" x14ac:dyDescent="0.2">
      <c r="A66" s="160"/>
      <c r="B66" s="159"/>
      <c r="C66" s="203"/>
      <c r="D66" s="161"/>
      <c r="E66" s="203"/>
      <c r="F66" s="162" t="s">
        <v>756</v>
      </c>
      <c r="G66" s="161"/>
      <c r="H66" s="162" t="s">
        <v>562</v>
      </c>
      <c r="I66" s="161"/>
      <c r="J66" s="186" t="s">
        <v>750</v>
      </c>
      <c r="K66" s="203"/>
      <c r="L66" s="161" t="s">
        <v>118</v>
      </c>
      <c r="M66" s="203"/>
      <c r="N66" s="161" t="s">
        <v>589</v>
      </c>
      <c r="O66" s="203"/>
      <c r="P66" s="203"/>
      <c r="Q66" s="207" t="s">
        <v>801</v>
      </c>
      <c r="R66" s="203">
        <v>0</v>
      </c>
      <c r="S66" s="203"/>
      <c r="T66" s="179">
        <v>0</v>
      </c>
      <c r="U66" s="203"/>
      <c r="V66" s="190">
        <v>0</v>
      </c>
      <c r="W66" s="203"/>
      <c r="X66" s="195">
        <v>0</v>
      </c>
      <c r="Y66" s="203"/>
      <c r="Z66" s="305">
        <v>0</v>
      </c>
      <c r="AA66" s="203"/>
      <c r="AB66" s="179">
        <v>0</v>
      </c>
      <c r="AC66" s="203"/>
      <c r="AD66" s="190">
        <v>0</v>
      </c>
      <c r="AE66" s="203"/>
      <c r="AF66" s="195">
        <v>0</v>
      </c>
      <c r="AG66" s="190">
        <v>0</v>
      </c>
      <c r="AH66" s="203"/>
      <c r="AI66" s="195">
        <v>0</v>
      </c>
      <c r="AJ66" s="71"/>
    </row>
    <row r="67" spans="1:36" ht="49.95" customHeight="1" x14ac:dyDescent="0.2">
      <c r="A67" s="160"/>
      <c r="B67" s="159" t="s">
        <v>554</v>
      </c>
      <c r="C67" s="203"/>
      <c r="D67" s="161" t="s">
        <v>590</v>
      </c>
      <c r="E67" s="203"/>
      <c r="F67" s="162" t="s">
        <v>653</v>
      </c>
      <c r="G67" s="161"/>
      <c r="H67" s="162" t="s">
        <v>562</v>
      </c>
      <c r="I67" s="161"/>
      <c r="J67" s="186" t="s">
        <v>617</v>
      </c>
      <c r="K67" s="203"/>
      <c r="L67" s="161" t="s">
        <v>118</v>
      </c>
      <c r="M67" s="203"/>
      <c r="N67" s="161" t="s">
        <v>589</v>
      </c>
      <c r="O67" s="203"/>
      <c r="P67" s="203">
        <v>2011</v>
      </c>
      <c r="Q67" s="207" t="s">
        <v>801</v>
      </c>
      <c r="R67" s="203">
        <v>0</v>
      </c>
      <c r="S67" s="203"/>
      <c r="T67" s="179">
        <v>0</v>
      </c>
      <c r="U67" s="203"/>
      <c r="V67" s="190">
        <v>0</v>
      </c>
      <c r="W67" s="203"/>
      <c r="X67" s="195">
        <v>0</v>
      </c>
      <c r="Y67" s="203"/>
      <c r="Z67" s="305">
        <v>0</v>
      </c>
      <c r="AA67" s="203"/>
      <c r="AB67" s="179">
        <v>0</v>
      </c>
      <c r="AC67" s="203"/>
      <c r="AD67" s="190">
        <v>0</v>
      </c>
      <c r="AE67" s="203"/>
      <c r="AF67" s="195">
        <v>0</v>
      </c>
      <c r="AG67" s="190">
        <v>0</v>
      </c>
      <c r="AH67" s="203"/>
      <c r="AI67" s="195">
        <v>0</v>
      </c>
      <c r="AJ67" s="71"/>
    </row>
    <row r="68" spans="1:36" ht="49.95" customHeight="1" x14ac:dyDescent="0.2">
      <c r="A68" s="160"/>
      <c r="B68" s="159" t="s">
        <v>554</v>
      </c>
      <c r="C68" s="203"/>
      <c r="D68" s="161" t="s">
        <v>590</v>
      </c>
      <c r="E68" s="203"/>
      <c r="F68" s="162" t="s">
        <v>573</v>
      </c>
      <c r="G68" s="161"/>
      <c r="H68" s="162" t="s">
        <v>562</v>
      </c>
      <c r="I68" s="161"/>
      <c r="J68" s="186">
        <v>135</v>
      </c>
      <c r="K68" s="203"/>
      <c r="L68" s="161" t="s">
        <v>118</v>
      </c>
      <c r="M68" s="203"/>
      <c r="N68" s="161" t="s">
        <v>589</v>
      </c>
      <c r="O68" s="203"/>
      <c r="P68" s="203">
        <v>2011</v>
      </c>
      <c r="Q68" s="207" t="s">
        <v>801</v>
      </c>
      <c r="R68" s="203">
        <v>0</v>
      </c>
      <c r="S68" s="203"/>
      <c r="T68" s="179">
        <v>0</v>
      </c>
      <c r="U68" s="203"/>
      <c r="V68" s="190">
        <v>9</v>
      </c>
      <c r="W68" s="203"/>
      <c r="X68" s="195">
        <f>9*135</f>
        <v>1215</v>
      </c>
      <c r="Y68" s="203"/>
      <c r="Z68" s="305">
        <v>0</v>
      </c>
      <c r="AA68" s="203"/>
      <c r="AB68" s="179">
        <v>0</v>
      </c>
      <c r="AC68" s="203"/>
      <c r="AD68" s="190">
        <v>15</v>
      </c>
      <c r="AE68" s="203"/>
      <c r="AF68" s="195">
        <f>15*150</f>
        <v>2250</v>
      </c>
      <c r="AG68" s="190">
        <v>30</v>
      </c>
      <c r="AH68" s="203"/>
      <c r="AI68" s="195">
        <f>30*150</f>
        <v>4500</v>
      </c>
      <c r="AJ68" s="71"/>
    </row>
    <row r="69" spans="1:36" ht="49.95" customHeight="1" x14ac:dyDescent="0.2">
      <c r="A69" s="160"/>
      <c r="B69" s="159" t="s">
        <v>554</v>
      </c>
      <c r="C69" s="203"/>
      <c r="D69" s="161" t="s">
        <v>590</v>
      </c>
      <c r="E69" s="203"/>
      <c r="F69" s="162" t="s">
        <v>654</v>
      </c>
      <c r="G69" s="161"/>
      <c r="H69" s="162" t="s">
        <v>562</v>
      </c>
      <c r="I69" s="161"/>
      <c r="J69" s="187">
        <v>170</v>
      </c>
      <c r="K69" s="203"/>
      <c r="L69" s="161" t="s">
        <v>118</v>
      </c>
      <c r="M69" s="203"/>
      <c r="N69" s="161" t="s">
        <v>589</v>
      </c>
      <c r="O69" s="203"/>
      <c r="P69" s="203">
        <v>2011</v>
      </c>
      <c r="Q69" s="207" t="s">
        <v>801</v>
      </c>
      <c r="R69" s="203">
        <v>0</v>
      </c>
      <c r="S69" s="203"/>
      <c r="T69" s="179">
        <v>0</v>
      </c>
      <c r="U69" s="203"/>
      <c r="V69" s="190">
        <v>16</v>
      </c>
      <c r="W69" s="203"/>
      <c r="X69" s="195">
        <f>16*170</f>
        <v>2720</v>
      </c>
      <c r="Y69" s="203"/>
      <c r="Z69" s="305">
        <v>23</v>
      </c>
      <c r="AA69" s="203"/>
      <c r="AB69" s="179">
        <f>23*170</f>
        <v>3910</v>
      </c>
      <c r="AC69" s="203"/>
      <c r="AD69" s="190">
        <v>0</v>
      </c>
      <c r="AE69" s="203"/>
      <c r="AF69" s="195">
        <v>0</v>
      </c>
      <c r="AG69" s="190">
        <v>12</v>
      </c>
      <c r="AH69" s="203"/>
      <c r="AI69" s="195">
        <f>12*170</f>
        <v>2040</v>
      </c>
      <c r="AJ69" s="71"/>
    </row>
    <row r="70" spans="1:36" ht="49.95" customHeight="1" x14ac:dyDescent="0.2">
      <c r="A70" s="160"/>
      <c r="B70" s="159" t="s">
        <v>554</v>
      </c>
      <c r="C70" s="203"/>
      <c r="D70" s="161" t="s">
        <v>590</v>
      </c>
      <c r="E70" s="203"/>
      <c r="F70" s="162" t="s">
        <v>574</v>
      </c>
      <c r="G70" s="161"/>
      <c r="H70" s="162" t="s">
        <v>562</v>
      </c>
      <c r="I70" s="161"/>
      <c r="J70" s="186" t="s">
        <v>600</v>
      </c>
      <c r="K70" s="203"/>
      <c r="L70" s="161" t="s">
        <v>118</v>
      </c>
      <c r="M70" s="203"/>
      <c r="N70" s="161" t="s">
        <v>589</v>
      </c>
      <c r="O70" s="203"/>
      <c r="P70" s="203">
        <v>2011</v>
      </c>
      <c r="Q70" s="207" t="s">
        <v>801</v>
      </c>
      <c r="R70" s="203">
        <v>110</v>
      </c>
      <c r="S70" s="203"/>
      <c r="T70" s="179">
        <f>110*225</f>
        <v>24750</v>
      </c>
      <c r="U70" s="203"/>
      <c r="V70" s="190">
        <v>108</v>
      </c>
      <c r="W70" s="203"/>
      <c r="X70" s="195">
        <f>108*250</f>
        <v>27000</v>
      </c>
      <c r="Y70" s="203"/>
      <c r="Z70" s="305">
        <v>97</v>
      </c>
      <c r="AA70" s="203"/>
      <c r="AB70" s="179">
        <f>97*250</f>
        <v>24250</v>
      </c>
      <c r="AC70" s="203"/>
      <c r="AD70" s="190">
        <v>77</v>
      </c>
      <c r="AE70" s="203"/>
      <c r="AF70" s="195">
        <f>77*250</f>
        <v>19250</v>
      </c>
      <c r="AG70" s="190">
        <v>106</v>
      </c>
      <c r="AH70" s="203"/>
      <c r="AI70" s="195">
        <f>106*250</f>
        <v>26500</v>
      </c>
      <c r="AJ70" s="71"/>
    </row>
    <row r="71" spans="1:36" ht="49.95" customHeight="1" x14ac:dyDescent="0.2">
      <c r="A71" s="160"/>
      <c r="B71" s="159" t="s">
        <v>554</v>
      </c>
      <c r="C71" s="203"/>
      <c r="D71" s="161" t="s">
        <v>590</v>
      </c>
      <c r="E71" s="203"/>
      <c r="F71" s="162" t="s">
        <v>655</v>
      </c>
      <c r="G71" s="161"/>
      <c r="H71" s="162" t="s">
        <v>562</v>
      </c>
      <c r="I71" s="161"/>
      <c r="J71" s="186">
        <v>160</v>
      </c>
      <c r="K71" s="203"/>
      <c r="L71" s="161" t="s">
        <v>656</v>
      </c>
      <c r="M71" s="203"/>
      <c r="N71" s="161" t="s">
        <v>589</v>
      </c>
      <c r="O71" s="203"/>
      <c r="P71" s="203">
        <v>2011</v>
      </c>
      <c r="Q71" s="207" t="s">
        <v>801</v>
      </c>
      <c r="R71" s="203">
        <v>0</v>
      </c>
      <c r="S71" s="203"/>
      <c r="T71" s="179">
        <v>0</v>
      </c>
      <c r="U71" s="203"/>
      <c r="V71" s="190">
        <v>14</v>
      </c>
      <c r="W71" s="203"/>
      <c r="X71" s="195">
        <f>14*160</f>
        <v>2240</v>
      </c>
      <c r="Y71" s="203"/>
      <c r="Z71" s="305">
        <v>11</v>
      </c>
      <c r="AA71" s="203"/>
      <c r="AB71" s="179">
        <f>11*160</f>
        <v>1760</v>
      </c>
      <c r="AC71" s="203"/>
      <c r="AD71" s="190">
        <v>0</v>
      </c>
      <c r="AE71" s="203"/>
      <c r="AF71" s="195">
        <v>0</v>
      </c>
      <c r="AG71" s="190">
        <v>0</v>
      </c>
      <c r="AH71" s="203"/>
      <c r="AI71" s="195">
        <v>0</v>
      </c>
      <c r="AJ71" s="71"/>
    </row>
    <row r="72" spans="1:36" ht="49.95" customHeight="1" x14ac:dyDescent="0.2">
      <c r="A72" s="160"/>
      <c r="B72" s="159" t="s">
        <v>554</v>
      </c>
      <c r="C72" s="203"/>
      <c r="D72" s="161" t="s">
        <v>590</v>
      </c>
      <c r="E72" s="203"/>
      <c r="F72" s="162" t="s">
        <v>575</v>
      </c>
      <c r="G72" s="161"/>
      <c r="H72" s="162" t="s">
        <v>562</v>
      </c>
      <c r="I72" s="161"/>
      <c r="J72" s="186">
        <v>95</v>
      </c>
      <c r="K72" s="203"/>
      <c r="L72" s="161" t="s">
        <v>118</v>
      </c>
      <c r="M72" s="203"/>
      <c r="N72" s="161" t="s">
        <v>589</v>
      </c>
      <c r="O72" s="203"/>
      <c r="P72" s="203">
        <v>2011</v>
      </c>
      <c r="Q72" s="207" t="s">
        <v>801</v>
      </c>
      <c r="R72" s="203">
        <v>229</v>
      </c>
      <c r="S72" s="203"/>
      <c r="T72" s="179">
        <f>229*95</f>
        <v>21755</v>
      </c>
      <c r="U72" s="203"/>
      <c r="V72" s="190">
        <v>178</v>
      </c>
      <c r="W72" s="203"/>
      <c r="X72" s="195">
        <f>178*95</f>
        <v>16910</v>
      </c>
      <c r="Y72" s="203"/>
      <c r="Z72" s="305">
        <v>217</v>
      </c>
      <c r="AA72" s="203"/>
      <c r="AB72" s="179">
        <f>217*65</f>
        <v>14105</v>
      </c>
      <c r="AC72" s="203"/>
      <c r="AD72" s="190">
        <v>57</v>
      </c>
      <c r="AE72" s="203"/>
      <c r="AF72" s="195">
        <f>57*65</f>
        <v>3705</v>
      </c>
      <c r="AG72" s="190">
        <v>19</v>
      </c>
      <c r="AH72" s="203"/>
      <c r="AI72" s="195">
        <f>19*65</f>
        <v>1235</v>
      </c>
      <c r="AJ72" s="71"/>
    </row>
    <row r="73" spans="1:36" ht="49.95" customHeight="1" x14ac:dyDescent="0.2">
      <c r="A73" s="160"/>
      <c r="B73" s="159" t="s">
        <v>554</v>
      </c>
      <c r="C73" s="203"/>
      <c r="D73" s="161" t="s">
        <v>590</v>
      </c>
      <c r="E73" s="203"/>
      <c r="F73" s="162" t="s">
        <v>657</v>
      </c>
      <c r="G73" s="161"/>
      <c r="H73" s="162" t="s">
        <v>562</v>
      </c>
      <c r="I73" s="161"/>
      <c r="J73" s="186">
        <v>170</v>
      </c>
      <c r="K73" s="203"/>
      <c r="L73" s="161" t="s">
        <v>118</v>
      </c>
      <c r="M73" s="203"/>
      <c r="N73" s="161" t="s">
        <v>589</v>
      </c>
      <c r="O73" s="203"/>
      <c r="P73" s="203">
        <v>2011</v>
      </c>
      <c r="Q73" s="207" t="s">
        <v>801</v>
      </c>
      <c r="R73" s="203">
        <v>20</v>
      </c>
      <c r="S73" s="203"/>
      <c r="T73" s="179">
        <f>20*170</f>
        <v>3400</v>
      </c>
      <c r="U73" s="203"/>
      <c r="V73" s="190">
        <v>0</v>
      </c>
      <c r="W73" s="203"/>
      <c r="X73" s="195">
        <v>0</v>
      </c>
      <c r="Y73" s="203"/>
      <c r="Z73" s="305">
        <v>23</v>
      </c>
      <c r="AA73" s="203"/>
      <c r="AB73" s="179">
        <f>23*170</f>
        <v>3910</v>
      </c>
      <c r="AC73" s="203"/>
      <c r="AD73" s="190">
        <v>0</v>
      </c>
      <c r="AE73" s="203"/>
      <c r="AF73" s="195">
        <v>0</v>
      </c>
      <c r="AG73" s="190">
        <v>0</v>
      </c>
      <c r="AH73" s="203"/>
      <c r="AI73" s="195">
        <v>0</v>
      </c>
      <c r="AJ73" s="71"/>
    </row>
    <row r="74" spans="1:36" ht="49.95" customHeight="1" x14ac:dyDescent="0.2">
      <c r="A74" s="160"/>
      <c r="B74" s="159" t="s">
        <v>554</v>
      </c>
      <c r="C74" s="203"/>
      <c r="D74" s="161" t="s">
        <v>590</v>
      </c>
      <c r="E74" s="203"/>
      <c r="F74" s="162" t="s">
        <v>576</v>
      </c>
      <c r="G74" s="161"/>
      <c r="H74" s="162" t="s">
        <v>562</v>
      </c>
      <c r="I74" s="161"/>
      <c r="J74" s="186">
        <v>35</v>
      </c>
      <c r="K74" s="203"/>
      <c r="L74" s="161" t="s">
        <v>118</v>
      </c>
      <c r="M74" s="203"/>
      <c r="N74" s="161" t="s">
        <v>589</v>
      </c>
      <c r="O74" s="203"/>
      <c r="P74" s="203">
        <v>2011</v>
      </c>
      <c r="Q74" s="207" t="s">
        <v>801</v>
      </c>
      <c r="R74" s="161">
        <v>66</v>
      </c>
      <c r="S74" s="203"/>
      <c r="T74" s="179">
        <f>66*35</f>
        <v>2310</v>
      </c>
      <c r="U74" s="203"/>
      <c r="V74" s="191">
        <v>0</v>
      </c>
      <c r="W74" s="203"/>
      <c r="X74" s="195">
        <v>0</v>
      </c>
      <c r="Y74" s="203"/>
      <c r="Z74" s="306">
        <v>0</v>
      </c>
      <c r="AA74" s="203"/>
      <c r="AB74" s="179" t="s">
        <v>750</v>
      </c>
      <c r="AC74" s="203"/>
      <c r="AD74" s="191">
        <v>0</v>
      </c>
      <c r="AE74" s="203"/>
      <c r="AF74" s="195">
        <v>0</v>
      </c>
      <c r="AG74" s="190">
        <v>25</v>
      </c>
      <c r="AH74" s="312"/>
      <c r="AI74" s="195">
        <f>(17*55)+(8*35)</f>
        <v>1215</v>
      </c>
      <c r="AJ74" s="71"/>
    </row>
    <row r="75" spans="1:36" ht="49.95" customHeight="1" x14ac:dyDescent="0.2">
      <c r="A75" s="160"/>
      <c r="B75" s="159" t="s">
        <v>554</v>
      </c>
      <c r="C75" s="203"/>
      <c r="D75" s="161" t="s">
        <v>590</v>
      </c>
      <c r="E75" s="203"/>
      <c r="F75" s="162" t="s">
        <v>658</v>
      </c>
      <c r="G75" s="161"/>
      <c r="H75" s="162" t="s">
        <v>562</v>
      </c>
      <c r="I75" s="161"/>
      <c r="J75" s="186">
        <v>50</v>
      </c>
      <c r="K75" s="203"/>
      <c r="L75" s="161" t="s">
        <v>118</v>
      </c>
      <c r="M75" s="203"/>
      <c r="N75" s="161" t="s">
        <v>589</v>
      </c>
      <c r="O75" s="203"/>
      <c r="P75" s="203">
        <v>2011</v>
      </c>
      <c r="Q75" s="207" t="s">
        <v>801</v>
      </c>
      <c r="R75" s="203">
        <v>0</v>
      </c>
      <c r="S75" s="203"/>
      <c r="T75" s="179">
        <v>0</v>
      </c>
      <c r="U75" s="203"/>
      <c r="V75" s="190">
        <v>51</v>
      </c>
      <c r="W75" s="203"/>
      <c r="X75" s="195">
        <f>51*50</f>
        <v>2550</v>
      </c>
      <c r="Y75" s="203"/>
      <c r="Z75" s="305">
        <v>85</v>
      </c>
      <c r="AA75" s="203"/>
      <c r="AB75" s="179">
        <f>85*50</f>
        <v>4250</v>
      </c>
      <c r="AC75" s="203"/>
      <c r="AD75" s="190">
        <v>191</v>
      </c>
      <c r="AE75" s="203"/>
      <c r="AF75" s="195">
        <f>191*50</f>
        <v>9550</v>
      </c>
      <c r="AG75" s="190">
        <v>66</v>
      </c>
      <c r="AH75" s="203"/>
      <c r="AI75" s="195">
        <f>66*50</f>
        <v>3300</v>
      </c>
      <c r="AJ75" s="71"/>
    </row>
    <row r="76" spans="1:36" ht="49.95" customHeight="1" x14ac:dyDescent="0.2">
      <c r="A76" s="160"/>
      <c r="B76" s="159"/>
      <c r="C76" s="203"/>
      <c r="D76" s="161"/>
      <c r="E76" s="203"/>
      <c r="F76" s="162" t="s">
        <v>757</v>
      </c>
      <c r="G76" s="161"/>
      <c r="H76" s="162" t="s">
        <v>562</v>
      </c>
      <c r="I76" s="161"/>
      <c r="J76" s="186">
        <v>15</v>
      </c>
      <c r="K76" s="203"/>
      <c r="L76" s="161" t="s">
        <v>118</v>
      </c>
      <c r="M76" s="203"/>
      <c r="N76" s="161" t="s">
        <v>589</v>
      </c>
      <c r="O76" s="203"/>
      <c r="P76" s="203">
        <v>2014</v>
      </c>
      <c r="Q76" s="207" t="s">
        <v>801</v>
      </c>
      <c r="R76" s="203">
        <v>0</v>
      </c>
      <c r="S76" s="203"/>
      <c r="T76" s="179">
        <v>0</v>
      </c>
      <c r="U76" s="203"/>
      <c r="V76" s="190">
        <v>0</v>
      </c>
      <c r="W76" s="203"/>
      <c r="X76" s="195">
        <v>0</v>
      </c>
      <c r="Y76" s="203"/>
      <c r="Z76" s="305">
        <v>0</v>
      </c>
      <c r="AA76" s="203"/>
      <c r="AB76" s="179">
        <v>0</v>
      </c>
      <c r="AC76" s="203"/>
      <c r="AD76" s="190">
        <v>0</v>
      </c>
      <c r="AE76" s="203"/>
      <c r="AF76" s="195">
        <v>0</v>
      </c>
      <c r="AG76" s="190">
        <v>409</v>
      </c>
      <c r="AH76" s="203"/>
      <c r="AI76" s="195">
        <f>409*15</f>
        <v>6135</v>
      </c>
      <c r="AJ76" s="71"/>
    </row>
    <row r="77" spans="1:36" ht="49.95" customHeight="1" x14ac:dyDescent="0.2">
      <c r="A77" s="160"/>
      <c r="B77" s="159" t="s">
        <v>554</v>
      </c>
      <c r="C77" s="203"/>
      <c r="D77" s="161" t="s">
        <v>590</v>
      </c>
      <c r="E77" s="203"/>
      <c r="F77" s="162" t="s">
        <v>577</v>
      </c>
      <c r="G77" s="161"/>
      <c r="H77" s="162" t="s">
        <v>562</v>
      </c>
      <c r="I77" s="161"/>
      <c r="J77" s="186">
        <v>250</v>
      </c>
      <c r="K77" s="203"/>
      <c r="L77" s="161" t="s">
        <v>118</v>
      </c>
      <c r="M77" s="203"/>
      <c r="N77" s="161" t="s">
        <v>589</v>
      </c>
      <c r="O77" s="203"/>
      <c r="P77" s="203">
        <v>2011</v>
      </c>
      <c r="Q77" s="207" t="s">
        <v>801</v>
      </c>
      <c r="R77" s="203">
        <v>109</v>
      </c>
      <c r="S77" s="203"/>
      <c r="T77" s="179">
        <f>109*250</f>
        <v>27250</v>
      </c>
      <c r="U77" s="203"/>
      <c r="V77" s="190">
        <v>118</v>
      </c>
      <c r="W77" s="203"/>
      <c r="X77" s="195">
        <f>118*250</f>
        <v>29500</v>
      </c>
      <c r="Y77" s="203"/>
      <c r="Z77" s="305">
        <v>118</v>
      </c>
      <c r="AA77" s="203"/>
      <c r="AB77" s="179">
        <f>118*250</f>
        <v>29500</v>
      </c>
      <c r="AC77" s="203"/>
      <c r="AD77" s="190">
        <v>142</v>
      </c>
      <c r="AE77" s="203"/>
      <c r="AF77" s="195">
        <f>142*250</f>
        <v>35500</v>
      </c>
      <c r="AG77" s="190">
        <v>115</v>
      </c>
      <c r="AH77" s="203"/>
      <c r="AI77" s="195">
        <f>115*270</f>
        <v>31050</v>
      </c>
      <c r="AJ77" s="71"/>
    </row>
    <row r="78" spans="1:36" ht="49.95" customHeight="1" x14ac:dyDescent="0.2">
      <c r="A78" s="160"/>
      <c r="B78" s="159" t="s">
        <v>554</v>
      </c>
      <c r="C78" s="203"/>
      <c r="D78" s="161" t="s">
        <v>590</v>
      </c>
      <c r="E78" s="203"/>
      <c r="F78" s="162" t="s">
        <v>578</v>
      </c>
      <c r="G78" s="161"/>
      <c r="H78" s="162" t="s">
        <v>562</v>
      </c>
      <c r="I78" s="161"/>
      <c r="J78" s="186">
        <v>60</v>
      </c>
      <c r="K78" s="203"/>
      <c r="L78" s="161" t="s">
        <v>118</v>
      </c>
      <c r="M78" s="203"/>
      <c r="N78" s="161" t="s">
        <v>589</v>
      </c>
      <c r="O78" s="203"/>
      <c r="P78" s="203">
        <v>2011</v>
      </c>
      <c r="Q78" s="207" t="s">
        <v>801</v>
      </c>
      <c r="R78" s="203">
        <v>15</v>
      </c>
      <c r="S78" s="203"/>
      <c r="T78" s="179">
        <f>15*60</f>
        <v>900</v>
      </c>
      <c r="U78" s="203"/>
      <c r="V78" s="190">
        <v>18</v>
      </c>
      <c r="W78" s="203"/>
      <c r="X78" s="195">
        <f>18*60</f>
        <v>1080</v>
      </c>
      <c r="Y78" s="203"/>
      <c r="Z78" s="305">
        <v>14</v>
      </c>
      <c r="AA78" s="203"/>
      <c r="AB78" s="179">
        <f>14*60</f>
        <v>840</v>
      </c>
      <c r="AC78" s="203"/>
      <c r="AD78" s="190">
        <v>26</v>
      </c>
      <c r="AE78" s="203"/>
      <c r="AF78" s="195">
        <f>26*60</f>
        <v>1560</v>
      </c>
      <c r="AG78" s="190">
        <v>30</v>
      </c>
      <c r="AH78" s="203"/>
      <c r="AI78" s="195">
        <f>(21*60)+500</f>
        <v>1760</v>
      </c>
      <c r="AJ78" s="71"/>
    </row>
    <row r="79" spans="1:36" ht="49.95" customHeight="1" x14ac:dyDescent="0.2">
      <c r="A79" s="160"/>
      <c r="B79" s="159" t="s">
        <v>554</v>
      </c>
      <c r="C79" s="203"/>
      <c r="D79" s="161" t="s">
        <v>590</v>
      </c>
      <c r="E79" s="203"/>
      <c r="F79" s="162" t="s">
        <v>659</v>
      </c>
      <c r="G79" s="161"/>
      <c r="H79" s="162" t="s">
        <v>562</v>
      </c>
      <c r="I79" s="161"/>
      <c r="J79" s="186" t="s">
        <v>660</v>
      </c>
      <c r="K79" s="203"/>
      <c r="L79" s="161" t="s">
        <v>118</v>
      </c>
      <c r="M79" s="203"/>
      <c r="N79" s="161" t="s">
        <v>589</v>
      </c>
      <c r="O79" s="203"/>
      <c r="P79" s="203">
        <v>2011</v>
      </c>
      <c r="Q79" s="207" t="s">
        <v>801</v>
      </c>
      <c r="R79" s="203">
        <v>13</v>
      </c>
      <c r="S79" s="203"/>
      <c r="T79" s="179">
        <f>13*90</f>
        <v>1170</v>
      </c>
      <c r="U79" s="203"/>
      <c r="V79" s="190">
        <v>8</v>
      </c>
      <c r="W79" s="203"/>
      <c r="X79" s="195">
        <f>8*95</f>
        <v>760</v>
      </c>
      <c r="Y79" s="203"/>
      <c r="Z79" s="305">
        <v>16</v>
      </c>
      <c r="AA79" s="203"/>
      <c r="AB79" s="179">
        <f>16*95</f>
        <v>1520</v>
      </c>
      <c r="AC79" s="203"/>
      <c r="AD79" s="190">
        <v>16</v>
      </c>
      <c r="AE79" s="203"/>
      <c r="AF79" s="195">
        <f>16*95</f>
        <v>1520</v>
      </c>
      <c r="AG79" s="190">
        <v>13</v>
      </c>
      <c r="AH79" s="203"/>
      <c r="AI79" s="195">
        <f>13*95</f>
        <v>1235</v>
      </c>
      <c r="AJ79" s="71"/>
    </row>
    <row r="80" spans="1:36" ht="49.95" customHeight="1" x14ac:dyDescent="0.2">
      <c r="A80" s="160"/>
      <c r="B80" s="159" t="s">
        <v>554</v>
      </c>
      <c r="C80" s="203"/>
      <c r="D80" s="161" t="s">
        <v>590</v>
      </c>
      <c r="E80" s="203"/>
      <c r="F80" s="162" t="s">
        <v>579</v>
      </c>
      <c r="G80" s="161"/>
      <c r="H80" s="162" t="s">
        <v>562</v>
      </c>
      <c r="I80" s="161"/>
      <c r="J80" s="186" t="s">
        <v>601</v>
      </c>
      <c r="K80" s="203"/>
      <c r="L80" s="161" t="s">
        <v>118</v>
      </c>
      <c r="M80" s="203"/>
      <c r="N80" s="161" t="s">
        <v>589</v>
      </c>
      <c r="O80" s="203"/>
      <c r="P80" s="203">
        <v>2011</v>
      </c>
      <c r="Q80" s="207" t="s">
        <v>801</v>
      </c>
      <c r="R80" s="203">
        <v>148</v>
      </c>
      <c r="S80" s="203"/>
      <c r="T80" s="179">
        <f>148*70</f>
        <v>10360</v>
      </c>
      <c r="U80" s="203"/>
      <c r="V80" s="190">
        <v>97</v>
      </c>
      <c r="W80" s="203"/>
      <c r="X80" s="195">
        <f>97*75</f>
        <v>7275</v>
      </c>
      <c r="Y80" s="203"/>
      <c r="Z80" s="305">
        <v>102</v>
      </c>
      <c r="AA80" s="203"/>
      <c r="AB80" s="179">
        <f>102*75</f>
        <v>7650</v>
      </c>
      <c r="AC80" s="203"/>
      <c r="AD80" s="190">
        <v>97</v>
      </c>
      <c r="AE80" s="203"/>
      <c r="AF80" s="195">
        <f>97*75</f>
        <v>7275</v>
      </c>
      <c r="AG80" s="190">
        <v>101</v>
      </c>
      <c r="AH80" s="203"/>
      <c r="AI80" s="195">
        <f>101*75</f>
        <v>7575</v>
      </c>
      <c r="AJ80" s="71"/>
    </row>
    <row r="81" spans="1:36" ht="49.95" customHeight="1" x14ac:dyDescent="0.2">
      <c r="A81" s="160"/>
      <c r="B81" s="159" t="s">
        <v>554</v>
      </c>
      <c r="C81" s="203"/>
      <c r="D81" s="161" t="s">
        <v>590</v>
      </c>
      <c r="E81" s="203"/>
      <c r="F81" s="162" t="s">
        <v>580</v>
      </c>
      <c r="G81" s="161"/>
      <c r="H81" s="162" t="s">
        <v>562</v>
      </c>
      <c r="I81" s="161"/>
      <c r="J81" s="186" t="s">
        <v>602</v>
      </c>
      <c r="K81" s="203"/>
      <c r="L81" s="161" t="s">
        <v>118</v>
      </c>
      <c r="M81" s="203"/>
      <c r="N81" s="161" t="s">
        <v>589</v>
      </c>
      <c r="O81" s="203"/>
      <c r="P81" s="203">
        <v>2011</v>
      </c>
      <c r="Q81" s="207" t="s">
        <v>801</v>
      </c>
      <c r="R81" s="203">
        <v>716</v>
      </c>
      <c r="S81" s="203"/>
      <c r="T81" s="179">
        <f>716*140</f>
        <v>100240</v>
      </c>
      <c r="U81" s="203"/>
      <c r="V81" s="190">
        <v>690</v>
      </c>
      <c r="W81" s="203"/>
      <c r="X81" s="195">
        <f>690*145</f>
        <v>100050</v>
      </c>
      <c r="Y81" s="203"/>
      <c r="Z81" s="305">
        <v>730</v>
      </c>
      <c r="AA81" s="203"/>
      <c r="AB81" s="179">
        <f>730*145</f>
        <v>105850</v>
      </c>
      <c r="AC81" s="203"/>
      <c r="AD81" s="190">
        <v>774</v>
      </c>
      <c r="AE81" s="203"/>
      <c r="AF81" s="195">
        <f>774*145</f>
        <v>112230</v>
      </c>
      <c r="AG81" s="190">
        <v>739</v>
      </c>
      <c r="AH81" s="203"/>
      <c r="AI81" s="195">
        <f>739*160</f>
        <v>118240</v>
      </c>
      <c r="AJ81" s="71"/>
    </row>
    <row r="82" spans="1:36" ht="49.95" customHeight="1" x14ac:dyDescent="0.2">
      <c r="A82" s="160"/>
      <c r="B82" s="159" t="s">
        <v>554</v>
      </c>
      <c r="C82" s="203"/>
      <c r="D82" s="161" t="s">
        <v>590</v>
      </c>
      <c r="E82" s="203"/>
      <c r="F82" s="162" t="s">
        <v>581</v>
      </c>
      <c r="G82" s="161"/>
      <c r="H82" s="162" t="s">
        <v>562</v>
      </c>
      <c r="I82" s="161"/>
      <c r="J82" s="186">
        <v>85</v>
      </c>
      <c r="K82" s="203"/>
      <c r="L82" s="161" t="s">
        <v>118</v>
      </c>
      <c r="M82" s="203"/>
      <c r="N82" s="161" t="s">
        <v>589</v>
      </c>
      <c r="O82" s="203"/>
      <c r="P82" s="203">
        <v>2011</v>
      </c>
      <c r="Q82" s="207" t="s">
        <v>801</v>
      </c>
      <c r="R82" s="203">
        <v>0</v>
      </c>
      <c r="S82" s="203"/>
      <c r="T82" s="179">
        <v>0</v>
      </c>
      <c r="U82" s="203"/>
      <c r="V82" s="190">
        <v>7</v>
      </c>
      <c r="W82" s="203"/>
      <c r="X82" s="195">
        <f>7*85</f>
        <v>595</v>
      </c>
      <c r="Y82" s="203"/>
      <c r="Z82" s="305">
        <v>0</v>
      </c>
      <c r="AA82" s="203"/>
      <c r="AB82" s="179">
        <v>0</v>
      </c>
      <c r="AC82" s="203"/>
      <c r="AD82" s="190">
        <v>0</v>
      </c>
      <c r="AE82" s="203"/>
      <c r="AF82" s="195">
        <v>0</v>
      </c>
      <c r="AG82" s="190">
        <v>0</v>
      </c>
      <c r="AH82" s="203"/>
      <c r="AI82" s="195">
        <v>0</v>
      </c>
      <c r="AJ82" s="71"/>
    </row>
    <row r="83" spans="1:36" s="58" customFormat="1" ht="24" customHeight="1" x14ac:dyDescent="0.2">
      <c r="A83" s="160"/>
      <c r="B83" s="159" t="s">
        <v>554</v>
      </c>
      <c r="C83" s="203"/>
      <c r="D83" s="161" t="s">
        <v>590</v>
      </c>
      <c r="E83" s="203"/>
      <c r="F83" s="162" t="s">
        <v>661</v>
      </c>
      <c r="G83" s="161"/>
      <c r="H83" s="162" t="s">
        <v>562</v>
      </c>
      <c r="I83" s="161"/>
      <c r="J83" s="186">
        <v>85</v>
      </c>
      <c r="K83" s="203"/>
      <c r="L83" s="161" t="s">
        <v>118</v>
      </c>
      <c r="M83" s="203"/>
      <c r="N83" s="161" t="s">
        <v>589</v>
      </c>
      <c r="O83" s="203"/>
      <c r="P83" s="203">
        <v>2011</v>
      </c>
      <c r="Q83" s="207" t="s">
        <v>801</v>
      </c>
      <c r="R83" s="203">
        <v>0</v>
      </c>
      <c r="S83" s="203"/>
      <c r="T83" s="179">
        <v>0</v>
      </c>
      <c r="U83" s="203"/>
      <c r="V83" s="190">
        <v>10</v>
      </c>
      <c r="W83" s="203"/>
      <c r="X83" s="195">
        <f>10*85</f>
        <v>850</v>
      </c>
      <c r="Y83" s="203"/>
      <c r="Z83" s="305">
        <v>0</v>
      </c>
      <c r="AA83" s="203"/>
      <c r="AB83" s="179">
        <v>0</v>
      </c>
      <c r="AC83" s="203"/>
      <c r="AD83" s="190">
        <v>0</v>
      </c>
      <c r="AE83" s="203"/>
      <c r="AF83" s="195">
        <v>0</v>
      </c>
      <c r="AG83" s="190">
        <v>0</v>
      </c>
      <c r="AH83" s="203"/>
      <c r="AI83" s="195">
        <v>0</v>
      </c>
      <c r="AJ83" s="71"/>
    </row>
    <row r="84" spans="1:36" s="32" customFormat="1" ht="22.8" x14ac:dyDescent="0.2">
      <c r="A84" s="160"/>
      <c r="B84" s="159" t="s">
        <v>554</v>
      </c>
      <c r="C84" s="203"/>
      <c r="D84" s="161" t="s">
        <v>590</v>
      </c>
      <c r="E84" s="203"/>
      <c r="F84" s="162" t="s">
        <v>662</v>
      </c>
      <c r="G84" s="161"/>
      <c r="H84" s="162" t="s">
        <v>562</v>
      </c>
      <c r="I84" s="161"/>
      <c r="J84" s="186">
        <v>85</v>
      </c>
      <c r="K84" s="203"/>
      <c r="L84" s="161" t="s">
        <v>118</v>
      </c>
      <c r="M84" s="203"/>
      <c r="N84" s="161" t="s">
        <v>589</v>
      </c>
      <c r="O84" s="203"/>
      <c r="P84" s="203">
        <v>2011</v>
      </c>
      <c r="Q84" s="207" t="s">
        <v>801</v>
      </c>
      <c r="R84" s="203">
        <v>0</v>
      </c>
      <c r="S84" s="203"/>
      <c r="T84" s="179">
        <v>0</v>
      </c>
      <c r="U84" s="203"/>
      <c r="V84" s="190">
        <v>14</v>
      </c>
      <c r="W84" s="203"/>
      <c r="X84" s="195">
        <f>14*85</f>
        <v>1190</v>
      </c>
      <c r="Y84" s="203"/>
      <c r="Z84" s="305">
        <v>0</v>
      </c>
      <c r="AA84" s="203"/>
      <c r="AB84" s="179">
        <v>0</v>
      </c>
      <c r="AC84" s="203"/>
      <c r="AD84" s="190">
        <v>0</v>
      </c>
      <c r="AE84" s="203"/>
      <c r="AF84" s="195">
        <v>0</v>
      </c>
      <c r="AG84" s="190">
        <v>0</v>
      </c>
      <c r="AH84" s="203"/>
      <c r="AI84" s="195">
        <v>0</v>
      </c>
      <c r="AJ84" s="71"/>
    </row>
    <row r="85" spans="1:36" s="210" customFormat="1" ht="19.8" customHeight="1" x14ac:dyDescent="0.2">
      <c r="A85" s="160"/>
      <c r="B85" s="159" t="s">
        <v>554</v>
      </c>
      <c r="C85" s="203"/>
      <c r="D85" s="161" t="s">
        <v>590</v>
      </c>
      <c r="E85" s="203"/>
      <c r="F85" s="162" t="s">
        <v>663</v>
      </c>
      <c r="G85" s="161"/>
      <c r="H85" s="162" t="s">
        <v>562</v>
      </c>
      <c r="I85" s="161"/>
      <c r="J85" s="186">
        <v>85</v>
      </c>
      <c r="K85" s="203"/>
      <c r="L85" s="161" t="s">
        <v>118</v>
      </c>
      <c r="M85" s="203"/>
      <c r="N85" s="161" t="s">
        <v>589</v>
      </c>
      <c r="O85" s="203"/>
      <c r="P85" s="203">
        <v>2011</v>
      </c>
      <c r="Q85" s="207" t="s">
        <v>801</v>
      </c>
      <c r="R85" s="203">
        <v>0</v>
      </c>
      <c r="S85" s="203"/>
      <c r="T85" s="179">
        <v>0</v>
      </c>
      <c r="U85" s="203"/>
      <c r="V85" s="190">
        <v>13</v>
      </c>
      <c r="W85" s="203"/>
      <c r="X85" s="195">
        <f>13*85</f>
        <v>1105</v>
      </c>
      <c r="Y85" s="203"/>
      <c r="Z85" s="305">
        <v>0</v>
      </c>
      <c r="AA85" s="203"/>
      <c r="AB85" s="179">
        <v>0</v>
      </c>
      <c r="AC85" s="203"/>
      <c r="AD85" s="190">
        <v>0</v>
      </c>
      <c r="AE85" s="203"/>
      <c r="AF85" s="195">
        <v>0</v>
      </c>
      <c r="AG85" s="190">
        <v>0</v>
      </c>
      <c r="AH85" s="203"/>
      <c r="AI85" s="195">
        <v>0</v>
      </c>
      <c r="AJ85" s="71"/>
    </row>
    <row r="86" spans="1:36" s="32" customFormat="1" ht="22.8" x14ac:dyDescent="0.2">
      <c r="A86" s="160"/>
      <c r="B86" s="159" t="s">
        <v>554</v>
      </c>
      <c r="C86" s="203"/>
      <c r="D86" s="161" t="s">
        <v>590</v>
      </c>
      <c r="E86" s="203"/>
      <c r="F86" s="162" t="s">
        <v>664</v>
      </c>
      <c r="G86" s="161"/>
      <c r="H86" s="162" t="s">
        <v>562</v>
      </c>
      <c r="I86" s="161"/>
      <c r="J86" s="186" t="s">
        <v>665</v>
      </c>
      <c r="K86" s="203"/>
      <c r="L86" s="161" t="s">
        <v>118</v>
      </c>
      <c r="M86" s="203"/>
      <c r="N86" s="161" t="s">
        <v>589</v>
      </c>
      <c r="O86" s="203"/>
      <c r="P86" s="203">
        <v>2011</v>
      </c>
      <c r="Q86" s="207" t="s">
        <v>801</v>
      </c>
      <c r="R86" s="203">
        <v>34</v>
      </c>
      <c r="S86" s="203"/>
      <c r="T86" s="179">
        <f>34*95</f>
        <v>3230</v>
      </c>
      <c r="U86" s="203"/>
      <c r="V86" s="191">
        <v>16</v>
      </c>
      <c r="W86" s="203"/>
      <c r="X86" s="195">
        <f>(1*25)+(1*70)+(14*95)</f>
        <v>1425</v>
      </c>
      <c r="Y86" s="203"/>
      <c r="Z86" s="305">
        <v>0</v>
      </c>
      <c r="AA86" s="203"/>
      <c r="AB86" s="179">
        <v>0</v>
      </c>
      <c r="AC86" s="203"/>
      <c r="AD86" s="191">
        <v>0</v>
      </c>
      <c r="AE86" s="203"/>
      <c r="AF86" s="195">
        <v>0</v>
      </c>
      <c r="AG86" s="191">
        <v>0</v>
      </c>
      <c r="AH86" s="203"/>
      <c r="AI86" s="195">
        <v>0</v>
      </c>
      <c r="AJ86" s="71"/>
    </row>
    <row r="87" spans="1:36" s="32" customFormat="1" ht="22.8" x14ac:dyDescent="0.2">
      <c r="A87" s="160"/>
      <c r="B87" s="159" t="s">
        <v>554</v>
      </c>
      <c r="C87" s="203"/>
      <c r="D87" s="161" t="s">
        <v>590</v>
      </c>
      <c r="E87" s="203"/>
      <c r="F87" s="162" t="s">
        <v>582</v>
      </c>
      <c r="G87" s="161"/>
      <c r="H87" s="162" t="s">
        <v>562</v>
      </c>
      <c r="I87" s="161"/>
      <c r="J87" s="186">
        <v>85</v>
      </c>
      <c r="K87" s="203"/>
      <c r="L87" s="161" t="s">
        <v>118</v>
      </c>
      <c r="M87" s="203"/>
      <c r="N87" s="161" t="s">
        <v>589</v>
      </c>
      <c r="O87" s="203"/>
      <c r="P87" s="203">
        <v>2011</v>
      </c>
      <c r="Q87" s="207" t="s">
        <v>801</v>
      </c>
      <c r="R87" s="203">
        <v>0</v>
      </c>
      <c r="S87" s="203"/>
      <c r="T87" s="179">
        <v>0</v>
      </c>
      <c r="U87" s="203"/>
      <c r="V87" s="190">
        <v>13</v>
      </c>
      <c r="W87" s="203"/>
      <c r="X87" s="195">
        <f>13*85</f>
        <v>1105</v>
      </c>
      <c r="Y87" s="203"/>
      <c r="Z87" s="305">
        <v>0</v>
      </c>
      <c r="AA87" s="203"/>
      <c r="AB87" s="179">
        <v>0</v>
      </c>
      <c r="AC87" s="203"/>
      <c r="AD87" s="190">
        <v>0</v>
      </c>
      <c r="AE87" s="203"/>
      <c r="AF87" s="195">
        <v>0</v>
      </c>
      <c r="AG87" s="190">
        <v>0</v>
      </c>
      <c r="AH87" s="203"/>
      <c r="AI87" s="195">
        <v>0</v>
      </c>
      <c r="AJ87" s="71"/>
    </row>
    <row r="88" spans="1:36" s="32" customFormat="1" ht="13.2" x14ac:dyDescent="0.25">
      <c r="A88" s="180"/>
      <c r="B88" s="341" t="s">
        <v>591</v>
      </c>
      <c r="C88" s="342"/>
      <c r="D88" s="342"/>
      <c r="E88" s="181"/>
      <c r="F88" s="182"/>
      <c r="G88" s="183"/>
      <c r="H88" s="182"/>
      <c r="I88" s="183"/>
      <c r="J88" s="183"/>
      <c r="K88" s="181"/>
      <c r="L88" s="183"/>
      <c r="M88" s="181"/>
      <c r="N88" s="181"/>
      <c r="O88" s="181"/>
      <c r="P88" s="181"/>
      <c r="Q88" s="300"/>
      <c r="R88" s="181">
        <f>SUM(R2:R87)</f>
        <v>2605</v>
      </c>
      <c r="S88" s="181"/>
      <c r="T88" s="313">
        <f>SUM(T2:T87)</f>
        <v>1172700</v>
      </c>
      <c r="U88" s="181"/>
      <c r="V88" s="181">
        <f>SUM(V2:V87)</f>
        <v>2553</v>
      </c>
      <c r="W88" s="181"/>
      <c r="X88" s="313">
        <f>SUM(X2:X87)</f>
        <v>1163745</v>
      </c>
      <c r="Y88" s="181"/>
      <c r="Z88" s="181">
        <f>SUM(Z2:Z87)</f>
        <v>2477</v>
      </c>
      <c r="AA88" s="181"/>
      <c r="AB88" s="313">
        <f>SUM(AB2:AB87)</f>
        <v>1170690</v>
      </c>
      <c r="AC88" s="181"/>
      <c r="AD88" s="181">
        <f>SUM(AD2:AD87)</f>
        <v>2547</v>
      </c>
      <c r="AE88" s="181"/>
      <c r="AF88" s="313">
        <f>SUM(AF2:AF87)</f>
        <v>1317380</v>
      </c>
      <c r="AG88" s="181">
        <f>SUM(AG2:AG87)</f>
        <v>2704</v>
      </c>
      <c r="AH88" s="181"/>
      <c r="AI88" s="313">
        <f>SUM(AI2:AI87)</f>
        <v>1293026.21</v>
      </c>
      <c r="AJ88" s="71"/>
    </row>
    <row r="89" spans="1:36" s="32" customFormat="1" x14ac:dyDescent="0.2">
      <c r="A89" s="163"/>
      <c r="B89" s="350" t="s">
        <v>799</v>
      </c>
      <c r="C89" s="350"/>
      <c r="D89" s="350"/>
      <c r="E89" s="350"/>
      <c r="F89" s="350"/>
      <c r="G89" s="350"/>
      <c r="H89" s="350"/>
      <c r="I89" s="165"/>
      <c r="J89" s="165"/>
      <c r="K89" s="166"/>
      <c r="L89" s="165"/>
      <c r="M89" s="166"/>
      <c r="N89" s="166"/>
      <c r="O89" s="166"/>
      <c r="P89" s="166"/>
      <c r="Q89" s="216"/>
      <c r="R89" s="166"/>
      <c r="S89" s="166"/>
      <c r="T89" s="175"/>
      <c r="U89" s="166"/>
      <c r="V89" s="166"/>
      <c r="W89" s="166"/>
      <c r="X89" s="166"/>
      <c r="Y89" s="166"/>
      <c r="Z89" s="196"/>
      <c r="AA89" s="166"/>
      <c r="AB89" s="175"/>
      <c r="AC89" s="166"/>
      <c r="AD89" s="166"/>
      <c r="AE89" s="166"/>
      <c r="AF89" s="166"/>
      <c r="AG89" s="166"/>
      <c r="AH89" s="166"/>
      <c r="AI89" s="166"/>
    </row>
    <row r="90" spans="1:36" s="32" customFormat="1" x14ac:dyDescent="0.2">
      <c r="A90" s="211"/>
      <c r="B90" s="210"/>
      <c r="C90" s="210"/>
      <c r="D90" s="212"/>
      <c r="E90" s="213"/>
      <c r="F90" s="214"/>
      <c r="G90" s="212"/>
      <c r="H90" s="214"/>
      <c r="I90" s="212"/>
      <c r="J90" s="212"/>
      <c r="K90" s="213"/>
      <c r="L90" s="213"/>
      <c r="M90" s="213"/>
      <c r="N90" s="213"/>
      <c r="O90" s="213"/>
      <c r="P90" s="213"/>
      <c r="Q90" s="216"/>
      <c r="R90" s="213"/>
      <c r="S90" s="213"/>
      <c r="T90" s="215"/>
      <c r="U90" s="213"/>
      <c r="V90" s="213"/>
      <c r="W90" s="213"/>
      <c r="X90" s="213"/>
      <c r="Y90" s="213"/>
      <c r="Z90" s="197"/>
      <c r="AA90" s="213"/>
      <c r="AB90" s="215"/>
      <c r="AC90" s="213"/>
      <c r="AD90" s="213"/>
      <c r="AE90" s="213"/>
      <c r="AF90" s="213"/>
      <c r="AG90" s="213"/>
      <c r="AH90" s="213"/>
      <c r="AI90" s="213"/>
    </row>
    <row r="91" spans="1:36" s="32" customFormat="1" x14ac:dyDescent="0.2">
      <c r="A91" s="163"/>
      <c r="B91" s="164"/>
      <c r="C91" s="163"/>
      <c r="D91" s="165"/>
      <c r="E91" s="166"/>
      <c r="F91" s="167"/>
      <c r="G91" s="165"/>
      <c r="H91" s="167"/>
      <c r="I91" s="165"/>
      <c r="J91" s="165"/>
      <c r="K91" s="166"/>
      <c r="L91" s="165"/>
      <c r="M91" s="166"/>
      <c r="N91" s="166"/>
      <c r="O91" s="166"/>
      <c r="P91" s="166"/>
      <c r="Q91" s="216"/>
      <c r="R91" s="166"/>
      <c r="S91" s="166"/>
      <c r="T91" s="175"/>
      <c r="U91" s="166"/>
      <c r="V91" s="166"/>
      <c r="W91" s="166"/>
      <c r="X91" s="166"/>
      <c r="Y91" s="166"/>
      <c r="Z91" s="196"/>
      <c r="AA91" s="166"/>
      <c r="AB91" s="175"/>
      <c r="AC91" s="166"/>
      <c r="AD91" s="166"/>
      <c r="AE91" s="166"/>
      <c r="AF91" s="166"/>
      <c r="AG91" s="166"/>
      <c r="AH91" s="166"/>
      <c r="AI91" s="166"/>
    </row>
    <row r="92" spans="1:36" s="32" customFormat="1" x14ac:dyDescent="0.2">
      <c r="A92" s="163"/>
      <c r="B92" s="164"/>
      <c r="C92" s="163"/>
      <c r="D92" s="165"/>
      <c r="E92" s="166"/>
      <c r="F92" s="167"/>
      <c r="G92" s="165"/>
      <c r="H92" s="167"/>
      <c r="I92" s="165"/>
      <c r="J92" s="165"/>
      <c r="K92" s="166"/>
      <c r="L92" s="165"/>
      <c r="M92" s="166"/>
      <c r="N92" s="165"/>
      <c r="O92" s="166"/>
      <c r="P92" s="166"/>
      <c r="Q92" s="216"/>
      <c r="R92" s="166"/>
      <c r="S92" s="166"/>
      <c r="T92" s="175"/>
      <c r="U92" s="166"/>
      <c r="V92" s="166"/>
      <c r="W92" s="166"/>
      <c r="X92" s="166"/>
      <c r="Y92" s="166"/>
      <c r="Z92" s="196"/>
      <c r="AA92" s="166"/>
      <c r="AB92" s="175"/>
      <c r="AC92" s="166"/>
      <c r="AD92" s="166"/>
      <c r="AE92" s="166"/>
      <c r="AF92" s="166"/>
      <c r="AG92" s="166"/>
      <c r="AH92" s="166"/>
      <c r="AI92" s="166"/>
    </row>
    <row r="93" spans="1:36" s="32" customFormat="1" x14ac:dyDescent="0.2">
      <c r="A93" s="163"/>
      <c r="B93" s="164"/>
      <c r="C93" s="163"/>
      <c r="D93" s="165"/>
      <c r="E93" s="166"/>
      <c r="F93" s="167"/>
      <c r="G93" s="165"/>
      <c r="H93" s="167"/>
      <c r="I93" s="165"/>
      <c r="J93" s="165"/>
      <c r="K93" s="166"/>
      <c r="L93" s="165"/>
      <c r="M93" s="166"/>
      <c r="N93" s="166"/>
      <c r="O93" s="166"/>
      <c r="P93" s="166"/>
      <c r="Q93" s="216"/>
      <c r="R93" s="166"/>
      <c r="S93" s="166"/>
      <c r="T93" s="175"/>
      <c r="U93" s="166"/>
      <c r="V93" s="166"/>
      <c r="W93" s="166"/>
      <c r="X93" s="166"/>
      <c r="Y93" s="166"/>
      <c r="Z93" s="196"/>
      <c r="AA93" s="166"/>
      <c r="AB93" s="175"/>
      <c r="AC93" s="166"/>
      <c r="AD93" s="166"/>
      <c r="AE93" s="166"/>
      <c r="AF93" s="166"/>
      <c r="AG93" s="166"/>
      <c r="AH93" s="166"/>
      <c r="AI93" s="166"/>
    </row>
    <row r="94" spans="1:36" s="32" customFormat="1" x14ac:dyDescent="0.2">
      <c r="A94" s="163"/>
      <c r="B94" s="164"/>
      <c r="C94" s="163"/>
      <c r="D94" s="165"/>
      <c r="E94" s="166"/>
      <c r="F94" s="167"/>
      <c r="G94" s="165"/>
      <c r="H94" s="167"/>
      <c r="I94" s="165"/>
      <c r="J94" s="165"/>
      <c r="K94" s="166"/>
      <c r="L94" s="165"/>
      <c r="M94" s="166"/>
      <c r="N94" s="166"/>
      <c r="O94" s="166"/>
      <c r="P94" s="166"/>
      <c r="Q94" s="216"/>
      <c r="R94" s="166"/>
      <c r="S94" s="166"/>
      <c r="T94" s="175"/>
      <c r="U94" s="166"/>
      <c r="V94" s="166"/>
      <c r="W94" s="166"/>
      <c r="X94" s="166"/>
      <c r="Y94" s="166"/>
      <c r="Z94" s="196"/>
      <c r="AA94" s="166"/>
      <c r="AB94" s="175"/>
      <c r="AC94" s="166"/>
      <c r="AD94" s="166"/>
      <c r="AE94" s="166"/>
      <c r="AF94" s="166"/>
      <c r="AG94" s="166"/>
      <c r="AH94" s="166"/>
      <c r="AI94" s="166"/>
    </row>
    <row r="95" spans="1:36" s="32" customFormat="1" x14ac:dyDescent="0.2">
      <c r="A95" s="163"/>
      <c r="B95" s="164"/>
      <c r="C95" s="163"/>
      <c r="D95" s="165"/>
      <c r="E95" s="166"/>
      <c r="F95" s="167"/>
      <c r="G95" s="165"/>
      <c r="H95" s="167"/>
      <c r="I95" s="165"/>
      <c r="J95" s="165"/>
      <c r="K95" s="166"/>
      <c r="L95" s="165"/>
      <c r="M95" s="166"/>
      <c r="N95" s="166"/>
      <c r="O95" s="166"/>
      <c r="P95" s="166"/>
      <c r="Q95" s="216"/>
      <c r="R95" s="166"/>
      <c r="S95" s="166"/>
      <c r="T95" s="175"/>
      <c r="U95" s="166"/>
      <c r="V95" s="166"/>
      <c r="W95" s="166"/>
      <c r="X95" s="166"/>
      <c r="Y95" s="166"/>
      <c r="Z95" s="196"/>
      <c r="AA95" s="166"/>
      <c r="AB95" s="175"/>
      <c r="AC95" s="166"/>
      <c r="AD95" s="166"/>
      <c r="AE95" s="166"/>
      <c r="AF95" s="166"/>
      <c r="AG95" s="166"/>
      <c r="AH95" s="166"/>
      <c r="AI95" s="166"/>
    </row>
    <row r="96" spans="1:36" s="32" customFormat="1" x14ac:dyDescent="0.2">
      <c r="A96" s="163"/>
      <c r="B96" s="164"/>
      <c r="C96" s="163"/>
      <c r="D96" s="165"/>
      <c r="E96" s="166"/>
      <c r="F96" s="167"/>
      <c r="G96" s="165"/>
      <c r="H96" s="167"/>
      <c r="I96" s="165"/>
      <c r="J96" s="165"/>
      <c r="K96" s="166"/>
      <c r="L96" s="165"/>
      <c r="M96" s="166"/>
      <c r="N96" s="166"/>
      <c r="O96" s="166"/>
      <c r="P96" s="166"/>
      <c r="Q96" s="216"/>
      <c r="R96" s="166"/>
      <c r="S96" s="166"/>
      <c r="T96" s="175"/>
      <c r="U96" s="166"/>
      <c r="V96" s="166"/>
      <c r="W96" s="166"/>
      <c r="X96" s="166"/>
      <c r="Y96" s="166"/>
      <c r="Z96" s="196"/>
      <c r="AA96" s="166"/>
      <c r="AB96" s="175"/>
      <c r="AC96" s="166"/>
      <c r="AD96" s="166"/>
      <c r="AE96" s="166"/>
      <c r="AF96" s="166"/>
      <c r="AG96" s="166"/>
      <c r="AH96" s="166"/>
      <c r="AI96" s="166"/>
    </row>
    <row r="97" spans="1:35" s="32" customFormat="1" x14ac:dyDescent="0.2">
      <c r="A97" s="163"/>
      <c r="B97" s="164"/>
      <c r="C97" s="163"/>
      <c r="D97" s="165"/>
      <c r="E97" s="166"/>
      <c r="F97" s="167"/>
      <c r="G97" s="165"/>
      <c r="H97" s="167"/>
      <c r="I97" s="165"/>
      <c r="J97" s="165"/>
      <c r="K97" s="166"/>
      <c r="L97" s="165"/>
      <c r="M97" s="166"/>
      <c r="N97" s="166"/>
      <c r="O97" s="166"/>
      <c r="P97" s="166"/>
      <c r="Q97" s="216"/>
      <c r="R97" s="166"/>
      <c r="S97" s="166"/>
      <c r="T97" s="175"/>
      <c r="U97" s="166"/>
      <c r="V97" s="166"/>
      <c r="W97" s="166"/>
      <c r="X97" s="166"/>
      <c r="Y97" s="166"/>
      <c r="Z97" s="196"/>
      <c r="AA97" s="166"/>
      <c r="AB97" s="175"/>
      <c r="AC97" s="166"/>
      <c r="AD97" s="166"/>
      <c r="AE97" s="166"/>
      <c r="AF97" s="166"/>
      <c r="AG97" s="166"/>
      <c r="AH97" s="166"/>
      <c r="AI97" s="166"/>
    </row>
    <row r="98" spans="1:35" s="32" customFormat="1" x14ac:dyDescent="0.2">
      <c r="A98" s="163"/>
      <c r="B98" s="164"/>
      <c r="C98" s="163"/>
      <c r="D98" s="165"/>
      <c r="E98" s="166"/>
      <c r="F98" s="167"/>
      <c r="G98" s="165"/>
      <c r="H98" s="167"/>
      <c r="I98" s="165"/>
      <c r="J98" s="165"/>
      <c r="K98" s="166"/>
      <c r="L98" s="165"/>
      <c r="M98" s="166"/>
      <c r="N98" s="166"/>
      <c r="O98" s="166"/>
      <c r="P98" s="166"/>
      <c r="Q98" s="216"/>
      <c r="R98" s="166"/>
      <c r="S98" s="166"/>
      <c r="T98" s="175"/>
      <c r="U98" s="166"/>
      <c r="V98" s="166"/>
      <c r="W98" s="166"/>
      <c r="X98" s="166"/>
      <c r="Y98" s="166"/>
      <c r="Z98" s="196"/>
      <c r="AA98" s="166"/>
      <c r="AB98" s="175"/>
      <c r="AC98" s="166"/>
      <c r="AD98" s="166"/>
      <c r="AE98" s="166"/>
      <c r="AF98" s="166"/>
      <c r="AG98" s="166"/>
      <c r="AH98" s="166"/>
      <c r="AI98" s="166"/>
    </row>
    <row r="99" spans="1:35" s="32" customFormat="1" x14ac:dyDescent="0.2">
      <c r="A99" s="163"/>
      <c r="B99" s="164"/>
      <c r="C99" s="163"/>
      <c r="D99" s="165"/>
      <c r="E99" s="166"/>
      <c r="F99" s="167"/>
      <c r="G99" s="165"/>
      <c r="H99" s="167"/>
      <c r="I99" s="165"/>
      <c r="J99" s="165"/>
      <c r="K99" s="166"/>
      <c r="L99" s="165"/>
      <c r="M99" s="166"/>
      <c r="N99" s="166"/>
      <c r="O99" s="166"/>
      <c r="P99" s="166"/>
      <c r="Q99" s="216"/>
      <c r="R99" s="166"/>
      <c r="S99" s="166"/>
      <c r="T99" s="175"/>
      <c r="U99" s="166"/>
      <c r="V99" s="166"/>
      <c r="W99" s="166"/>
      <c r="X99" s="166"/>
      <c r="Y99" s="166"/>
      <c r="Z99" s="196"/>
      <c r="AA99" s="166"/>
      <c r="AB99" s="175"/>
      <c r="AC99" s="166"/>
      <c r="AD99" s="166"/>
      <c r="AE99" s="166"/>
      <c r="AF99" s="166"/>
      <c r="AG99" s="166"/>
      <c r="AH99" s="166"/>
      <c r="AI99" s="166"/>
    </row>
    <row r="100" spans="1:35" s="32" customFormat="1" x14ac:dyDescent="0.2">
      <c r="A100" s="163"/>
      <c r="B100" s="164"/>
      <c r="C100" s="163"/>
      <c r="D100" s="165"/>
      <c r="E100" s="166"/>
      <c r="F100" s="167"/>
      <c r="G100" s="165"/>
      <c r="H100" s="167"/>
      <c r="I100" s="165"/>
      <c r="J100" s="165"/>
      <c r="K100" s="166"/>
      <c r="L100" s="165"/>
      <c r="M100" s="166"/>
      <c r="N100" s="166"/>
      <c r="O100" s="166"/>
      <c r="P100" s="166"/>
      <c r="Q100" s="216"/>
      <c r="R100" s="166"/>
      <c r="S100" s="166"/>
      <c r="T100" s="175"/>
      <c r="U100" s="166"/>
      <c r="V100" s="166"/>
      <c r="W100" s="166"/>
      <c r="X100" s="166"/>
      <c r="Y100" s="166"/>
      <c r="Z100" s="196"/>
      <c r="AA100" s="166"/>
      <c r="AB100" s="175"/>
      <c r="AC100" s="166"/>
      <c r="AD100" s="166"/>
      <c r="AE100" s="166"/>
      <c r="AF100" s="166"/>
      <c r="AG100" s="166"/>
      <c r="AH100" s="166"/>
      <c r="AI100" s="166"/>
    </row>
    <row r="101" spans="1:35" s="34" customFormat="1" x14ac:dyDescent="0.2">
      <c r="A101" s="163"/>
      <c r="B101" s="164"/>
      <c r="C101" s="163"/>
      <c r="D101" s="165"/>
      <c r="E101" s="166"/>
      <c r="F101" s="167"/>
      <c r="G101" s="165"/>
      <c r="H101" s="167"/>
      <c r="I101" s="165"/>
      <c r="J101" s="165"/>
      <c r="K101" s="166"/>
      <c r="L101" s="165"/>
      <c r="M101" s="166"/>
      <c r="N101" s="166"/>
      <c r="O101" s="166"/>
      <c r="P101" s="166"/>
      <c r="Q101" s="216"/>
      <c r="R101" s="166"/>
      <c r="S101" s="166"/>
      <c r="T101" s="175"/>
      <c r="U101" s="166"/>
      <c r="V101" s="166"/>
      <c r="W101" s="166"/>
      <c r="X101" s="166"/>
      <c r="Y101" s="166"/>
      <c r="Z101" s="196"/>
      <c r="AA101" s="166"/>
      <c r="AB101" s="175"/>
      <c r="AC101" s="166"/>
      <c r="AD101" s="166"/>
      <c r="AE101" s="166"/>
      <c r="AF101" s="166"/>
      <c r="AG101" s="166"/>
      <c r="AH101" s="166"/>
      <c r="AI101" s="166"/>
    </row>
    <row r="102" spans="1:35" s="34" customFormat="1" x14ac:dyDescent="0.2">
      <c r="A102" s="163"/>
      <c r="B102" s="164"/>
      <c r="C102" s="163"/>
      <c r="D102" s="165"/>
      <c r="E102" s="166"/>
      <c r="F102" s="167"/>
      <c r="G102" s="165"/>
      <c r="H102" s="167"/>
      <c r="I102" s="165"/>
      <c r="J102" s="165"/>
      <c r="K102" s="166"/>
      <c r="L102" s="165"/>
      <c r="M102" s="166"/>
      <c r="N102" s="166"/>
      <c r="O102" s="166"/>
      <c r="P102" s="166"/>
      <c r="Q102" s="216"/>
      <c r="R102" s="166"/>
      <c r="S102" s="166"/>
      <c r="T102" s="175"/>
      <c r="U102" s="166"/>
      <c r="V102" s="166"/>
      <c r="W102" s="166"/>
      <c r="X102" s="166"/>
      <c r="Y102" s="166"/>
      <c r="Z102" s="196"/>
      <c r="AA102" s="166"/>
      <c r="AB102" s="175"/>
      <c r="AC102" s="166"/>
      <c r="AD102" s="166"/>
      <c r="AE102" s="166"/>
      <c r="AF102" s="166"/>
      <c r="AG102" s="166"/>
      <c r="AH102" s="166"/>
      <c r="AI102" s="166"/>
    </row>
    <row r="103" spans="1:35" s="32" customFormat="1" x14ac:dyDescent="0.2">
      <c r="A103" s="163"/>
      <c r="B103" s="164"/>
      <c r="C103" s="163"/>
      <c r="D103" s="165"/>
      <c r="E103" s="166"/>
      <c r="F103" s="167"/>
      <c r="G103" s="165"/>
      <c r="H103" s="167"/>
      <c r="I103" s="165"/>
      <c r="J103" s="165"/>
      <c r="K103" s="166"/>
      <c r="L103" s="165"/>
      <c r="M103" s="166"/>
      <c r="N103" s="166"/>
      <c r="O103" s="166"/>
      <c r="P103" s="166"/>
      <c r="Q103" s="216"/>
      <c r="R103" s="166"/>
      <c r="S103" s="166"/>
      <c r="T103" s="175"/>
      <c r="U103" s="166"/>
      <c r="V103" s="166"/>
      <c r="W103" s="166"/>
      <c r="X103" s="166"/>
      <c r="Y103" s="166"/>
      <c r="Z103" s="196"/>
      <c r="AA103" s="166"/>
      <c r="AB103" s="175"/>
      <c r="AC103" s="166"/>
      <c r="AD103" s="166"/>
      <c r="AE103" s="166"/>
      <c r="AF103" s="166"/>
      <c r="AG103" s="166"/>
      <c r="AH103" s="166"/>
      <c r="AI103" s="166"/>
    </row>
    <row r="104" spans="1:35" s="32" customFormat="1" x14ac:dyDescent="0.2">
      <c r="A104" s="163"/>
      <c r="B104" s="164"/>
      <c r="C104" s="163"/>
      <c r="D104" s="165"/>
      <c r="E104" s="166"/>
      <c r="F104" s="167"/>
      <c r="G104" s="165"/>
      <c r="H104" s="167"/>
      <c r="I104" s="165"/>
      <c r="J104" s="165"/>
      <c r="K104" s="166"/>
      <c r="L104" s="165"/>
      <c r="M104" s="166"/>
      <c r="N104" s="166"/>
      <c r="O104" s="166"/>
      <c r="P104" s="166"/>
      <c r="Q104" s="216"/>
      <c r="R104" s="166"/>
      <c r="S104" s="166"/>
      <c r="T104" s="175"/>
      <c r="U104" s="166"/>
      <c r="V104" s="166"/>
      <c r="W104" s="166"/>
      <c r="X104" s="166"/>
      <c r="Y104" s="166"/>
      <c r="Z104" s="196"/>
      <c r="AA104" s="166"/>
      <c r="AB104" s="175"/>
      <c r="AC104" s="166"/>
      <c r="AD104" s="166"/>
      <c r="AE104" s="166"/>
      <c r="AF104" s="166"/>
      <c r="AG104" s="166"/>
      <c r="AH104" s="166"/>
      <c r="AI104" s="166"/>
    </row>
    <row r="105" spans="1:35" s="32" customFormat="1" x14ac:dyDescent="0.2">
      <c r="A105" s="163"/>
      <c r="B105" s="164"/>
      <c r="C105" s="163"/>
      <c r="D105" s="165"/>
      <c r="E105" s="166"/>
      <c r="F105" s="167"/>
      <c r="G105" s="165"/>
      <c r="H105" s="167"/>
      <c r="I105" s="165"/>
      <c r="J105" s="165"/>
      <c r="K105" s="166"/>
      <c r="L105" s="165"/>
      <c r="M105" s="166"/>
      <c r="N105" s="166"/>
      <c r="O105" s="166"/>
      <c r="P105" s="166"/>
      <c r="Q105" s="216"/>
      <c r="R105" s="166"/>
      <c r="S105" s="166"/>
      <c r="T105" s="175"/>
      <c r="U105" s="166"/>
      <c r="V105" s="166"/>
      <c r="W105" s="166"/>
      <c r="X105" s="166"/>
      <c r="Y105" s="166"/>
      <c r="Z105" s="196"/>
      <c r="AA105" s="166"/>
      <c r="AB105" s="175"/>
      <c r="AC105" s="166"/>
      <c r="AD105" s="166"/>
      <c r="AE105" s="166"/>
      <c r="AF105" s="166"/>
      <c r="AG105" s="166"/>
      <c r="AH105" s="166"/>
      <c r="AI105" s="166"/>
    </row>
    <row r="106" spans="1:35" s="32" customFormat="1" x14ac:dyDescent="0.2">
      <c r="A106" s="168"/>
      <c r="B106" s="164"/>
      <c r="C106" s="168"/>
      <c r="D106" s="165"/>
      <c r="E106" s="166"/>
      <c r="F106" s="167"/>
      <c r="G106" s="165"/>
      <c r="H106" s="167"/>
      <c r="I106" s="165"/>
      <c r="J106" s="165"/>
      <c r="K106" s="166"/>
      <c r="L106" s="165"/>
      <c r="M106" s="166"/>
      <c r="N106" s="166"/>
      <c r="O106" s="166"/>
      <c r="P106" s="166"/>
      <c r="Q106" s="216"/>
      <c r="R106" s="166"/>
      <c r="S106" s="166"/>
      <c r="T106" s="175"/>
      <c r="U106" s="166"/>
      <c r="V106" s="166"/>
      <c r="W106" s="166"/>
      <c r="X106" s="166"/>
      <c r="Y106" s="166"/>
      <c r="Z106" s="196"/>
      <c r="AA106" s="166"/>
      <c r="AB106" s="175"/>
      <c r="AC106" s="166"/>
      <c r="AD106" s="166"/>
      <c r="AE106" s="166"/>
      <c r="AF106" s="166"/>
      <c r="AG106" s="166"/>
      <c r="AH106" s="166"/>
      <c r="AI106" s="166"/>
    </row>
    <row r="107" spans="1:35" s="32" customFormat="1" x14ac:dyDescent="0.2">
      <c r="A107" s="168"/>
      <c r="B107" s="164"/>
      <c r="C107" s="168"/>
      <c r="D107" s="165"/>
      <c r="E107" s="166"/>
      <c r="F107" s="167"/>
      <c r="G107" s="165"/>
      <c r="H107" s="167"/>
      <c r="I107" s="165"/>
      <c r="J107" s="165"/>
      <c r="K107" s="166"/>
      <c r="L107" s="165"/>
      <c r="M107" s="166"/>
      <c r="N107" s="166"/>
      <c r="O107" s="166"/>
      <c r="P107" s="166"/>
      <c r="Q107" s="216"/>
      <c r="R107" s="166"/>
      <c r="S107" s="166"/>
      <c r="T107" s="175"/>
      <c r="U107" s="166"/>
      <c r="V107" s="166"/>
      <c r="W107" s="166"/>
      <c r="X107" s="166"/>
      <c r="Y107" s="166"/>
      <c r="Z107" s="196"/>
      <c r="AA107" s="166"/>
      <c r="AB107" s="175"/>
      <c r="AC107" s="166"/>
      <c r="AD107" s="166"/>
      <c r="AE107" s="166"/>
      <c r="AF107" s="166"/>
      <c r="AG107" s="166"/>
      <c r="AH107" s="166"/>
      <c r="AI107" s="166"/>
    </row>
    <row r="108" spans="1:35" s="32" customFormat="1" x14ac:dyDescent="0.2">
      <c r="A108" s="163"/>
      <c r="B108" s="164"/>
      <c r="C108" s="163"/>
      <c r="D108" s="165"/>
      <c r="E108" s="166"/>
      <c r="F108" s="167"/>
      <c r="G108" s="165"/>
      <c r="H108" s="167"/>
      <c r="I108" s="165"/>
      <c r="J108" s="165"/>
      <c r="K108" s="166"/>
      <c r="L108" s="165"/>
      <c r="M108" s="166"/>
      <c r="N108" s="165"/>
      <c r="O108" s="166"/>
      <c r="P108" s="166"/>
      <c r="Q108" s="216"/>
      <c r="R108" s="166"/>
      <c r="S108" s="166"/>
      <c r="T108" s="175"/>
      <c r="U108" s="166"/>
      <c r="V108" s="166"/>
      <c r="W108" s="166"/>
      <c r="X108" s="166"/>
      <c r="Y108" s="166"/>
      <c r="Z108" s="196"/>
      <c r="AA108" s="166"/>
      <c r="AB108" s="175"/>
      <c r="AC108" s="166"/>
      <c r="AD108" s="166"/>
      <c r="AE108" s="166"/>
      <c r="AF108" s="166"/>
      <c r="AG108" s="166"/>
      <c r="AH108" s="166"/>
      <c r="AI108" s="166"/>
    </row>
    <row r="109" spans="1:35" s="34" customFormat="1" x14ac:dyDescent="0.2">
      <c r="A109" s="163"/>
      <c r="B109" s="164"/>
      <c r="C109" s="163"/>
      <c r="D109" s="165"/>
      <c r="E109" s="166"/>
      <c r="F109" s="167"/>
      <c r="G109" s="165"/>
      <c r="H109" s="167"/>
      <c r="I109" s="165"/>
      <c r="J109" s="165"/>
      <c r="K109" s="166"/>
      <c r="L109" s="165"/>
      <c r="M109" s="166"/>
      <c r="N109" s="166"/>
      <c r="O109" s="166"/>
      <c r="P109" s="166"/>
      <c r="Q109" s="216"/>
      <c r="R109" s="166"/>
      <c r="S109" s="166"/>
      <c r="T109" s="175"/>
      <c r="U109" s="166"/>
      <c r="V109" s="166"/>
      <c r="W109" s="166"/>
      <c r="X109" s="166"/>
      <c r="Y109" s="166"/>
      <c r="Z109" s="196"/>
      <c r="AA109" s="166"/>
      <c r="AB109" s="175"/>
      <c r="AC109" s="166"/>
      <c r="AD109" s="166"/>
      <c r="AE109" s="166"/>
      <c r="AF109" s="166"/>
      <c r="AG109" s="166"/>
      <c r="AH109" s="166"/>
      <c r="AI109" s="166"/>
    </row>
    <row r="110" spans="1:35" s="32" customFormat="1" x14ac:dyDescent="0.2">
      <c r="A110" s="163"/>
      <c r="B110" s="164"/>
      <c r="C110" s="163"/>
      <c r="D110" s="165"/>
      <c r="E110" s="166"/>
      <c r="F110" s="167"/>
      <c r="G110" s="165"/>
      <c r="H110" s="167"/>
      <c r="I110" s="165"/>
      <c r="J110" s="165"/>
      <c r="K110" s="166"/>
      <c r="L110" s="165"/>
      <c r="M110" s="166"/>
      <c r="N110" s="166"/>
      <c r="O110" s="166"/>
      <c r="P110" s="166"/>
      <c r="Q110" s="216"/>
      <c r="R110" s="166"/>
      <c r="S110" s="166"/>
      <c r="T110" s="175"/>
      <c r="U110" s="166"/>
      <c r="V110" s="166"/>
      <c r="W110" s="166"/>
      <c r="X110" s="166"/>
      <c r="Y110" s="166"/>
      <c r="Z110" s="196"/>
      <c r="AA110" s="166"/>
      <c r="AB110" s="175"/>
      <c r="AC110" s="166"/>
      <c r="AD110" s="166"/>
      <c r="AE110" s="166"/>
      <c r="AF110" s="166"/>
      <c r="AG110" s="166"/>
      <c r="AH110" s="166"/>
      <c r="AI110" s="166"/>
    </row>
    <row r="111" spans="1:35" s="34" customFormat="1" x14ac:dyDescent="0.2">
      <c r="A111" s="163"/>
      <c r="B111" s="164"/>
      <c r="C111" s="163"/>
      <c r="D111" s="165"/>
      <c r="E111" s="166"/>
      <c r="F111" s="167"/>
      <c r="G111" s="165"/>
      <c r="H111" s="167"/>
      <c r="I111" s="165"/>
      <c r="J111" s="165"/>
      <c r="K111" s="166"/>
      <c r="L111" s="165"/>
      <c r="M111" s="166"/>
      <c r="N111" s="166"/>
      <c r="O111" s="166"/>
      <c r="P111" s="166"/>
      <c r="Q111" s="216"/>
      <c r="R111" s="166"/>
      <c r="S111" s="166"/>
      <c r="T111" s="175"/>
      <c r="U111" s="166"/>
      <c r="V111" s="166"/>
      <c r="W111" s="166"/>
      <c r="X111" s="166"/>
      <c r="Y111" s="166"/>
      <c r="Z111" s="196"/>
      <c r="AA111" s="166"/>
      <c r="AB111" s="175"/>
      <c r="AC111" s="166"/>
      <c r="AD111" s="166"/>
      <c r="AE111" s="166"/>
      <c r="AF111" s="166"/>
      <c r="AG111" s="166"/>
      <c r="AH111" s="166"/>
      <c r="AI111" s="166"/>
    </row>
    <row r="112" spans="1:35" s="34" customFormat="1" x14ac:dyDescent="0.2">
      <c r="A112" s="163"/>
      <c r="B112" s="164"/>
      <c r="C112" s="163"/>
      <c r="D112" s="165"/>
      <c r="E112" s="166"/>
      <c r="F112" s="167"/>
      <c r="G112" s="165"/>
      <c r="H112" s="167"/>
      <c r="I112" s="165"/>
      <c r="J112" s="165"/>
      <c r="K112" s="166"/>
      <c r="L112" s="165"/>
      <c r="M112" s="166"/>
      <c r="N112" s="166"/>
      <c r="O112" s="166"/>
      <c r="P112" s="166"/>
      <c r="Q112" s="216"/>
      <c r="R112" s="166"/>
      <c r="S112" s="166"/>
      <c r="T112" s="175"/>
      <c r="U112" s="166"/>
      <c r="V112" s="166"/>
      <c r="W112" s="166"/>
      <c r="X112" s="166"/>
      <c r="Y112" s="166"/>
      <c r="Z112" s="196"/>
      <c r="AA112" s="166"/>
      <c r="AB112" s="175"/>
      <c r="AC112" s="166"/>
      <c r="AD112" s="166"/>
      <c r="AE112" s="166"/>
      <c r="AF112" s="166"/>
      <c r="AG112" s="166"/>
      <c r="AH112" s="166"/>
      <c r="AI112" s="166"/>
    </row>
    <row r="113" spans="1:35" s="32" customFormat="1" x14ac:dyDescent="0.2">
      <c r="A113" s="163"/>
      <c r="B113" s="164"/>
      <c r="C113" s="163"/>
      <c r="D113" s="165"/>
      <c r="E113" s="166"/>
      <c r="F113" s="167"/>
      <c r="G113" s="165"/>
      <c r="H113" s="167"/>
      <c r="I113" s="165"/>
      <c r="J113" s="165"/>
      <c r="K113" s="166"/>
      <c r="L113" s="165"/>
      <c r="M113" s="166"/>
      <c r="N113" s="166"/>
      <c r="O113" s="166"/>
      <c r="P113" s="166"/>
      <c r="Q113" s="216"/>
      <c r="R113" s="166"/>
      <c r="S113" s="166"/>
      <c r="T113" s="175"/>
      <c r="U113" s="166"/>
      <c r="V113" s="166"/>
      <c r="W113" s="166"/>
      <c r="X113" s="166"/>
      <c r="Y113" s="166"/>
      <c r="Z113" s="196"/>
      <c r="AA113" s="166"/>
      <c r="AB113" s="175"/>
      <c r="AC113" s="166"/>
      <c r="AD113" s="166"/>
      <c r="AE113" s="166"/>
      <c r="AF113" s="166"/>
      <c r="AG113" s="166"/>
      <c r="AH113" s="166"/>
      <c r="AI113" s="166"/>
    </row>
    <row r="114" spans="1:35" s="34" customFormat="1" x14ac:dyDescent="0.2">
      <c r="A114" s="168"/>
      <c r="B114" s="164"/>
      <c r="C114" s="168"/>
      <c r="D114" s="165"/>
      <c r="E114" s="166"/>
      <c r="F114" s="167"/>
      <c r="G114" s="165"/>
      <c r="H114" s="167"/>
      <c r="I114" s="165"/>
      <c r="J114" s="165"/>
      <c r="K114" s="166"/>
      <c r="L114" s="165"/>
      <c r="M114" s="166"/>
      <c r="N114" s="166"/>
      <c r="O114" s="166"/>
      <c r="P114" s="166"/>
      <c r="Q114" s="216"/>
      <c r="R114" s="166"/>
      <c r="S114" s="166"/>
      <c r="T114" s="175"/>
      <c r="U114" s="166"/>
      <c r="V114" s="166"/>
      <c r="W114" s="166"/>
      <c r="X114" s="166"/>
      <c r="Y114" s="166"/>
      <c r="Z114" s="196"/>
      <c r="AA114" s="166"/>
      <c r="AB114" s="175"/>
      <c r="AC114" s="166"/>
      <c r="AD114" s="166"/>
      <c r="AE114" s="166"/>
      <c r="AF114" s="166"/>
      <c r="AG114" s="166"/>
      <c r="AH114" s="166"/>
      <c r="AI114" s="166"/>
    </row>
    <row r="115" spans="1:35" s="32" customFormat="1" x14ac:dyDescent="0.2">
      <c r="A115" s="163"/>
      <c r="B115" s="164"/>
      <c r="C115" s="163"/>
      <c r="D115" s="165"/>
      <c r="E115" s="166"/>
      <c r="F115" s="167"/>
      <c r="G115" s="165"/>
      <c r="H115" s="167"/>
      <c r="I115" s="165"/>
      <c r="J115" s="165"/>
      <c r="K115" s="166"/>
      <c r="L115" s="165"/>
      <c r="M115" s="166"/>
      <c r="N115" s="166"/>
      <c r="O115" s="166"/>
      <c r="P115" s="166"/>
      <c r="Q115" s="216"/>
      <c r="R115" s="166"/>
      <c r="S115" s="166"/>
      <c r="T115" s="175"/>
      <c r="U115" s="166"/>
      <c r="V115" s="166"/>
      <c r="W115" s="166"/>
      <c r="X115" s="166"/>
      <c r="Y115" s="166"/>
      <c r="Z115" s="196"/>
      <c r="AA115" s="166"/>
      <c r="AB115" s="175"/>
      <c r="AC115" s="166"/>
      <c r="AD115" s="166"/>
      <c r="AE115" s="166"/>
      <c r="AF115" s="166"/>
      <c r="AG115" s="166"/>
      <c r="AH115" s="166"/>
      <c r="AI115" s="166"/>
    </row>
    <row r="116" spans="1:35" s="32" customFormat="1" x14ac:dyDescent="0.2">
      <c r="A116" s="168"/>
      <c r="B116" s="164"/>
      <c r="C116" s="168"/>
      <c r="D116" s="165"/>
      <c r="E116" s="166"/>
      <c r="F116" s="167"/>
      <c r="G116" s="165"/>
      <c r="H116" s="167"/>
      <c r="I116" s="165"/>
      <c r="J116" s="165"/>
      <c r="K116" s="166"/>
      <c r="L116" s="165"/>
      <c r="M116" s="166"/>
      <c r="N116" s="166"/>
      <c r="O116" s="166"/>
      <c r="P116" s="166"/>
      <c r="Q116" s="216"/>
      <c r="R116" s="166"/>
      <c r="S116" s="166"/>
      <c r="T116" s="175"/>
      <c r="U116" s="166"/>
      <c r="V116" s="166"/>
      <c r="W116" s="166"/>
      <c r="X116" s="166"/>
      <c r="Y116" s="166"/>
      <c r="Z116" s="196"/>
      <c r="AA116" s="166"/>
      <c r="AB116" s="175"/>
      <c r="AC116" s="166"/>
      <c r="AD116" s="166"/>
      <c r="AE116" s="166"/>
      <c r="AF116" s="166"/>
      <c r="AG116" s="166"/>
      <c r="AH116" s="166"/>
      <c r="AI116" s="166"/>
    </row>
    <row r="117" spans="1:35" s="32" customFormat="1" x14ac:dyDescent="0.2">
      <c r="A117" s="168"/>
      <c r="B117" s="164"/>
      <c r="C117" s="168"/>
      <c r="D117" s="165"/>
      <c r="E117" s="166"/>
      <c r="F117" s="167"/>
      <c r="G117" s="165"/>
      <c r="H117" s="167"/>
      <c r="I117" s="165"/>
      <c r="J117" s="165"/>
      <c r="K117" s="166"/>
      <c r="L117" s="165"/>
      <c r="M117" s="166"/>
      <c r="N117" s="166"/>
      <c r="O117" s="166"/>
      <c r="P117" s="166"/>
      <c r="Q117" s="216"/>
      <c r="R117" s="166"/>
      <c r="S117" s="166"/>
      <c r="T117" s="175"/>
      <c r="U117" s="166"/>
      <c r="V117" s="166"/>
      <c r="W117" s="166"/>
      <c r="X117" s="166"/>
      <c r="Y117" s="166"/>
      <c r="Z117" s="196"/>
      <c r="AA117" s="166"/>
      <c r="AB117" s="175"/>
      <c r="AC117" s="166"/>
      <c r="AD117" s="166"/>
      <c r="AE117" s="166"/>
      <c r="AF117" s="166"/>
      <c r="AG117" s="166"/>
      <c r="AH117" s="166"/>
      <c r="AI117" s="166"/>
    </row>
    <row r="118" spans="1:35" s="32" customFormat="1" x14ac:dyDescent="0.2">
      <c r="A118" s="163"/>
      <c r="B118" s="164"/>
      <c r="C118" s="163"/>
      <c r="D118" s="165"/>
      <c r="E118" s="166"/>
      <c r="F118" s="167"/>
      <c r="G118" s="165"/>
      <c r="H118" s="167"/>
      <c r="I118" s="165"/>
      <c r="J118" s="165"/>
      <c r="K118" s="166"/>
      <c r="L118" s="165"/>
      <c r="M118" s="166"/>
      <c r="N118" s="166"/>
      <c r="O118" s="166"/>
      <c r="P118" s="166"/>
      <c r="Q118" s="216"/>
      <c r="R118" s="166"/>
      <c r="S118" s="166"/>
      <c r="T118" s="175"/>
      <c r="U118" s="166"/>
      <c r="V118" s="166"/>
      <c r="W118" s="166"/>
      <c r="X118" s="166"/>
      <c r="Y118" s="166"/>
      <c r="Z118" s="196"/>
      <c r="AA118" s="166"/>
      <c r="AB118" s="175"/>
      <c r="AC118" s="166"/>
      <c r="AD118" s="166"/>
      <c r="AE118" s="166"/>
      <c r="AF118" s="166"/>
      <c r="AG118" s="166"/>
      <c r="AH118" s="166"/>
      <c r="AI118" s="166"/>
    </row>
    <row r="119" spans="1:35" s="32" customFormat="1" x14ac:dyDescent="0.2">
      <c r="A119" s="168"/>
      <c r="B119" s="164"/>
      <c r="C119" s="168"/>
      <c r="D119" s="165"/>
      <c r="E119" s="166"/>
      <c r="F119" s="167"/>
      <c r="G119" s="165"/>
      <c r="H119" s="167"/>
      <c r="I119" s="165"/>
      <c r="J119" s="165"/>
      <c r="K119" s="166"/>
      <c r="L119" s="165"/>
      <c r="M119" s="166"/>
      <c r="N119" s="166"/>
      <c r="O119" s="166"/>
      <c r="P119" s="166"/>
      <c r="Q119" s="216"/>
      <c r="R119" s="166"/>
      <c r="S119" s="166"/>
      <c r="T119" s="175"/>
      <c r="U119" s="166"/>
      <c r="V119" s="166"/>
      <c r="W119" s="166"/>
      <c r="X119" s="166"/>
      <c r="Y119" s="166"/>
      <c r="Z119" s="196"/>
      <c r="AA119" s="166"/>
      <c r="AB119" s="175"/>
      <c r="AC119" s="166"/>
      <c r="AD119" s="166"/>
      <c r="AE119" s="166"/>
      <c r="AF119" s="166"/>
      <c r="AG119" s="166"/>
      <c r="AH119" s="166"/>
      <c r="AI119" s="166"/>
    </row>
    <row r="120" spans="1:35" s="32" customFormat="1" x14ac:dyDescent="0.2">
      <c r="A120" s="163"/>
      <c r="B120" s="164"/>
      <c r="C120" s="163"/>
      <c r="D120" s="165"/>
      <c r="E120" s="166"/>
      <c r="F120" s="167"/>
      <c r="G120" s="165"/>
      <c r="H120" s="167"/>
      <c r="I120" s="165"/>
      <c r="J120" s="165"/>
      <c r="K120" s="166"/>
      <c r="L120" s="165"/>
      <c r="M120" s="166"/>
      <c r="N120" s="166"/>
      <c r="O120" s="166"/>
      <c r="P120" s="166"/>
      <c r="Q120" s="216"/>
      <c r="R120" s="166"/>
      <c r="S120" s="166"/>
      <c r="T120" s="175"/>
      <c r="U120" s="166"/>
      <c r="V120" s="166"/>
      <c r="W120" s="166"/>
      <c r="X120" s="166"/>
      <c r="Y120" s="166"/>
      <c r="Z120" s="196"/>
      <c r="AA120" s="166"/>
      <c r="AB120" s="175"/>
      <c r="AC120" s="166"/>
      <c r="AD120" s="166"/>
      <c r="AE120" s="166"/>
      <c r="AF120" s="166"/>
      <c r="AG120" s="166"/>
      <c r="AH120" s="166"/>
      <c r="AI120" s="166"/>
    </row>
    <row r="121" spans="1:35" s="32" customFormat="1" x14ac:dyDescent="0.2">
      <c r="A121" s="163"/>
      <c r="B121" s="163"/>
      <c r="C121" s="163"/>
      <c r="D121" s="169"/>
      <c r="E121" s="163"/>
      <c r="F121" s="170"/>
      <c r="G121" s="164"/>
      <c r="H121" s="170"/>
      <c r="I121" s="164"/>
      <c r="J121" s="171"/>
      <c r="K121" s="172"/>
      <c r="L121" s="171"/>
      <c r="M121" s="172"/>
      <c r="N121" s="172"/>
      <c r="O121" s="172"/>
      <c r="P121" s="172"/>
      <c r="Q121" s="216"/>
      <c r="R121" s="172"/>
      <c r="S121" s="172"/>
      <c r="T121" s="176"/>
      <c r="U121" s="172"/>
      <c r="V121" s="192"/>
      <c r="W121" s="172"/>
      <c r="X121" s="192"/>
      <c r="Y121" s="172"/>
      <c r="Z121" s="307"/>
      <c r="AA121" s="192"/>
      <c r="AB121" s="96"/>
      <c r="AC121" s="192"/>
      <c r="AD121" s="192"/>
      <c r="AE121" s="192"/>
      <c r="AF121" s="192"/>
      <c r="AG121" s="192"/>
      <c r="AH121" s="192"/>
      <c r="AI121" s="192"/>
    </row>
    <row r="122" spans="1:35" s="32" customFormat="1" x14ac:dyDescent="0.2">
      <c r="A122" s="163"/>
      <c r="B122" s="163"/>
      <c r="C122" s="163"/>
      <c r="D122" s="169"/>
      <c r="E122" s="163"/>
      <c r="F122" s="170"/>
      <c r="G122" s="164"/>
      <c r="H122" s="170"/>
      <c r="I122" s="164"/>
      <c r="J122" s="171"/>
      <c r="K122" s="172"/>
      <c r="L122" s="171"/>
      <c r="M122" s="172"/>
      <c r="N122" s="172"/>
      <c r="O122" s="172"/>
      <c r="P122" s="172"/>
      <c r="Q122" s="216"/>
      <c r="R122" s="172"/>
      <c r="S122" s="172"/>
      <c r="T122" s="176"/>
      <c r="U122" s="172"/>
      <c r="V122" s="192"/>
      <c r="W122" s="172"/>
      <c r="X122" s="192"/>
      <c r="Y122" s="172"/>
      <c r="Z122" s="307"/>
      <c r="AA122" s="192"/>
      <c r="AB122" s="96"/>
      <c r="AC122" s="192"/>
      <c r="AD122" s="192"/>
      <c r="AE122" s="192"/>
      <c r="AF122" s="192"/>
      <c r="AG122" s="192"/>
      <c r="AH122" s="192"/>
      <c r="AI122" s="192"/>
    </row>
    <row r="123" spans="1:35" s="32" customFormat="1" x14ac:dyDescent="0.2">
      <c r="A123" s="163"/>
      <c r="B123" s="163"/>
      <c r="C123" s="163"/>
      <c r="D123" s="169"/>
      <c r="E123" s="163"/>
      <c r="F123" s="170"/>
      <c r="G123" s="164"/>
      <c r="H123" s="170"/>
      <c r="I123" s="164"/>
      <c r="J123" s="171"/>
      <c r="K123" s="172"/>
      <c r="L123" s="171"/>
      <c r="M123" s="172"/>
      <c r="N123" s="172"/>
      <c r="O123" s="172"/>
      <c r="P123" s="172"/>
      <c r="Q123" s="216"/>
      <c r="R123" s="172"/>
      <c r="S123" s="172"/>
      <c r="T123" s="176"/>
      <c r="U123" s="172"/>
      <c r="V123" s="192"/>
      <c r="W123" s="172"/>
      <c r="X123" s="192"/>
      <c r="Y123" s="172"/>
      <c r="Z123" s="307"/>
      <c r="AA123" s="192"/>
      <c r="AB123" s="96"/>
      <c r="AC123" s="192"/>
      <c r="AD123" s="192"/>
      <c r="AE123" s="192"/>
      <c r="AF123" s="192"/>
      <c r="AG123" s="192"/>
      <c r="AH123" s="192"/>
      <c r="AI123" s="192"/>
    </row>
    <row r="124" spans="1:35" s="32" customFormat="1" x14ac:dyDescent="0.2">
      <c r="A124" s="163"/>
      <c r="B124" s="163"/>
      <c r="C124" s="163"/>
      <c r="D124" s="169"/>
      <c r="E124" s="163"/>
      <c r="F124" s="170"/>
      <c r="G124" s="164"/>
      <c r="H124" s="170"/>
      <c r="I124" s="164"/>
      <c r="J124" s="171"/>
      <c r="K124" s="172"/>
      <c r="L124" s="171"/>
      <c r="M124" s="172"/>
      <c r="N124" s="172"/>
      <c r="O124" s="172"/>
      <c r="P124" s="172"/>
      <c r="Q124" s="216"/>
      <c r="R124" s="172"/>
      <c r="S124" s="172"/>
      <c r="T124" s="176"/>
      <c r="U124" s="172"/>
      <c r="V124" s="192"/>
      <c r="W124" s="172"/>
      <c r="X124" s="192"/>
      <c r="Y124" s="172"/>
      <c r="Z124" s="307"/>
      <c r="AA124" s="192"/>
      <c r="AB124" s="96"/>
      <c r="AC124" s="192"/>
      <c r="AD124" s="192"/>
      <c r="AE124" s="192"/>
      <c r="AF124" s="192"/>
      <c r="AG124" s="192"/>
      <c r="AH124" s="192"/>
      <c r="AI124" s="192"/>
    </row>
    <row r="125" spans="1:35" s="32" customFormat="1" x14ac:dyDescent="0.2">
      <c r="A125" s="163"/>
      <c r="B125" s="163"/>
      <c r="C125" s="163"/>
      <c r="D125" s="169"/>
      <c r="E125" s="163"/>
      <c r="F125" s="170"/>
      <c r="G125" s="164"/>
      <c r="H125" s="170"/>
      <c r="I125" s="164"/>
      <c r="J125" s="171"/>
      <c r="K125" s="172"/>
      <c r="L125" s="171"/>
      <c r="M125" s="172"/>
      <c r="N125" s="172"/>
      <c r="O125" s="172"/>
      <c r="P125" s="172"/>
      <c r="Q125" s="216"/>
      <c r="R125" s="172"/>
      <c r="S125" s="172"/>
      <c r="T125" s="176"/>
      <c r="U125" s="172"/>
      <c r="V125" s="192"/>
      <c r="W125" s="172"/>
      <c r="X125" s="192"/>
      <c r="Y125" s="172"/>
      <c r="Z125" s="307"/>
      <c r="AA125" s="192"/>
      <c r="AB125" s="96"/>
      <c r="AC125" s="192"/>
      <c r="AD125" s="192"/>
      <c r="AE125" s="192"/>
      <c r="AF125" s="192"/>
      <c r="AG125" s="192"/>
      <c r="AH125" s="192"/>
      <c r="AI125" s="192"/>
    </row>
    <row r="126" spans="1:35" s="32" customFormat="1" x14ac:dyDescent="0.2">
      <c r="A126" s="163"/>
      <c r="B126" s="163"/>
      <c r="C126" s="163"/>
      <c r="D126" s="169"/>
      <c r="E126" s="163"/>
      <c r="F126" s="170"/>
      <c r="G126" s="164"/>
      <c r="H126" s="170"/>
      <c r="I126" s="164"/>
      <c r="J126" s="171"/>
      <c r="K126" s="172"/>
      <c r="L126" s="171"/>
      <c r="M126" s="172"/>
      <c r="N126" s="172"/>
      <c r="O126" s="172"/>
      <c r="P126" s="172"/>
      <c r="Q126" s="216"/>
      <c r="R126" s="172"/>
      <c r="S126" s="172"/>
      <c r="T126" s="176"/>
      <c r="U126" s="172"/>
      <c r="V126" s="192"/>
      <c r="W126" s="172"/>
      <c r="X126" s="192"/>
      <c r="Y126" s="172"/>
      <c r="Z126" s="307"/>
      <c r="AA126" s="192"/>
      <c r="AB126" s="96"/>
      <c r="AC126" s="192"/>
      <c r="AD126" s="192"/>
      <c r="AE126" s="192"/>
      <c r="AF126" s="192"/>
      <c r="AG126" s="192"/>
      <c r="AH126" s="192"/>
      <c r="AI126" s="192"/>
    </row>
    <row r="127" spans="1:35" s="32" customFormat="1" x14ac:dyDescent="0.2">
      <c r="A127" s="163"/>
      <c r="B127" s="163"/>
      <c r="C127" s="163"/>
      <c r="D127" s="169"/>
      <c r="E127" s="163"/>
      <c r="F127" s="170"/>
      <c r="G127" s="164"/>
      <c r="H127" s="170"/>
      <c r="I127" s="164"/>
      <c r="J127" s="171"/>
      <c r="K127" s="172"/>
      <c r="L127" s="171"/>
      <c r="M127" s="172"/>
      <c r="N127" s="172"/>
      <c r="O127" s="172"/>
      <c r="P127" s="172"/>
      <c r="Q127" s="216"/>
      <c r="R127" s="172"/>
      <c r="S127" s="172"/>
      <c r="T127" s="176"/>
      <c r="U127" s="172"/>
      <c r="V127" s="192"/>
      <c r="W127" s="172"/>
      <c r="X127" s="192"/>
      <c r="Y127" s="172"/>
      <c r="Z127" s="307"/>
      <c r="AA127" s="192"/>
      <c r="AB127" s="96"/>
      <c r="AC127" s="192"/>
      <c r="AD127" s="192"/>
      <c r="AE127" s="192"/>
      <c r="AF127" s="192"/>
      <c r="AG127" s="192"/>
      <c r="AH127" s="192"/>
      <c r="AI127" s="192"/>
    </row>
    <row r="128" spans="1:35" s="32" customFormat="1" x14ac:dyDescent="0.2">
      <c r="A128" s="163"/>
      <c r="B128" s="163"/>
      <c r="C128" s="163"/>
      <c r="D128" s="169"/>
      <c r="E128" s="163"/>
      <c r="F128" s="170"/>
      <c r="G128" s="164"/>
      <c r="H128" s="170"/>
      <c r="I128" s="164"/>
      <c r="J128" s="171"/>
      <c r="K128" s="172"/>
      <c r="L128" s="171"/>
      <c r="M128" s="172"/>
      <c r="N128" s="172"/>
      <c r="O128" s="172"/>
      <c r="P128" s="172"/>
      <c r="Q128" s="216"/>
      <c r="R128" s="172"/>
      <c r="S128" s="172"/>
      <c r="T128" s="176"/>
      <c r="U128" s="172"/>
      <c r="V128" s="192"/>
      <c r="W128" s="172"/>
      <c r="X128" s="192"/>
      <c r="Y128" s="172"/>
      <c r="Z128" s="307"/>
      <c r="AA128" s="192"/>
      <c r="AB128" s="96"/>
      <c r="AC128" s="192"/>
      <c r="AD128" s="192"/>
      <c r="AE128" s="192"/>
      <c r="AF128" s="192"/>
      <c r="AG128" s="192"/>
      <c r="AH128" s="192"/>
      <c r="AI128" s="192"/>
    </row>
    <row r="129" spans="1:35" s="32" customFormat="1" x14ac:dyDescent="0.2">
      <c r="A129" s="163"/>
      <c r="B129" s="163"/>
      <c r="C129" s="163"/>
      <c r="D129" s="169"/>
      <c r="E129" s="163"/>
      <c r="F129" s="170"/>
      <c r="G129" s="164"/>
      <c r="H129" s="170"/>
      <c r="I129" s="164"/>
      <c r="J129" s="171"/>
      <c r="K129" s="172"/>
      <c r="L129" s="171"/>
      <c r="M129" s="172"/>
      <c r="N129" s="172"/>
      <c r="O129" s="172"/>
      <c r="P129" s="172"/>
      <c r="Q129" s="216"/>
      <c r="R129" s="172"/>
      <c r="S129" s="172"/>
      <c r="T129" s="176"/>
      <c r="U129" s="172"/>
      <c r="V129" s="192"/>
      <c r="W129" s="172"/>
      <c r="X129" s="192"/>
      <c r="Y129" s="172"/>
      <c r="Z129" s="307"/>
      <c r="AA129" s="192"/>
      <c r="AB129" s="96"/>
      <c r="AC129" s="192"/>
      <c r="AD129" s="192"/>
      <c r="AE129" s="192"/>
      <c r="AF129" s="192"/>
      <c r="AG129" s="192"/>
      <c r="AH129" s="192"/>
      <c r="AI129" s="192"/>
    </row>
    <row r="130" spans="1:35" x14ac:dyDescent="0.2">
      <c r="A130" s="163"/>
      <c r="B130" s="163"/>
      <c r="C130" s="163"/>
      <c r="D130" s="169"/>
      <c r="E130" s="163"/>
      <c r="F130" s="170"/>
      <c r="G130" s="164"/>
      <c r="H130" s="170"/>
      <c r="I130" s="164"/>
      <c r="J130" s="171"/>
      <c r="K130" s="172"/>
      <c r="L130" s="171"/>
      <c r="M130" s="172"/>
      <c r="N130" s="172"/>
      <c r="O130" s="172"/>
      <c r="P130" s="172"/>
      <c r="R130" s="172"/>
      <c r="S130" s="172"/>
      <c r="T130" s="176"/>
      <c r="U130" s="172"/>
      <c r="V130" s="192"/>
      <c r="W130" s="172"/>
      <c r="X130" s="192"/>
      <c r="Y130" s="172"/>
      <c r="Z130" s="307"/>
      <c r="AA130" s="192"/>
      <c r="AB130" s="96"/>
      <c r="AC130" s="192"/>
      <c r="AD130" s="192"/>
      <c r="AE130" s="192"/>
      <c r="AF130" s="192"/>
      <c r="AG130" s="192"/>
      <c r="AH130" s="192"/>
      <c r="AI130" s="192"/>
    </row>
    <row r="131" spans="1:35" x14ac:dyDescent="0.2">
      <c r="A131" s="163"/>
      <c r="B131" s="163"/>
      <c r="C131" s="163"/>
      <c r="D131" s="169"/>
      <c r="E131" s="163"/>
      <c r="F131" s="170"/>
      <c r="G131" s="164"/>
      <c r="H131" s="170"/>
      <c r="I131" s="164"/>
      <c r="J131" s="171"/>
      <c r="K131" s="172"/>
      <c r="L131" s="171"/>
      <c r="M131" s="172"/>
      <c r="N131" s="172"/>
      <c r="O131" s="172"/>
      <c r="P131" s="172"/>
      <c r="R131" s="172"/>
      <c r="S131" s="172"/>
      <c r="T131" s="176"/>
      <c r="U131" s="172"/>
      <c r="V131" s="192"/>
      <c r="W131" s="172"/>
      <c r="X131" s="192"/>
      <c r="Y131" s="172"/>
      <c r="Z131" s="307"/>
      <c r="AA131" s="192"/>
      <c r="AB131" s="96"/>
      <c r="AC131" s="192"/>
      <c r="AD131" s="192"/>
      <c r="AE131" s="192"/>
      <c r="AF131" s="192"/>
      <c r="AG131" s="192"/>
      <c r="AH131" s="192"/>
      <c r="AI131" s="192"/>
    </row>
    <row r="132" spans="1:35" x14ac:dyDescent="0.2">
      <c r="A132" s="163"/>
      <c r="B132" s="163"/>
      <c r="C132" s="163"/>
      <c r="D132" s="169"/>
      <c r="E132" s="163"/>
      <c r="F132" s="170"/>
      <c r="G132" s="164"/>
      <c r="H132" s="170"/>
      <c r="I132" s="164"/>
      <c r="J132" s="171"/>
      <c r="K132" s="172"/>
      <c r="L132" s="171"/>
      <c r="M132" s="172"/>
      <c r="N132" s="172"/>
      <c r="O132" s="172"/>
      <c r="P132" s="172"/>
      <c r="R132" s="172"/>
      <c r="S132" s="172"/>
      <c r="T132" s="176"/>
      <c r="U132" s="172"/>
      <c r="V132" s="192"/>
      <c r="W132" s="172"/>
      <c r="X132" s="192"/>
      <c r="Y132" s="172"/>
      <c r="Z132" s="307"/>
      <c r="AA132" s="192"/>
      <c r="AB132" s="96"/>
      <c r="AC132" s="192"/>
      <c r="AD132" s="192"/>
      <c r="AE132" s="192"/>
      <c r="AF132" s="192"/>
      <c r="AG132" s="192"/>
      <c r="AH132" s="192"/>
      <c r="AI132" s="192"/>
    </row>
    <row r="133" spans="1:35" x14ac:dyDescent="0.2">
      <c r="A133" s="163"/>
      <c r="B133" s="163"/>
      <c r="C133" s="163"/>
      <c r="D133" s="169"/>
      <c r="E133" s="163"/>
      <c r="F133" s="170"/>
      <c r="G133" s="164"/>
      <c r="H133" s="170"/>
      <c r="I133" s="164"/>
      <c r="J133" s="171"/>
      <c r="K133" s="172"/>
      <c r="L133" s="171"/>
      <c r="M133" s="172"/>
      <c r="N133" s="172"/>
      <c r="O133" s="172"/>
      <c r="P133" s="172"/>
      <c r="R133" s="172"/>
      <c r="S133" s="172"/>
      <c r="T133" s="176"/>
      <c r="U133" s="172"/>
      <c r="V133" s="192"/>
      <c r="W133" s="172"/>
      <c r="X133" s="192"/>
      <c r="Y133" s="172"/>
      <c r="Z133" s="307"/>
      <c r="AA133" s="192"/>
      <c r="AB133" s="96"/>
      <c r="AC133" s="192"/>
      <c r="AD133" s="192"/>
      <c r="AE133" s="192"/>
      <c r="AF133" s="192"/>
      <c r="AG133" s="192"/>
      <c r="AH133" s="192"/>
      <c r="AI133" s="192"/>
    </row>
    <row r="134" spans="1:35" x14ac:dyDescent="0.2">
      <c r="A134" s="163"/>
      <c r="B134" s="163"/>
      <c r="C134" s="163"/>
      <c r="D134" s="169"/>
      <c r="E134" s="163"/>
      <c r="F134" s="170"/>
      <c r="G134" s="164"/>
      <c r="H134" s="170"/>
      <c r="I134" s="164"/>
      <c r="J134" s="171"/>
      <c r="K134" s="172"/>
      <c r="L134" s="171"/>
      <c r="M134" s="172"/>
      <c r="N134" s="172"/>
      <c r="O134" s="172"/>
      <c r="P134" s="172"/>
      <c r="R134" s="172"/>
      <c r="S134" s="172"/>
      <c r="T134" s="176"/>
      <c r="U134" s="172"/>
      <c r="V134" s="192"/>
      <c r="W134" s="172"/>
      <c r="X134" s="192"/>
      <c r="Y134" s="172"/>
      <c r="Z134" s="307"/>
      <c r="AA134" s="192"/>
      <c r="AB134" s="96"/>
      <c r="AC134" s="192"/>
      <c r="AD134" s="192"/>
      <c r="AE134" s="192"/>
      <c r="AF134" s="192"/>
      <c r="AG134" s="192"/>
      <c r="AH134" s="192"/>
      <c r="AI134" s="192"/>
    </row>
    <row r="135" spans="1:35" ht="13.2" x14ac:dyDescent="0.25">
      <c r="A135" s="199"/>
      <c r="B135" s="199"/>
      <c r="C135" s="199"/>
      <c r="D135" s="199"/>
      <c r="E135" s="199"/>
      <c r="F135" s="199"/>
      <c r="G135" s="199"/>
      <c r="H135" s="199"/>
      <c r="I135" s="199"/>
      <c r="J135" s="173"/>
      <c r="K135" s="174"/>
      <c r="L135" s="173"/>
      <c r="M135" s="174"/>
      <c r="N135" s="174"/>
      <c r="O135" s="174"/>
      <c r="P135" s="174"/>
      <c r="Q135" s="235"/>
      <c r="R135" s="174"/>
      <c r="S135" s="174"/>
      <c r="T135" s="177"/>
      <c r="U135" s="174"/>
      <c r="V135" s="193"/>
      <c r="W135" s="174"/>
      <c r="X135" s="193"/>
      <c r="Y135" s="174"/>
      <c r="Z135" s="308"/>
      <c r="AA135" s="193"/>
      <c r="AB135" s="97"/>
      <c r="AC135" s="193"/>
      <c r="AD135" s="193"/>
      <c r="AE135" s="193"/>
      <c r="AF135" s="193"/>
      <c r="AG135" s="193"/>
      <c r="AH135" s="193"/>
      <c r="AI135" s="193"/>
    </row>
    <row r="136" spans="1:35" ht="13.2" x14ac:dyDescent="0.25">
      <c r="A136" s="199"/>
      <c r="B136" s="199"/>
      <c r="C136" s="199"/>
      <c r="D136" s="199"/>
      <c r="E136" s="199"/>
      <c r="F136" s="199"/>
      <c r="G136" s="199"/>
      <c r="H136" s="199"/>
      <c r="I136" s="199"/>
      <c r="J136" s="173"/>
      <c r="K136" s="174"/>
      <c r="L136" s="173"/>
      <c r="M136" s="174"/>
      <c r="N136" s="174"/>
      <c r="O136" s="174"/>
      <c r="P136" s="174"/>
      <c r="Q136" s="235"/>
      <c r="R136" s="174"/>
      <c r="S136" s="174"/>
      <c r="T136" s="177"/>
      <c r="U136" s="174"/>
      <c r="V136" s="193"/>
      <c r="W136" s="174"/>
      <c r="X136" s="193"/>
      <c r="Y136" s="174"/>
      <c r="Z136" s="308"/>
      <c r="AA136" s="193"/>
      <c r="AB136" s="97"/>
      <c r="AC136" s="193"/>
      <c r="AD136" s="193"/>
      <c r="AE136" s="193"/>
      <c r="AF136" s="193"/>
      <c r="AG136" s="193"/>
      <c r="AH136" s="193"/>
      <c r="AI136" s="193"/>
    </row>
    <row r="137" spans="1:35" ht="13.2" x14ac:dyDescent="0.25">
      <c r="A137" s="199"/>
      <c r="B137" s="199"/>
      <c r="C137" s="199"/>
      <c r="D137" s="199"/>
      <c r="E137" s="199"/>
      <c r="F137" s="199"/>
      <c r="G137" s="199"/>
      <c r="H137" s="199"/>
      <c r="I137" s="199"/>
      <c r="J137" s="173"/>
      <c r="K137" s="174"/>
      <c r="L137" s="173"/>
      <c r="M137" s="174"/>
      <c r="N137" s="174"/>
      <c r="O137" s="174"/>
      <c r="P137" s="174"/>
      <c r="Q137" s="235"/>
      <c r="R137" s="174"/>
      <c r="S137" s="174"/>
      <c r="T137" s="177"/>
      <c r="U137" s="174"/>
      <c r="V137" s="193"/>
      <c r="W137" s="174"/>
      <c r="X137" s="193"/>
      <c r="Y137" s="174"/>
      <c r="Z137" s="308"/>
      <c r="AA137" s="193"/>
      <c r="AB137" s="97"/>
      <c r="AC137" s="193"/>
      <c r="AD137" s="193"/>
      <c r="AE137" s="193"/>
      <c r="AF137" s="193"/>
      <c r="AG137" s="193"/>
      <c r="AH137" s="193"/>
      <c r="AI137" s="193"/>
    </row>
    <row r="138" spans="1:35" ht="13.2" x14ac:dyDescent="0.25">
      <c r="A138" s="199"/>
      <c r="B138" s="199"/>
      <c r="C138" s="199"/>
      <c r="D138" s="199"/>
      <c r="E138" s="199"/>
      <c r="F138" s="199"/>
      <c r="G138" s="199"/>
      <c r="H138" s="199"/>
      <c r="I138" s="199"/>
      <c r="J138" s="173"/>
      <c r="K138" s="174"/>
      <c r="L138" s="173"/>
      <c r="M138" s="174"/>
      <c r="N138" s="174"/>
      <c r="O138" s="174"/>
      <c r="P138" s="174"/>
      <c r="Q138" s="235"/>
      <c r="R138" s="174"/>
      <c r="S138" s="174"/>
      <c r="T138" s="177"/>
      <c r="U138" s="174"/>
      <c r="V138" s="193"/>
      <c r="W138" s="174"/>
      <c r="X138" s="193"/>
      <c r="Y138" s="174"/>
      <c r="Z138" s="308"/>
      <c r="AA138" s="193"/>
      <c r="AB138" s="97"/>
      <c r="AC138" s="193"/>
      <c r="AD138" s="193"/>
      <c r="AE138" s="193"/>
      <c r="AF138" s="193"/>
      <c r="AG138" s="193"/>
      <c r="AH138" s="193"/>
      <c r="AI138" s="193"/>
    </row>
    <row r="139" spans="1:35" ht="13.2" x14ac:dyDescent="0.25">
      <c r="A139" s="199"/>
      <c r="B139" s="199"/>
      <c r="C139" s="199"/>
      <c r="D139" s="199"/>
      <c r="E139" s="199"/>
      <c r="F139" s="199"/>
      <c r="G139" s="199"/>
      <c r="H139" s="199"/>
      <c r="I139" s="199"/>
      <c r="J139" s="173"/>
      <c r="K139" s="174"/>
      <c r="L139" s="173"/>
      <c r="M139" s="174"/>
      <c r="N139" s="174"/>
      <c r="O139" s="174"/>
      <c r="P139" s="174"/>
      <c r="Q139" s="235"/>
      <c r="R139" s="174"/>
      <c r="S139" s="174"/>
      <c r="T139" s="177"/>
      <c r="U139" s="174"/>
      <c r="V139" s="193"/>
      <c r="W139" s="174"/>
      <c r="X139" s="193"/>
      <c r="Y139" s="174"/>
      <c r="Z139" s="308"/>
      <c r="AA139" s="193"/>
      <c r="AB139" s="97"/>
      <c r="AC139" s="193"/>
      <c r="AD139" s="193"/>
      <c r="AE139" s="193"/>
      <c r="AF139" s="193"/>
      <c r="AG139" s="193"/>
      <c r="AH139" s="193"/>
      <c r="AI139" s="193"/>
    </row>
    <row r="140" spans="1:35" ht="13.2" x14ac:dyDescent="0.25">
      <c r="A140" s="199"/>
      <c r="B140" s="199"/>
      <c r="C140" s="199"/>
      <c r="D140" s="199"/>
      <c r="E140" s="199"/>
      <c r="F140" s="199"/>
      <c r="G140" s="199"/>
      <c r="H140" s="199"/>
      <c r="I140" s="199"/>
      <c r="J140" s="173"/>
      <c r="K140" s="174"/>
      <c r="L140" s="173"/>
      <c r="M140" s="174"/>
      <c r="N140" s="174"/>
      <c r="O140" s="174"/>
      <c r="P140" s="174"/>
      <c r="Q140" s="235"/>
      <c r="R140" s="174"/>
      <c r="S140" s="174"/>
      <c r="T140" s="177"/>
      <c r="U140" s="174"/>
      <c r="V140" s="193"/>
      <c r="W140" s="174"/>
      <c r="X140" s="193"/>
      <c r="Y140" s="174"/>
      <c r="Z140" s="308"/>
      <c r="AA140" s="193"/>
      <c r="AB140" s="97"/>
      <c r="AC140" s="193"/>
      <c r="AD140" s="193"/>
      <c r="AE140" s="193"/>
      <c r="AF140" s="193"/>
      <c r="AG140" s="193"/>
      <c r="AH140" s="193"/>
      <c r="AI140" s="193"/>
    </row>
    <row r="141" spans="1:35" ht="13.2" x14ac:dyDescent="0.25">
      <c r="A141" s="199"/>
      <c r="B141" s="199"/>
      <c r="C141" s="199"/>
      <c r="D141" s="199"/>
      <c r="E141" s="199"/>
      <c r="F141" s="199"/>
      <c r="G141" s="199"/>
      <c r="H141" s="199"/>
      <c r="I141" s="199"/>
      <c r="J141" s="173"/>
      <c r="K141" s="174"/>
      <c r="L141" s="173"/>
      <c r="M141" s="174"/>
      <c r="N141" s="174"/>
      <c r="O141" s="174"/>
      <c r="P141" s="174"/>
      <c r="Q141" s="235"/>
      <c r="R141" s="174"/>
      <c r="S141" s="174"/>
      <c r="T141" s="177"/>
      <c r="U141" s="174"/>
      <c r="V141" s="193"/>
      <c r="W141" s="174"/>
      <c r="X141" s="193"/>
      <c r="Y141" s="174"/>
      <c r="Z141" s="308"/>
      <c r="AA141" s="193"/>
      <c r="AB141" s="97"/>
      <c r="AC141" s="193"/>
      <c r="AD141" s="193"/>
      <c r="AE141" s="193"/>
      <c r="AF141" s="193"/>
      <c r="AG141" s="193"/>
      <c r="AH141" s="193"/>
      <c r="AI141" s="193"/>
    </row>
    <row r="142" spans="1:35" ht="13.2" x14ac:dyDescent="0.25">
      <c r="A142" s="199"/>
      <c r="B142" s="199"/>
      <c r="C142" s="199"/>
      <c r="D142" s="199"/>
      <c r="E142" s="199"/>
      <c r="F142" s="199"/>
      <c r="G142" s="199"/>
      <c r="H142" s="199"/>
      <c r="I142" s="199"/>
      <c r="J142" s="173"/>
      <c r="K142" s="174"/>
      <c r="L142" s="173"/>
      <c r="M142" s="174"/>
      <c r="N142" s="174"/>
      <c r="O142" s="174"/>
      <c r="P142" s="174"/>
      <c r="Q142" s="235"/>
      <c r="R142" s="174"/>
      <c r="S142" s="174"/>
      <c r="T142" s="177"/>
      <c r="U142" s="174"/>
      <c r="V142" s="193"/>
      <c r="W142" s="174"/>
      <c r="X142" s="193"/>
      <c r="Y142" s="174"/>
      <c r="Z142" s="308"/>
      <c r="AA142" s="193"/>
      <c r="AB142" s="97"/>
      <c r="AC142" s="193"/>
      <c r="AD142" s="193"/>
      <c r="AE142" s="193"/>
      <c r="AF142" s="193"/>
      <c r="AG142" s="193"/>
      <c r="AH142" s="193"/>
      <c r="AI142" s="193"/>
    </row>
    <row r="143" spans="1:35" ht="13.2" x14ac:dyDescent="0.25">
      <c r="A143" s="199"/>
      <c r="B143" s="199"/>
      <c r="C143" s="199"/>
      <c r="D143" s="199"/>
      <c r="E143" s="199"/>
      <c r="F143" s="199"/>
      <c r="G143" s="199"/>
      <c r="H143" s="199"/>
      <c r="I143" s="199"/>
      <c r="J143" s="173"/>
      <c r="K143" s="174"/>
      <c r="L143" s="173"/>
      <c r="M143" s="174"/>
      <c r="N143" s="174"/>
      <c r="O143" s="174"/>
      <c r="P143" s="174"/>
      <c r="Q143" s="235"/>
      <c r="R143" s="174"/>
      <c r="S143" s="174"/>
      <c r="T143" s="177"/>
      <c r="U143" s="174"/>
      <c r="V143" s="193"/>
      <c r="W143" s="174"/>
      <c r="X143" s="193"/>
      <c r="Y143" s="174"/>
      <c r="Z143" s="308"/>
      <c r="AA143" s="193"/>
      <c r="AB143" s="97"/>
      <c r="AC143" s="193"/>
      <c r="AD143" s="193"/>
      <c r="AE143" s="193"/>
      <c r="AF143" s="193"/>
      <c r="AG143" s="193"/>
      <c r="AH143" s="193"/>
      <c r="AI143" s="193"/>
    </row>
    <row r="144" spans="1:35" ht="13.2" x14ac:dyDescent="0.25">
      <c r="A144" s="199"/>
      <c r="B144" s="199"/>
      <c r="C144" s="199"/>
      <c r="D144" s="199"/>
      <c r="E144" s="199"/>
      <c r="F144" s="199"/>
      <c r="G144" s="199"/>
      <c r="H144" s="199"/>
      <c r="I144" s="199"/>
      <c r="J144" s="173"/>
      <c r="K144" s="174"/>
      <c r="L144" s="173"/>
      <c r="M144" s="174"/>
      <c r="N144" s="174"/>
      <c r="O144" s="174"/>
      <c r="P144" s="174"/>
      <c r="Q144" s="235"/>
      <c r="R144" s="174"/>
      <c r="S144" s="174"/>
      <c r="T144" s="177"/>
      <c r="U144" s="174"/>
      <c r="V144" s="193"/>
      <c r="W144" s="174"/>
      <c r="X144" s="193"/>
      <c r="Y144" s="174"/>
      <c r="Z144" s="308"/>
      <c r="AA144" s="193"/>
      <c r="AB144" s="97"/>
      <c r="AC144" s="193"/>
      <c r="AD144" s="193"/>
      <c r="AE144" s="193"/>
      <c r="AF144" s="193"/>
      <c r="AG144" s="193"/>
      <c r="AH144" s="193"/>
      <c r="AI144" s="193"/>
    </row>
    <row r="145" spans="10:35" s="22" customFormat="1" ht="13.2" x14ac:dyDescent="0.25">
      <c r="J145" s="173"/>
      <c r="K145" s="174"/>
      <c r="L145" s="173"/>
      <c r="M145" s="174"/>
      <c r="N145" s="174"/>
      <c r="O145" s="174"/>
      <c r="P145" s="174"/>
      <c r="Q145" s="235"/>
      <c r="R145" s="174"/>
      <c r="S145" s="174"/>
      <c r="T145" s="177"/>
      <c r="U145" s="174"/>
      <c r="V145" s="193"/>
      <c r="W145" s="174"/>
      <c r="X145" s="193"/>
      <c r="Y145" s="174"/>
      <c r="Z145" s="308"/>
      <c r="AA145" s="193"/>
      <c r="AB145" s="97"/>
      <c r="AC145" s="193"/>
      <c r="AD145" s="193"/>
      <c r="AE145" s="193"/>
      <c r="AF145" s="193"/>
      <c r="AG145" s="193"/>
      <c r="AH145" s="193"/>
      <c r="AI145" s="193"/>
    </row>
    <row r="146" spans="10:35" s="22" customFormat="1" ht="13.2" x14ac:dyDescent="0.25">
      <c r="J146" s="173"/>
      <c r="K146" s="174"/>
      <c r="L146" s="173"/>
      <c r="M146" s="174"/>
      <c r="N146" s="174"/>
      <c r="O146" s="174"/>
      <c r="P146" s="174"/>
      <c r="Q146" s="235"/>
      <c r="R146" s="174"/>
      <c r="S146" s="174"/>
      <c r="T146" s="177"/>
      <c r="U146" s="174"/>
      <c r="V146" s="193"/>
      <c r="W146" s="174"/>
      <c r="X146" s="193"/>
      <c r="Y146" s="174"/>
      <c r="Z146" s="308"/>
      <c r="AA146" s="193"/>
      <c r="AB146" s="97"/>
      <c r="AC146" s="193"/>
      <c r="AD146" s="193"/>
      <c r="AE146" s="193"/>
      <c r="AF146" s="193"/>
      <c r="AG146" s="193"/>
      <c r="AH146" s="193"/>
      <c r="AI146" s="193"/>
    </row>
    <row r="147" spans="10:35" s="22" customFormat="1" ht="13.2" x14ac:dyDescent="0.25">
      <c r="J147" s="173"/>
      <c r="K147" s="174"/>
      <c r="L147" s="173"/>
      <c r="M147" s="174"/>
      <c r="N147" s="174"/>
      <c r="O147" s="174"/>
      <c r="P147" s="174"/>
      <c r="Q147" s="235"/>
      <c r="R147" s="174"/>
      <c r="S147" s="174"/>
      <c r="T147" s="177"/>
      <c r="U147" s="174"/>
      <c r="V147" s="193"/>
      <c r="W147" s="174"/>
      <c r="X147" s="193"/>
      <c r="Y147" s="174"/>
      <c r="Z147" s="308"/>
      <c r="AA147" s="193"/>
      <c r="AB147" s="97"/>
      <c r="AC147" s="193"/>
      <c r="AD147" s="193"/>
      <c r="AE147" s="193"/>
      <c r="AF147" s="193"/>
      <c r="AG147" s="193"/>
      <c r="AH147" s="193"/>
      <c r="AI147" s="193"/>
    </row>
    <row r="148" spans="10:35" s="22" customFormat="1" ht="13.2" x14ac:dyDescent="0.25">
      <c r="J148" s="173"/>
      <c r="K148" s="174"/>
      <c r="L148" s="173"/>
      <c r="M148" s="174"/>
      <c r="N148" s="174"/>
      <c r="O148" s="174"/>
      <c r="P148" s="174"/>
      <c r="Q148" s="235"/>
      <c r="R148" s="174"/>
      <c r="S148" s="174"/>
      <c r="T148" s="177"/>
      <c r="U148" s="174"/>
      <c r="V148" s="193"/>
      <c r="W148" s="174"/>
      <c r="X148" s="193"/>
      <c r="Y148" s="174"/>
      <c r="Z148" s="308"/>
      <c r="AA148" s="193"/>
      <c r="AB148" s="97"/>
      <c r="AC148" s="193"/>
      <c r="AD148" s="193"/>
      <c r="AE148" s="193"/>
      <c r="AF148" s="193"/>
      <c r="AG148" s="193"/>
      <c r="AH148" s="193"/>
      <c r="AI148" s="193"/>
    </row>
    <row r="149" spans="10:35" s="22" customFormat="1" ht="13.2" x14ac:dyDescent="0.25">
      <c r="J149" s="173"/>
      <c r="K149" s="174"/>
      <c r="L149" s="173"/>
      <c r="M149" s="174"/>
      <c r="N149" s="174"/>
      <c r="O149" s="174"/>
      <c r="P149" s="174"/>
      <c r="Q149" s="235"/>
      <c r="R149" s="174"/>
      <c r="S149" s="174"/>
      <c r="T149" s="177"/>
      <c r="U149" s="174"/>
      <c r="V149" s="193"/>
      <c r="W149" s="174"/>
      <c r="X149" s="193"/>
      <c r="Y149" s="174"/>
      <c r="Z149" s="308"/>
      <c r="AA149" s="193"/>
      <c r="AB149" s="97"/>
      <c r="AC149" s="193"/>
      <c r="AD149" s="193"/>
      <c r="AE149" s="193"/>
      <c r="AF149" s="193"/>
      <c r="AG149" s="193"/>
      <c r="AH149" s="193"/>
      <c r="AI149" s="193"/>
    </row>
    <row r="150" spans="10:35" s="22" customFormat="1" ht="13.2" x14ac:dyDescent="0.25">
      <c r="J150" s="173"/>
      <c r="K150" s="174"/>
      <c r="L150" s="173"/>
      <c r="M150" s="174"/>
      <c r="N150" s="174"/>
      <c r="O150" s="174"/>
      <c r="P150" s="174"/>
      <c r="Q150" s="235"/>
      <c r="R150" s="174"/>
      <c r="S150" s="174"/>
      <c r="T150" s="177"/>
      <c r="U150" s="174"/>
      <c r="V150" s="193"/>
      <c r="W150" s="174"/>
      <c r="X150" s="193"/>
      <c r="Y150" s="174"/>
      <c r="Z150" s="308"/>
      <c r="AA150" s="193"/>
      <c r="AB150" s="97"/>
      <c r="AC150" s="193"/>
      <c r="AD150" s="193"/>
      <c r="AE150" s="193"/>
      <c r="AF150" s="193"/>
      <c r="AG150" s="193"/>
      <c r="AH150" s="193"/>
      <c r="AI150" s="193"/>
    </row>
    <row r="151" spans="10:35" s="22" customFormat="1" ht="13.2" x14ac:dyDescent="0.25">
      <c r="J151" s="173"/>
      <c r="K151" s="174"/>
      <c r="L151" s="173"/>
      <c r="M151" s="174"/>
      <c r="N151" s="174"/>
      <c r="O151" s="174"/>
      <c r="P151" s="174"/>
      <c r="Q151" s="235"/>
      <c r="R151" s="174"/>
      <c r="S151" s="174"/>
      <c r="T151" s="177"/>
      <c r="U151" s="174"/>
      <c r="V151" s="193"/>
      <c r="W151" s="174"/>
      <c r="X151" s="193"/>
      <c r="Y151" s="174"/>
      <c r="Z151" s="308"/>
      <c r="AA151" s="193"/>
      <c r="AB151" s="97"/>
      <c r="AC151" s="193"/>
      <c r="AD151" s="193"/>
      <c r="AE151" s="193"/>
      <c r="AF151" s="193"/>
      <c r="AG151" s="193"/>
      <c r="AH151" s="193"/>
      <c r="AI151" s="193"/>
    </row>
    <row r="152" spans="10:35" s="22" customFormat="1" ht="13.2" x14ac:dyDescent="0.25">
      <c r="J152" s="173"/>
      <c r="K152" s="174"/>
      <c r="L152" s="173"/>
      <c r="M152" s="174"/>
      <c r="N152" s="174"/>
      <c r="O152" s="174"/>
      <c r="P152" s="174"/>
      <c r="Q152" s="235"/>
      <c r="R152" s="174"/>
      <c r="S152" s="174"/>
      <c r="T152" s="177"/>
      <c r="U152" s="174"/>
      <c r="V152" s="193"/>
      <c r="W152" s="174"/>
      <c r="X152" s="193"/>
      <c r="Y152" s="174"/>
      <c r="Z152" s="308"/>
      <c r="AA152" s="193"/>
      <c r="AB152" s="97"/>
      <c r="AC152" s="193"/>
      <c r="AD152" s="193"/>
      <c r="AE152" s="193"/>
      <c r="AF152" s="193"/>
      <c r="AG152" s="193"/>
      <c r="AH152" s="193"/>
      <c r="AI152" s="193"/>
    </row>
    <row r="153" spans="10:35" s="22" customFormat="1" ht="13.2" x14ac:dyDescent="0.25">
      <c r="J153" s="173"/>
      <c r="K153" s="174"/>
      <c r="L153" s="173"/>
      <c r="M153" s="174"/>
      <c r="N153" s="174"/>
      <c r="O153" s="174"/>
      <c r="P153" s="174"/>
      <c r="Q153" s="235"/>
      <c r="R153" s="174"/>
      <c r="S153" s="174"/>
      <c r="T153" s="177"/>
      <c r="U153" s="174"/>
      <c r="V153" s="193"/>
      <c r="W153" s="174"/>
      <c r="X153" s="193"/>
      <c r="Y153" s="174"/>
      <c r="Z153" s="308"/>
      <c r="AA153" s="193"/>
      <c r="AB153" s="97"/>
      <c r="AC153" s="193"/>
      <c r="AD153" s="193"/>
      <c r="AE153" s="193"/>
      <c r="AF153" s="193"/>
      <c r="AG153" s="193"/>
      <c r="AH153" s="193"/>
      <c r="AI153" s="193"/>
    </row>
    <row r="154" spans="10:35" s="22" customFormat="1" ht="13.2" x14ac:dyDescent="0.25">
      <c r="J154" s="173"/>
      <c r="K154" s="174"/>
      <c r="L154" s="173"/>
      <c r="M154" s="174"/>
      <c r="N154" s="174"/>
      <c r="O154" s="174"/>
      <c r="P154" s="174"/>
      <c r="Q154" s="235"/>
      <c r="R154" s="174"/>
      <c r="S154" s="174"/>
      <c r="T154" s="177"/>
      <c r="U154" s="174"/>
      <c r="V154" s="193"/>
      <c r="W154" s="174"/>
      <c r="X154" s="193"/>
      <c r="Y154" s="174"/>
      <c r="Z154" s="308"/>
      <c r="AA154" s="193"/>
      <c r="AB154" s="97"/>
      <c r="AC154" s="193"/>
      <c r="AD154" s="193"/>
      <c r="AE154" s="193"/>
      <c r="AF154" s="193"/>
      <c r="AG154" s="193"/>
      <c r="AH154" s="193"/>
      <c r="AI154" s="193"/>
    </row>
    <row r="155" spans="10:35" s="22" customFormat="1" ht="13.2" x14ac:dyDescent="0.25">
      <c r="J155" s="173"/>
      <c r="K155" s="174"/>
      <c r="L155" s="173"/>
      <c r="M155" s="174"/>
      <c r="N155" s="174"/>
      <c r="O155" s="174"/>
      <c r="P155" s="174"/>
      <c r="Q155" s="235"/>
      <c r="R155" s="174"/>
      <c r="S155" s="174"/>
      <c r="T155" s="177"/>
      <c r="U155" s="174"/>
      <c r="V155" s="193"/>
      <c r="W155" s="174"/>
      <c r="X155" s="193"/>
      <c r="Y155" s="174"/>
      <c r="Z155" s="308"/>
      <c r="AA155" s="193"/>
      <c r="AB155" s="97"/>
      <c r="AC155" s="193"/>
      <c r="AD155" s="193"/>
      <c r="AE155" s="193"/>
      <c r="AF155" s="193"/>
      <c r="AG155" s="193"/>
      <c r="AH155" s="193"/>
      <c r="AI155" s="193"/>
    </row>
    <row r="156" spans="10:35" s="22" customFormat="1" ht="13.2" x14ac:dyDescent="0.25">
      <c r="J156" s="173"/>
      <c r="K156" s="174"/>
      <c r="L156" s="173"/>
      <c r="M156" s="174"/>
      <c r="N156" s="174"/>
      <c r="O156" s="174"/>
      <c r="P156" s="174"/>
      <c r="Q156" s="235"/>
      <c r="R156" s="174"/>
      <c r="S156" s="174"/>
      <c r="T156" s="177"/>
      <c r="U156" s="174"/>
      <c r="V156" s="193"/>
      <c r="W156" s="174"/>
      <c r="X156" s="193"/>
      <c r="Y156" s="174"/>
      <c r="Z156" s="308"/>
      <c r="AA156" s="193"/>
      <c r="AB156" s="97"/>
      <c r="AC156" s="193"/>
      <c r="AD156" s="193"/>
      <c r="AE156" s="193"/>
      <c r="AF156" s="193"/>
      <c r="AG156" s="193"/>
      <c r="AH156" s="193"/>
      <c r="AI156" s="193"/>
    </row>
    <row r="157" spans="10:35" s="22" customFormat="1" ht="13.2" x14ac:dyDescent="0.25">
      <c r="J157" s="173"/>
      <c r="K157" s="174"/>
      <c r="L157" s="173"/>
      <c r="M157" s="174"/>
      <c r="N157" s="174"/>
      <c r="O157" s="174"/>
      <c r="P157" s="174"/>
      <c r="Q157" s="235"/>
      <c r="R157" s="174"/>
      <c r="S157" s="174"/>
      <c r="T157" s="177"/>
      <c r="U157" s="174"/>
      <c r="V157" s="193"/>
      <c r="W157" s="174"/>
      <c r="X157" s="193"/>
      <c r="Y157" s="174"/>
      <c r="Z157" s="308"/>
      <c r="AA157" s="193"/>
      <c r="AB157" s="97"/>
      <c r="AC157" s="193"/>
      <c r="AD157" s="193"/>
      <c r="AE157" s="193"/>
      <c r="AF157" s="193"/>
      <c r="AG157" s="193"/>
      <c r="AH157" s="193"/>
      <c r="AI157" s="193"/>
    </row>
    <row r="158" spans="10:35" s="22" customFormat="1" ht="13.2" x14ac:dyDescent="0.25">
      <c r="J158" s="173"/>
      <c r="K158" s="174"/>
      <c r="L158" s="173"/>
      <c r="M158" s="174"/>
      <c r="N158" s="174"/>
      <c r="O158" s="174"/>
      <c r="P158" s="174"/>
      <c r="Q158" s="235"/>
      <c r="R158" s="174"/>
      <c r="S158" s="174"/>
      <c r="T158" s="177"/>
      <c r="U158" s="174"/>
      <c r="V158" s="193"/>
      <c r="W158" s="174"/>
      <c r="X158" s="193"/>
      <c r="Y158" s="174"/>
      <c r="Z158" s="308"/>
      <c r="AA158" s="193"/>
      <c r="AB158" s="97"/>
      <c r="AC158" s="193"/>
      <c r="AD158" s="193"/>
      <c r="AE158" s="193"/>
      <c r="AF158" s="193"/>
      <c r="AG158" s="193"/>
      <c r="AH158" s="193"/>
      <c r="AI158" s="193"/>
    </row>
    <row r="159" spans="10:35" s="22" customFormat="1" ht="13.2" x14ac:dyDescent="0.25">
      <c r="J159" s="173"/>
      <c r="K159" s="174"/>
      <c r="L159" s="173"/>
      <c r="M159" s="174"/>
      <c r="N159" s="174"/>
      <c r="O159" s="174"/>
      <c r="P159" s="174"/>
      <c r="Q159" s="235"/>
      <c r="R159" s="174"/>
      <c r="S159" s="174"/>
      <c r="T159" s="177"/>
      <c r="U159" s="174"/>
      <c r="V159" s="193"/>
      <c r="W159" s="174"/>
      <c r="X159" s="193"/>
      <c r="Y159" s="174"/>
      <c r="Z159" s="308"/>
      <c r="AA159" s="193"/>
      <c r="AB159" s="97"/>
      <c r="AC159" s="193"/>
      <c r="AD159" s="193"/>
      <c r="AE159" s="193"/>
      <c r="AF159" s="193"/>
      <c r="AG159" s="193"/>
      <c r="AH159" s="193"/>
      <c r="AI159" s="193"/>
    </row>
    <row r="160" spans="10:35" s="22" customFormat="1" ht="13.2" x14ac:dyDescent="0.25">
      <c r="J160" s="173"/>
      <c r="K160" s="174"/>
      <c r="L160" s="173"/>
      <c r="M160" s="174"/>
      <c r="N160" s="174"/>
      <c r="O160" s="174"/>
      <c r="P160" s="174"/>
      <c r="Q160" s="235"/>
      <c r="R160" s="174"/>
      <c r="S160" s="174"/>
      <c r="T160" s="177"/>
      <c r="U160" s="174"/>
      <c r="V160" s="193"/>
      <c r="W160" s="174"/>
      <c r="X160" s="193"/>
      <c r="Y160" s="174"/>
      <c r="Z160" s="308"/>
      <c r="AA160" s="193"/>
      <c r="AB160" s="97"/>
      <c r="AC160" s="193"/>
      <c r="AD160" s="193"/>
      <c r="AE160" s="193"/>
      <c r="AF160" s="193"/>
      <c r="AG160" s="193"/>
      <c r="AH160" s="193"/>
      <c r="AI160" s="193"/>
    </row>
    <row r="161" spans="10:35" s="22" customFormat="1" ht="13.2" x14ac:dyDescent="0.25">
      <c r="J161" s="173"/>
      <c r="K161" s="174"/>
      <c r="L161" s="173"/>
      <c r="M161" s="174"/>
      <c r="N161" s="174"/>
      <c r="O161" s="174"/>
      <c r="P161" s="174"/>
      <c r="Q161" s="235"/>
      <c r="R161" s="174"/>
      <c r="S161" s="174"/>
      <c r="T161" s="177"/>
      <c r="U161" s="174"/>
      <c r="V161" s="193"/>
      <c r="W161" s="174"/>
      <c r="X161" s="193"/>
      <c r="Y161" s="174"/>
      <c r="Z161" s="308"/>
      <c r="AA161" s="193"/>
      <c r="AB161" s="97"/>
      <c r="AC161" s="193"/>
      <c r="AD161" s="193"/>
      <c r="AE161" s="193"/>
      <c r="AF161" s="193"/>
      <c r="AG161" s="193"/>
      <c r="AH161" s="193"/>
      <c r="AI161" s="193"/>
    </row>
    <row r="162" spans="10:35" s="22" customFormat="1" ht="13.2" x14ac:dyDescent="0.25">
      <c r="J162" s="173"/>
      <c r="K162" s="174"/>
      <c r="L162" s="173"/>
      <c r="M162" s="174"/>
      <c r="N162" s="174"/>
      <c r="O162" s="174"/>
      <c r="P162" s="174"/>
      <c r="Q162" s="235"/>
      <c r="R162" s="174"/>
      <c r="S162" s="174"/>
      <c r="T162" s="177"/>
      <c r="U162" s="174"/>
      <c r="V162" s="193"/>
      <c r="W162" s="174"/>
      <c r="X162" s="193"/>
      <c r="Y162" s="174"/>
      <c r="Z162" s="308"/>
      <c r="AA162" s="193"/>
      <c r="AB162" s="97"/>
      <c r="AC162" s="193"/>
      <c r="AD162" s="193"/>
      <c r="AE162" s="193"/>
      <c r="AF162" s="193"/>
      <c r="AG162" s="193"/>
      <c r="AH162" s="193"/>
      <c r="AI162" s="193"/>
    </row>
    <row r="163" spans="10:35" s="22" customFormat="1" ht="13.2" x14ac:dyDescent="0.25">
      <c r="J163" s="173"/>
      <c r="K163" s="174"/>
      <c r="L163" s="173"/>
      <c r="M163" s="174"/>
      <c r="N163" s="174"/>
      <c r="O163" s="174"/>
      <c r="P163" s="174"/>
      <c r="Q163" s="235"/>
      <c r="R163" s="174"/>
      <c r="S163" s="174"/>
      <c r="T163" s="177"/>
      <c r="U163" s="174"/>
      <c r="V163" s="193"/>
      <c r="W163" s="174"/>
      <c r="X163" s="193"/>
      <c r="Y163" s="174"/>
      <c r="Z163" s="308"/>
      <c r="AA163" s="193"/>
      <c r="AB163" s="97"/>
      <c r="AC163" s="193"/>
      <c r="AD163" s="193"/>
      <c r="AE163" s="193"/>
      <c r="AF163" s="193"/>
      <c r="AG163" s="193"/>
      <c r="AH163" s="193"/>
      <c r="AI163" s="193"/>
    </row>
    <row r="164" spans="10:35" s="22" customFormat="1" ht="13.2" x14ac:dyDescent="0.25">
      <c r="J164" s="173"/>
      <c r="K164" s="174"/>
      <c r="L164" s="173"/>
      <c r="M164" s="174"/>
      <c r="N164" s="174"/>
      <c r="O164" s="174"/>
      <c r="P164" s="174"/>
      <c r="Q164" s="235"/>
      <c r="R164" s="174"/>
      <c r="S164" s="174"/>
      <c r="T164" s="177"/>
      <c r="U164" s="174"/>
      <c r="V164" s="193"/>
      <c r="W164" s="174"/>
      <c r="X164" s="193"/>
      <c r="Y164" s="174"/>
      <c r="Z164" s="308"/>
      <c r="AA164" s="193"/>
      <c r="AB164" s="97"/>
      <c r="AC164" s="193"/>
      <c r="AD164" s="193"/>
      <c r="AE164" s="193"/>
      <c r="AF164" s="193"/>
      <c r="AG164" s="193"/>
      <c r="AH164" s="193"/>
      <c r="AI164" s="193"/>
    </row>
    <row r="165" spans="10:35" s="22" customFormat="1" ht="13.2" x14ac:dyDescent="0.25">
      <c r="J165" s="173"/>
      <c r="K165" s="174"/>
      <c r="L165" s="173"/>
      <c r="M165" s="174"/>
      <c r="N165" s="174"/>
      <c r="O165" s="174"/>
      <c r="P165" s="174"/>
      <c r="Q165" s="235"/>
      <c r="R165" s="174"/>
      <c r="S165" s="174"/>
      <c r="T165" s="177"/>
      <c r="U165" s="174"/>
      <c r="V165" s="193"/>
      <c r="W165" s="174"/>
      <c r="X165" s="193"/>
      <c r="Y165" s="174"/>
      <c r="Z165" s="308"/>
      <c r="AA165" s="193"/>
      <c r="AB165" s="97"/>
      <c r="AC165" s="193"/>
      <c r="AD165" s="193"/>
      <c r="AE165" s="193"/>
      <c r="AF165" s="193"/>
      <c r="AG165" s="193"/>
      <c r="AH165" s="193"/>
      <c r="AI165" s="193"/>
    </row>
    <row r="166" spans="10:35" s="22" customFormat="1" ht="13.2" x14ac:dyDescent="0.25">
      <c r="J166" s="173"/>
      <c r="K166" s="174"/>
      <c r="L166" s="173"/>
      <c r="M166" s="174"/>
      <c r="N166" s="174"/>
      <c r="O166" s="174"/>
      <c r="P166" s="174"/>
      <c r="Q166" s="235"/>
      <c r="R166" s="174"/>
      <c r="S166" s="174"/>
      <c r="T166" s="177"/>
      <c r="U166" s="174"/>
      <c r="V166" s="193"/>
      <c r="W166" s="174"/>
      <c r="X166" s="193"/>
      <c r="Y166" s="174"/>
      <c r="Z166" s="308"/>
      <c r="AA166" s="193"/>
      <c r="AB166" s="97"/>
      <c r="AC166" s="193"/>
      <c r="AD166" s="193"/>
      <c r="AE166" s="193"/>
      <c r="AF166" s="193"/>
      <c r="AG166" s="193"/>
      <c r="AH166" s="193"/>
      <c r="AI166" s="193"/>
    </row>
    <row r="167" spans="10:35" s="22" customFormat="1" ht="13.2" x14ac:dyDescent="0.25">
      <c r="J167" s="173"/>
      <c r="K167" s="174"/>
      <c r="L167" s="173"/>
      <c r="M167" s="174"/>
      <c r="N167" s="174"/>
      <c r="O167" s="174"/>
      <c r="P167" s="174"/>
      <c r="Q167" s="235"/>
      <c r="R167" s="174"/>
      <c r="S167" s="174"/>
      <c r="T167" s="177"/>
      <c r="U167" s="174"/>
      <c r="V167" s="193"/>
      <c r="W167" s="174"/>
      <c r="X167" s="193"/>
      <c r="Y167" s="174"/>
      <c r="Z167" s="308"/>
      <c r="AA167" s="193"/>
      <c r="AB167" s="97"/>
      <c r="AC167" s="193"/>
      <c r="AD167" s="193"/>
      <c r="AE167" s="193"/>
      <c r="AF167" s="193"/>
      <c r="AG167" s="193"/>
      <c r="AH167" s="193"/>
      <c r="AI167" s="193"/>
    </row>
    <row r="168" spans="10:35" s="22" customFormat="1" ht="13.2" x14ac:dyDescent="0.25">
      <c r="J168" s="173"/>
      <c r="K168" s="174"/>
      <c r="L168" s="173"/>
      <c r="M168" s="174"/>
      <c r="N168" s="174"/>
      <c r="O168" s="174"/>
      <c r="P168" s="174"/>
      <c r="Q168" s="235"/>
      <c r="R168" s="174"/>
      <c r="S168" s="174"/>
      <c r="T168" s="177"/>
      <c r="U168" s="174"/>
      <c r="V168" s="193"/>
      <c r="W168" s="174"/>
      <c r="X168" s="193"/>
      <c r="Y168" s="174"/>
      <c r="Z168" s="308"/>
      <c r="AA168" s="193"/>
      <c r="AB168" s="97"/>
      <c r="AC168" s="193"/>
      <c r="AD168" s="193"/>
      <c r="AE168" s="193"/>
      <c r="AF168" s="193"/>
      <c r="AG168" s="193"/>
      <c r="AH168" s="193"/>
      <c r="AI168" s="193"/>
    </row>
    <row r="169" spans="10:35" s="22" customFormat="1" ht="13.2" x14ac:dyDescent="0.25">
      <c r="J169" s="173"/>
      <c r="K169" s="174"/>
      <c r="L169" s="173"/>
      <c r="M169" s="174"/>
      <c r="N169" s="174"/>
      <c r="O169" s="174"/>
      <c r="P169" s="174"/>
      <c r="Q169" s="235"/>
      <c r="R169" s="174"/>
      <c r="S169" s="174"/>
      <c r="T169" s="177"/>
      <c r="U169" s="174"/>
      <c r="V169" s="193"/>
      <c r="W169" s="174"/>
      <c r="X169" s="193"/>
      <c r="Y169" s="174"/>
      <c r="Z169" s="308"/>
      <c r="AA169" s="193"/>
      <c r="AB169" s="97"/>
      <c r="AC169" s="193"/>
      <c r="AD169" s="193"/>
      <c r="AE169" s="193"/>
      <c r="AF169" s="193"/>
      <c r="AG169" s="193"/>
      <c r="AH169" s="193"/>
      <c r="AI169" s="193"/>
    </row>
    <row r="170" spans="10:35" s="22" customFormat="1" ht="13.2" x14ac:dyDescent="0.25">
      <c r="J170" s="173"/>
      <c r="K170" s="174"/>
      <c r="L170" s="173"/>
      <c r="M170" s="174"/>
      <c r="N170" s="174"/>
      <c r="O170" s="174"/>
      <c r="P170" s="174"/>
      <c r="Q170" s="235"/>
      <c r="R170" s="174"/>
      <c r="S170" s="174"/>
      <c r="T170" s="177"/>
      <c r="U170" s="174"/>
      <c r="V170" s="193"/>
      <c r="W170" s="174"/>
      <c r="X170" s="193"/>
      <c r="Y170" s="174"/>
      <c r="Z170" s="308"/>
      <c r="AA170" s="193"/>
      <c r="AB170" s="97"/>
      <c r="AC170" s="193"/>
      <c r="AD170" s="193"/>
      <c r="AE170" s="193"/>
      <c r="AF170" s="193"/>
      <c r="AG170" s="193"/>
      <c r="AH170" s="193"/>
      <c r="AI170" s="193"/>
    </row>
    <row r="171" spans="10:35" s="22" customFormat="1" ht="13.2" x14ac:dyDescent="0.25">
      <c r="J171" s="173"/>
      <c r="K171" s="174"/>
      <c r="L171" s="173"/>
      <c r="M171" s="174"/>
      <c r="N171" s="174"/>
      <c r="O171" s="174"/>
      <c r="P171" s="174"/>
      <c r="Q171" s="235"/>
      <c r="R171" s="174"/>
      <c r="S171" s="174"/>
      <c r="T171" s="177"/>
      <c r="U171" s="174"/>
      <c r="V171" s="193"/>
      <c r="W171" s="174"/>
      <c r="X171" s="193"/>
      <c r="Y171" s="174"/>
      <c r="Z171" s="308"/>
      <c r="AA171" s="193"/>
      <c r="AB171" s="97"/>
      <c r="AC171" s="193"/>
      <c r="AD171" s="193"/>
      <c r="AE171" s="193"/>
      <c r="AF171" s="193"/>
      <c r="AG171" s="193"/>
      <c r="AH171" s="193"/>
      <c r="AI171" s="193"/>
    </row>
    <row r="172" spans="10:35" s="22" customFormat="1" ht="13.2" x14ac:dyDescent="0.25">
      <c r="J172" s="173"/>
      <c r="K172" s="174"/>
      <c r="L172" s="173"/>
      <c r="M172" s="174"/>
      <c r="N172" s="174"/>
      <c r="O172" s="174"/>
      <c r="P172" s="174"/>
      <c r="Q172" s="235"/>
      <c r="R172" s="174"/>
      <c r="S172" s="174"/>
      <c r="T172" s="177"/>
      <c r="U172" s="174"/>
      <c r="V172" s="193"/>
      <c r="W172" s="174"/>
      <c r="X172" s="193"/>
      <c r="Y172" s="174"/>
      <c r="Z172" s="308"/>
      <c r="AA172" s="193"/>
      <c r="AB172" s="97"/>
      <c r="AC172" s="193"/>
      <c r="AD172" s="193"/>
      <c r="AE172" s="193"/>
      <c r="AF172" s="193"/>
      <c r="AG172" s="193"/>
      <c r="AH172" s="193"/>
      <c r="AI172" s="193"/>
    </row>
    <row r="173" spans="10:35" s="22" customFormat="1" ht="13.2" x14ac:dyDescent="0.25">
      <c r="J173" s="173"/>
      <c r="K173" s="174"/>
      <c r="L173" s="173"/>
      <c r="M173" s="174"/>
      <c r="N173" s="174"/>
      <c r="O173" s="174"/>
      <c r="P173" s="174"/>
      <c r="Q173" s="235"/>
      <c r="R173" s="174"/>
      <c r="S173" s="174"/>
      <c r="T173" s="177"/>
      <c r="U173" s="174"/>
      <c r="V173" s="193"/>
      <c r="W173" s="174"/>
      <c r="X173" s="193"/>
      <c r="Y173" s="174"/>
      <c r="Z173" s="308"/>
      <c r="AA173" s="193"/>
      <c r="AB173" s="97"/>
      <c r="AC173" s="193"/>
      <c r="AD173" s="193"/>
      <c r="AE173" s="193"/>
      <c r="AF173" s="193"/>
      <c r="AG173" s="193"/>
      <c r="AH173" s="193"/>
      <c r="AI173" s="193"/>
    </row>
    <row r="174" spans="10:35" s="22" customFormat="1" ht="13.2" x14ac:dyDescent="0.25">
      <c r="J174" s="173"/>
      <c r="K174" s="174"/>
      <c r="L174" s="173"/>
      <c r="M174" s="174"/>
      <c r="N174" s="174"/>
      <c r="O174" s="174"/>
      <c r="P174" s="174"/>
      <c r="Q174" s="235"/>
      <c r="R174" s="174"/>
      <c r="S174" s="174"/>
      <c r="T174" s="177"/>
      <c r="U174" s="174"/>
      <c r="V174" s="193"/>
      <c r="W174" s="174"/>
      <c r="X174" s="193"/>
      <c r="Y174" s="174"/>
      <c r="Z174" s="308"/>
      <c r="AA174" s="193"/>
      <c r="AB174" s="97"/>
      <c r="AC174" s="193"/>
      <c r="AD174" s="193"/>
      <c r="AE174" s="193"/>
      <c r="AF174" s="193"/>
      <c r="AG174" s="193"/>
      <c r="AH174" s="193"/>
      <c r="AI174" s="193"/>
    </row>
    <row r="175" spans="10:35" s="22" customFormat="1" ht="13.2" x14ac:dyDescent="0.25">
      <c r="J175" s="173"/>
      <c r="K175" s="174"/>
      <c r="L175" s="173"/>
      <c r="M175" s="174"/>
      <c r="N175" s="174"/>
      <c r="O175" s="174"/>
      <c r="P175" s="174"/>
      <c r="Q175" s="235"/>
      <c r="R175" s="174"/>
      <c r="S175" s="174"/>
      <c r="T175" s="177"/>
      <c r="U175" s="174"/>
      <c r="V175" s="193"/>
      <c r="W175" s="174"/>
      <c r="X175" s="193"/>
      <c r="Y175" s="174"/>
      <c r="Z175" s="308"/>
      <c r="AA175" s="193"/>
      <c r="AB175" s="97"/>
      <c r="AC175" s="193"/>
      <c r="AD175" s="193"/>
      <c r="AE175" s="193"/>
      <c r="AF175" s="193"/>
      <c r="AG175" s="193"/>
      <c r="AH175" s="193"/>
      <c r="AI175" s="193"/>
    </row>
    <row r="176" spans="10:35" s="22" customFormat="1" ht="13.2" x14ac:dyDescent="0.25">
      <c r="J176" s="173"/>
      <c r="K176" s="174"/>
      <c r="L176" s="173"/>
      <c r="M176" s="174"/>
      <c r="N176" s="174"/>
      <c r="O176" s="174"/>
      <c r="P176" s="174"/>
      <c r="Q176" s="235"/>
      <c r="R176" s="174"/>
      <c r="S176" s="174"/>
      <c r="T176" s="177"/>
      <c r="U176" s="174"/>
      <c r="V176" s="193"/>
      <c r="W176" s="174"/>
      <c r="X176" s="193"/>
      <c r="Y176" s="174"/>
      <c r="Z176" s="308"/>
      <c r="AA176" s="193"/>
      <c r="AB176" s="97"/>
      <c r="AC176" s="193"/>
      <c r="AD176" s="193"/>
      <c r="AE176" s="193"/>
      <c r="AF176" s="193"/>
      <c r="AG176" s="193"/>
      <c r="AH176" s="193"/>
      <c r="AI176" s="193"/>
    </row>
    <row r="177" spans="10:35" s="22" customFormat="1" ht="13.2" x14ac:dyDescent="0.25">
      <c r="J177" s="173"/>
      <c r="K177" s="174"/>
      <c r="L177" s="173"/>
      <c r="M177" s="174"/>
      <c r="N177" s="174"/>
      <c r="O177" s="174"/>
      <c r="P177" s="174"/>
      <c r="Q177" s="235"/>
      <c r="R177" s="174"/>
      <c r="S177" s="174"/>
      <c r="T177" s="177"/>
      <c r="U177" s="174"/>
      <c r="V177" s="193"/>
      <c r="W177" s="174"/>
      <c r="X177" s="193"/>
      <c r="Y177" s="174"/>
      <c r="Z177" s="308"/>
      <c r="AA177" s="193"/>
      <c r="AB177" s="97"/>
      <c r="AC177" s="193"/>
      <c r="AD177" s="193"/>
      <c r="AE177" s="193"/>
      <c r="AF177" s="193"/>
      <c r="AG177" s="193"/>
      <c r="AH177" s="193"/>
      <c r="AI177" s="193"/>
    </row>
    <row r="178" spans="10:35" s="22" customFormat="1" ht="13.2" x14ac:dyDescent="0.25">
      <c r="J178" s="173"/>
      <c r="K178" s="174"/>
      <c r="L178" s="173"/>
      <c r="M178" s="174"/>
      <c r="N178" s="174"/>
      <c r="O178" s="174"/>
      <c r="P178" s="174"/>
      <c r="Q178" s="235"/>
      <c r="R178" s="174"/>
      <c r="S178" s="174"/>
      <c r="T178" s="177"/>
      <c r="U178" s="174"/>
      <c r="V178" s="193"/>
      <c r="W178" s="174"/>
      <c r="X178" s="193"/>
      <c r="Y178" s="174"/>
      <c r="Z178" s="308"/>
      <c r="AA178" s="193"/>
      <c r="AB178" s="97"/>
      <c r="AC178" s="193"/>
      <c r="AD178" s="193"/>
      <c r="AE178" s="193"/>
      <c r="AF178" s="193"/>
      <c r="AG178" s="193"/>
      <c r="AH178" s="193"/>
      <c r="AI178" s="193"/>
    </row>
    <row r="179" spans="10:35" s="22" customFormat="1" ht="13.2" x14ac:dyDescent="0.25">
      <c r="J179" s="173"/>
      <c r="K179" s="174"/>
      <c r="L179" s="173"/>
      <c r="M179" s="174"/>
      <c r="N179" s="174"/>
      <c r="O179" s="174"/>
      <c r="P179" s="174"/>
      <c r="Q179" s="235"/>
      <c r="R179" s="174"/>
      <c r="S179" s="174"/>
      <c r="T179" s="177"/>
      <c r="U179" s="174"/>
      <c r="V179" s="193"/>
      <c r="W179" s="174"/>
      <c r="X179" s="193"/>
      <c r="Y179" s="174"/>
      <c r="Z179" s="308"/>
      <c r="AA179" s="193"/>
      <c r="AB179" s="97"/>
      <c r="AC179" s="193"/>
      <c r="AD179" s="193"/>
      <c r="AE179" s="193"/>
      <c r="AF179" s="193"/>
      <c r="AG179" s="193"/>
      <c r="AH179" s="193"/>
      <c r="AI179" s="193"/>
    </row>
    <row r="180" spans="10:35" s="22" customFormat="1" ht="13.2" x14ac:dyDescent="0.25">
      <c r="J180" s="173"/>
      <c r="K180" s="174"/>
      <c r="L180" s="173"/>
      <c r="M180" s="174"/>
      <c r="N180" s="174"/>
      <c r="O180" s="174"/>
      <c r="P180" s="174"/>
      <c r="Q180" s="235"/>
      <c r="R180" s="174"/>
      <c r="S180" s="174"/>
      <c r="T180" s="177"/>
      <c r="U180" s="174"/>
      <c r="V180" s="193"/>
      <c r="W180" s="174"/>
      <c r="X180" s="193"/>
      <c r="Y180" s="174"/>
      <c r="Z180" s="308"/>
      <c r="AA180" s="193"/>
      <c r="AB180" s="97"/>
      <c r="AC180" s="193"/>
      <c r="AD180" s="193"/>
      <c r="AE180" s="193"/>
      <c r="AF180" s="193"/>
      <c r="AG180" s="193"/>
      <c r="AH180" s="193"/>
      <c r="AI180" s="193"/>
    </row>
    <row r="181" spans="10:35" s="22" customFormat="1" ht="13.2" x14ac:dyDescent="0.25">
      <c r="J181" s="173"/>
      <c r="K181" s="174"/>
      <c r="L181" s="173"/>
      <c r="M181" s="174"/>
      <c r="N181" s="174"/>
      <c r="O181" s="174"/>
      <c r="P181" s="174"/>
      <c r="Q181" s="235"/>
      <c r="R181" s="174"/>
      <c r="S181" s="174"/>
      <c r="T181" s="177"/>
      <c r="U181" s="174"/>
      <c r="V181" s="193"/>
      <c r="W181" s="174"/>
      <c r="X181" s="193"/>
      <c r="Y181" s="174"/>
      <c r="Z181" s="308"/>
      <c r="AA181" s="193"/>
      <c r="AB181" s="97"/>
      <c r="AC181" s="193"/>
      <c r="AD181" s="193"/>
      <c r="AE181" s="193"/>
      <c r="AF181" s="193"/>
      <c r="AG181" s="193"/>
      <c r="AH181" s="193"/>
      <c r="AI181" s="193"/>
    </row>
    <row r="182" spans="10:35" s="22" customFormat="1" ht="13.2" x14ac:dyDescent="0.25">
      <c r="J182" s="173"/>
      <c r="K182" s="174"/>
      <c r="L182" s="173"/>
      <c r="M182" s="174"/>
      <c r="N182" s="174"/>
      <c r="O182" s="174"/>
      <c r="P182" s="174"/>
      <c r="Q182" s="235"/>
      <c r="R182" s="174"/>
      <c r="S182" s="174"/>
      <c r="T182" s="177"/>
      <c r="U182" s="174"/>
      <c r="V182" s="193"/>
      <c r="W182" s="174"/>
      <c r="X182" s="193"/>
      <c r="Y182" s="174"/>
      <c r="Z182" s="308"/>
      <c r="AA182" s="193"/>
      <c r="AB182" s="97"/>
      <c r="AC182" s="193"/>
      <c r="AD182" s="193"/>
      <c r="AE182" s="193"/>
      <c r="AF182" s="193"/>
      <c r="AG182" s="193"/>
      <c r="AH182" s="193"/>
      <c r="AI182" s="193"/>
    </row>
    <row r="183" spans="10:35" s="22" customFormat="1" ht="13.2" x14ac:dyDescent="0.25">
      <c r="J183" s="173"/>
      <c r="K183" s="174"/>
      <c r="L183" s="173"/>
      <c r="M183" s="174"/>
      <c r="N183" s="174"/>
      <c r="O183" s="174"/>
      <c r="P183" s="174"/>
      <c r="Q183" s="235"/>
      <c r="R183" s="174"/>
      <c r="S183" s="174"/>
      <c r="T183" s="177"/>
      <c r="U183" s="174"/>
      <c r="V183" s="193"/>
      <c r="W183" s="174"/>
      <c r="X183" s="193"/>
      <c r="Y183" s="174"/>
      <c r="Z183" s="308"/>
      <c r="AA183" s="193"/>
      <c r="AB183" s="97"/>
      <c r="AC183" s="193"/>
      <c r="AD183" s="193"/>
      <c r="AE183" s="193"/>
      <c r="AF183" s="193"/>
      <c r="AG183" s="193"/>
      <c r="AH183" s="193"/>
      <c r="AI183" s="193"/>
    </row>
    <row r="184" spans="10:35" s="22" customFormat="1" ht="13.2" x14ac:dyDescent="0.25">
      <c r="J184" s="173"/>
      <c r="K184" s="174"/>
      <c r="L184" s="173"/>
      <c r="M184" s="174"/>
      <c r="N184" s="174"/>
      <c r="O184" s="174"/>
      <c r="P184" s="174"/>
      <c r="Q184" s="235"/>
      <c r="R184" s="174"/>
      <c r="S184" s="174"/>
      <c r="T184" s="177"/>
      <c r="U184" s="174"/>
      <c r="V184" s="193"/>
      <c r="W184" s="174"/>
      <c r="X184" s="193"/>
      <c r="Y184" s="174"/>
      <c r="Z184" s="308"/>
      <c r="AA184" s="193"/>
      <c r="AB184" s="97"/>
      <c r="AC184" s="193"/>
      <c r="AD184" s="193"/>
      <c r="AE184" s="193"/>
      <c r="AF184" s="193"/>
      <c r="AG184" s="193"/>
      <c r="AH184" s="193"/>
      <c r="AI184" s="193"/>
    </row>
    <row r="185" spans="10:35" s="22" customFormat="1" ht="13.2" x14ac:dyDescent="0.25">
      <c r="J185" s="173"/>
      <c r="K185" s="174"/>
      <c r="L185" s="173"/>
      <c r="M185" s="174"/>
      <c r="N185" s="174"/>
      <c r="O185" s="174"/>
      <c r="P185" s="174"/>
      <c r="Q185" s="235"/>
      <c r="R185" s="174"/>
      <c r="S185" s="174"/>
      <c r="T185" s="177"/>
      <c r="U185" s="174"/>
      <c r="V185" s="193"/>
      <c r="W185" s="174"/>
      <c r="X185" s="193"/>
      <c r="Y185" s="174"/>
      <c r="Z185" s="308"/>
      <c r="AA185" s="193"/>
      <c r="AB185" s="97"/>
      <c r="AC185" s="193"/>
      <c r="AD185" s="193"/>
      <c r="AE185" s="193"/>
      <c r="AF185" s="193"/>
      <c r="AG185" s="193"/>
      <c r="AH185" s="193"/>
      <c r="AI185" s="193"/>
    </row>
    <row r="186" spans="10:35" s="22" customFormat="1" ht="13.2" x14ac:dyDescent="0.25">
      <c r="J186" s="173"/>
      <c r="K186" s="174"/>
      <c r="L186" s="173"/>
      <c r="M186" s="174"/>
      <c r="N186" s="174"/>
      <c r="O186" s="174"/>
      <c r="P186" s="174"/>
      <c r="Q186" s="235"/>
      <c r="R186" s="174"/>
      <c r="S186" s="174"/>
      <c r="T186" s="177"/>
      <c r="U186" s="174"/>
      <c r="V186" s="193"/>
      <c r="W186" s="174"/>
      <c r="X186" s="193"/>
      <c r="Y186" s="174"/>
      <c r="Z186" s="308"/>
      <c r="AA186" s="193"/>
      <c r="AB186" s="97"/>
      <c r="AC186" s="193"/>
      <c r="AD186" s="193"/>
      <c r="AE186" s="193"/>
      <c r="AF186" s="193"/>
      <c r="AG186" s="193"/>
      <c r="AH186" s="193"/>
      <c r="AI186" s="193"/>
    </row>
    <row r="187" spans="10:35" s="22" customFormat="1" ht="13.2" x14ac:dyDescent="0.25">
      <c r="J187" s="173"/>
      <c r="K187" s="174"/>
      <c r="L187" s="173"/>
      <c r="M187" s="174"/>
      <c r="N187" s="174"/>
      <c r="O187" s="174"/>
      <c r="P187" s="174"/>
      <c r="Q187" s="235"/>
      <c r="R187" s="174"/>
      <c r="S187" s="174"/>
      <c r="T187" s="177"/>
      <c r="U187" s="174"/>
      <c r="V187" s="193"/>
      <c r="W187" s="174"/>
      <c r="X187" s="193"/>
      <c r="Y187" s="174"/>
      <c r="Z187" s="308"/>
      <c r="AA187" s="193"/>
      <c r="AB187" s="97"/>
      <c r="AC187" s="193"/>
      <c r="AD187" s="193"/>
      <c r="AE187" s="193"/>
      <c r="AF187" s="193"/>
      <c r="AG187" s="193"/>
      <c r="AH187" s="193"/>
      <c r="AI187" s="193"/>
    </row>
    <row r="188" spans="10:35" s="22" customFormat="1" ht="13.2" x14ac:dyDescent="0.25">
      <c r="J188" s="173"/>
      <c r="K188" s="174"/>
      <c r="L188" s="173"/>
      <c r="M188" s="174"/>
      <c r="N188" s="174"/>
      <c r="O188" s="174"/>
      <c r="P188" s="174"/>
      <c r="Q188" s="235"/>
      <c r="R188" s="174"/>
      <c r="S188" s="174"/>
      <c r="T188" s="177"/>
      <c r="U188" s="174"/>
      <c r="V188" s="193"/>
      <c r="W188" s="174"/>
      <c r="X188" s="193"/>
      <c r="Y188" s="174"/>
      <c r="Z188" s="308"/>
      <c r="AA188" s="193"/>
      <c r="AB188" s="97"/>
      <c r="AC188" s="193"/>
      <c r="AD188" s="193"/>
      <c r="AE188" s="193"/>
      <c r="AF188" s="193"/>
      <c r="AG188" s="193"/>
      <c r="AH188" s="193"/>
      <c r="AI188" s="193"/>
    </row>
    <row r="189" spans="10:35" s="22" customFormat="1" ht="13.2" x14ac:dyDescent="0.25">
      <c r="J189" s="173"/>
      <c r="K189" s="174"/>
      <c r="L189" s="173"/>
      <c r="M189" s="174"/>
      <c r="N189" s="174"/>
      <c r="O189" s="174"/>
      <c r="P189" s="174"/>
      <c r="Q189" s="235"/>
      <c r="R189" s="174"/>
      <c r="S189" s="174"/>
      <c r="T189" s="177"/>
      <c r="U189" s="174"/>
      <c r="V189" s="193"/>
      <c r="W189" s="174"/>
      <c r="X189" s="193"/>
      <c r="Y189" s="174"/>
      <c r="Z189" s="308"/>
      <c r="AA189" s="193"/>
      <c r="AB189" s="97"/>
      <c r="AC189" s="193"/>
      <c r="AD189" s="193"/>
      <c r="AE189" s="193"/>
      <c r="AF189" s="193"/>
      <c r="AG189" s="193"/>
      <c r="AH189" s="193"/>
      <c r="AI189" s="193"/>
    </row>
    <row r="190" spans="10:35" s="22" customFormat="1" ht="13.2" x14ac:dyDescent="0.25">
      <c r="J190" s="173"/>
      <c r="K190" s="174"/>
      <c r="L190" s="173"/>
      <c r="M190" s="174"/>
      <c r="N190" s="174"/>
      <c r="O190" s="174"/>
      <c r="P190" s="174"/>
      <c r="Q190" s="235"/>
      <c r="R190" s="174"/>
      <c r="S190" s="174"/>
      <c r="T190" s="177"/>
      <c r="U190" s="174"/>
      <c r="V190" s="193"/>
      <c r="W190" s="174"/>
      <c r="X190" s="193"/>
      <c r="Y190" s="174"/>
      <c r="Z190" s="308"/>
      <c r="AA190" s="193"/>
      <c r="AB190" s="97"/>
      <c r="AC190" s="193"/>
      <c r="AD190" s="193"/>
      <c r="AE190" s="193"/>
      <c r="AF190" s="193"/>
      <c r="AG190" s="193"/>
      <c r="AH190" s="193"/>
      <c r="AI190" s="193"/>
    </row>
    <row r="191" spans="10:35" s="22" customFormat="1" ht="13.2" x14ac:dyDescent="0.25">
      <c r="J191" s="173"/>
      <c r="K191" s="174"/>
      <c r="L191" s="173"/>
      <c r="M191" s="174"/>
      <c r="N191" s="174"/>
      <c r="O191" s="174"/>
      <c r="P191" s="174"/>
      <c r="Q191" s="235"/>
      <c r="R191" s="174"/>
      <c r="S191" s="174"/>
      <c r="T191" s="177"/>
      <c r="U191" s="174"/>
      <c r="V191" s="193"/>
      <c r="W191" s="174"/>
      <c r="X191" s="193"/>
      <c r="Y191" s="174"/>
      <c r="Z191" s="308"/>
      <c r="AA191" s="193"/>
      <c r="AB191" s="97"/>
      <c r="AC191" s="193"/>
      <c r="AD191" s="193"/>
      <c r="AE191" s="193"/>
      <c r="AF191" s="193"/>
      <c r="AG191" s="193"/>
      <c r="AH191" s="193"/>
      <c r="AI191" s="193"/>
    </row>
    <row r="192" spans="10:35" s="22" customFormat="1" ht="13.2" x14ac:dyDescent="0.25">
      <c r="J192" s="173"/>
      <c r="K192" s="174"/>
      <c r="L192" s="173"/>
      <c r="M192" s="174"/>
      <c r="N192" s="174"/>
      <c r="O192" s="174"/>
      <c r="P192" s="174"/>
      <c r="Q192" s="235"/>
      <c r="R192" s="174"/>
      <c r="S192" s="174"/>
      <c r="T192" s="177"/>
      <c r="U192" s="174"/>
      <c r="V192" s="193"/>
      <c r="W192" s="174"/>
      <c r="X192" s="193"/>
      <c r="Y192" s="174"/>
      <c r="Z192" s="308"/>
      <c r="AA192" s="193"/>
      <c r="AB192" s="97"/>
      <c r="AC192" s="193"/>
      <c r="AD192" s="193"/>
      <c r="AE192" s="193"/>
      <c r="AF192" s="193"/>
      <c r="AG192" s="193"/>
      <c r="AH192" s="193"/>
      <c r="AI192" s="193"/>
    </row>
    <row r="193" spans="10:35" s="22" customFormat="1" ht="13.2" x14ac:dyDescent="0.25">
      <c r="J193" s="173"/>
      <c r="K193" s="174"/>
      <c r="L193" s="173"/>
      <c r="M193" s="174"/>
      <c r="N193" s="174"/>
      <c r="O193" s="174"/>
      <c r="P193" s="174"/>
      <c r="Q193" s="235"/>
      <c r="R193" s="174"/>
      <c r="S193" s="174"/>
      <c r="T193" s="177"/>
      <c r="U193" s="174"/>
      <c r="V193" s="193"/>
      <c r="W193" s="174"/>
      <c r="X193" s="193"/>
      <c r="Y193" s="174"/>
      <c r="Z193" s="308"/>
      <c r="AA193" s="193"/>
      <c r="AB193" s="97"/>
      <c r="AC193" s="193"/>
      <c r="AD193" s="193"/>
      <c r="AE193" s="193"/>
      <c r="AF193" s="193"/>
      <c r="AG193" s="193"/>
      <c r="AH193" s="193"/>
      <c r="AI193" s="193"/>
    </row>
    <row r="194" spans="10:35" s="22" customFormat="1" ht="13.2" x14ac:dyDescent="0.25">
      <c r="J194" s="173"/>
      <c r="K194" s="174"/>
      <c r="L194" s="173"/>
      <c r="M194" s="174"/>
      <c r="N194" s="174"/>
      <c r="O194" s="174"/>
      <c r="P194" s="174"/>
      <c r="Q194" s="235"/>
      <c r="R194" s="174"/>
      <c r="S194" s="174"/>
      <c r="T194" s="177"/>
      <c r="U194" s="174"/>
      <c r="V194" s="193"/>
      <c r="W194" s="174"/>
      <c r="X194" s="193"/>
      <c r="Y194" s="174"/>
      <c r="Z194" s="308"/>
      <c r="AA194" s="193"/>
      <c r="AB194" s="97"/>
      <c r="AC194" s="193"/>
      <c r="AD194" s="193"/>
      <c r="AE194" s="193"/>
      <c r="AF194" s="193"/>
      <c r="AG194" s="193"/>
      <c r="AH194" s="193"/>
      <c r="AI194" s="193"/>
    </row>
    <row r="195" spans="10:35" s="22" customFormat="1" ht="13.2" x14ac:dyDescent="0.25">
      <c r="J195" s="173"/>
      <c r="K195" s="174"/>
      <c r="L195" s="173"/>
      <c r="M195" s="174"/>
      <c r="N195" s="174"/>
      <c r="O195" s="174"/>
      <c r="P195" s="174"/>
      <c r="Q195" s="235"/>
      <c r="R195" s="174"/>
      <c r="S195" s="174"/>
      <c r="T195" s="177"/>
      <c r="U195" s="174"/>
      <c r="V195" s="193"/>
      <c r="W195" s="174"/>
      <c r="X195" s="193"/>
      <c r="Y195" s="174"/>
      <c r="Z195" s="308"/>
      <c r="AA195" s="193"/>
      <c r="AB195" s="97"/>
      <c r="AC195" s="193"/>
      <c r="AD195" s="193"/>
      <c r="AE195" s="193"/>
      <c r="AF195" s="193"/>
      <c r="AG195" s="193"/>
      <c r="AH195" s="193"/>
      <c r="AI195" s="193"/>
    </row>
    <row r="196" spans="10:35" s="22" customFormat="1" ht="13.2" x14ac:dyDescent="0.25">
      <c r="J196" s="173"/>
      <c r="K196" s="174"/>
      <c r="L196" s="173"/>
      <c r="M196" s="174"/>
      <c r="N196" s="174"/>
      <c r="O196" s="174"/>
      <c r="P196" s="174"/>
      <c r="Q196" s="235"/>
      <c r="R196" s="174"/>
      <c r="S196" s="174"/>
      <c r="T196" s="177"/>
      <c r="U196" s="174"/>
      <c r="V196" s="193"/>
      <c r="W196" s="174"/>
      <c r="X196" s="193"/>
      <c r="Y196" s="174"/>
      <c r="Z196" s="308"/>
      <c r="AA196" s="193"/>
      <c r="AB196" s="97"/>
      <c r="AC196" s="193"/>
      <c r="AD196" s="193"/>
      <c r="AE196" s="193"/>
      <c r="AF196" s="193"/>
      <c r="AG196" s="193"/>
      <c r="AH196" s="193"/>
      <c r="AI196" s="193"/>
    </row>
    <row r="197" spans="10:35" s="22" customFormat="1" ht="13.2" x14ac:dyDescent="0.25">
      <c r="J197" s="173"/>
      <c r="K197" s="174"/>
      <c r="L197" s="173"/>
      <c r="M197" s="174"/>
      <c r="N197" s="174"/>
      <c r="O197" s="174"/>
      <c r="P197" s="174"/>
      <c r="Q197" s="235"/>
      <c r="R197" s="174"/>
      <c r="S197" s="174"/>
      <c r="T197" s="177"/>
      <c r="U197" s="174"/>
      <c r="V197" s="193"/>
      <c r="W197" s="174"/>
      <c r="X197" s="193"/>
      <c r="Y197" s="174"/>
      <c r="Z197" s="308"/>
      <c r="AA197" s="193"/>
      <c r="AB197" s="97"/>
      <c r="AC197" s="193"/>
      <c r="AD197" s="193"/>
      <c r="AE197" s="193"/>
      <c r="AF197" s="193"/>
      <c r="AG197" s="193"/>
      <c r="AH197" s="193"/>
      <c r="AI197" s="193"/>
    </row>
    <row r="198" spans="10:35" s="22" customFormat="1" ht="13.2" x14ac:dyDescent="0.25">
      <c r="J198" s="173"/>
      <c r="K198" s="174"/>
      <c r="L198" s="173"/>
      <c r="M198" s="174"/>
      <c r="N198" s="174"/>
      <c r="O198" s="174"/>
      <c r="P198" s="174"/>
      <c r="Q198" s="235"/>
      <c r="R198" s="174"/>
      <c r="S198" s="174"/>
      <c r="T198" s="177"/>
      <c r="U198" s="174"/>
      <c r="V198" s="193"/>
      <c r="W198" s="174"/>
      <c r="X198" s="193"/>
      <c r="Y198" s="174"/>
      <c r="Z198" s="308"/>
      <c r="AA198" s="193"/>
      <c r="AB198" s="97"/>
      <c r="AC198" s="193"/>
      <c r="AD198" s="193"/>
      <c r="AE198" s="193"/>
      <c r="AF198" s="193"/>
      <c r="AG198" s="193"/>
      <c r="AH198" s="193"/>
      <c r="AI198" s="193"/>
    </row>
    <row r="199" spans="10:35" s="22" customFormat="1" ht="13.2" x14ac:dyDescent="0.25">
      <c r="J199" s="173"/>
      <c r="K199" s="174"/>
      <c r="L199" s="173"/>
      <c r="M199" s="174"/>
      <c r="N199" s="174"/>
      <c r="O199" s="174"/>
      <c r="P199" s="174"/>
      <c r="Q199" s="235"/>
      <c r="R199" s="174"/>
      <c r="S199" s="174"/>
      <c r="T199" s="177"/>
      <c r="U199" s="174"/>
      <c r="V199" s="193"/>
      <c r="W199" s="174"/>
      <c r="X199" s="193"/>
      <c r="Y199" s="174"/>
      <c r="Z199" s="308"/>
      <c r="AA199" s="193"/>
      <c r="AB199" s="97"/>
      <c r="AC199" s="193"/>
      <c r="AD199" s="193"/>
      <c r="AE199" s="193"/>
      <c r="AF199" s="193"/>
      <c r="AG199" s="193"/>
      <c r="AH199" s="193"/>
      <c r="AI199" s="193"/>
    </row>
    <row r="200" spans="10:35" s="22" customFormat="1" ht="13.2" x14ac:dyDescent="0.25">
      <c r="J200" s="173"/>
      <c r="K200" s="174"/>
      <c r="L200" s="173"/>
      <c r="M200" s="174"/>
      <c r="N200" s="174"/>
      <c r="O200" s="174"/>
      <c r="P200" s="174"/>
      <c r="Q200" s="235"/>
      <c r="R200" s="174"/>
      <c r="S200" s="174"/>
      <c r="T200" s="177"/>
      <c r="U200" s="174"/>
      <c r="V200" s="193"/>
      <c r="W200" s="174"/>
      <c r="X200" s="193"/>
      <c r="Y200" s="174"/>
      <c r="Z200" s="308"/>
      <c r="AA200" s="193"/>
      <c r="AB200" s="97"/>
      <c r="AC200" s="193"/>
      <c r="AD200" s="193"/>
      <c r="AE200" s="193"/>
      <c r="AF200" s="193"/>
      <c r="AG200" s="193"/>
      <c r="AH200" s="193"/>
      <c r="AI200" s="193"/>
    </row>
    <row r="201" spans="10:35" s="22" customFormat="1" ht="13.2" x14ac:dyDescent="0.25">
      <c r="J201" s="173"/>
      <c r="K201" s="174"/>
      <c r="L201" s="173"/>
      <c r="M201" s="174"/>
      <c r="N201" s="174"/>
      <c r="O201" s="174"/>
      <c r="P201" s="174"/>
      <c r="Q201" s="235"/>
      <c r="R201" s="174"/>
      <c r="S201" s="174"/>
      <c r="T201" s="177"/>
      <c r="U201" s="174"/>
      <c r="V201" s="193"/>
      <c r="W201" s="174"/>
      <c r="X201" s="193"/>
      <c r="Y201" s="174"/>
      <c r="Z201" s="308"/>
      <c r="AA201" s="193"/>
      <c r="AB201" s="97"/>
      <c r="AC201" s="193"/>
      <c r="AD201" s="193"/>
      <c r="AE201" s="193"/>
      <c r="AF201" s="193"/>
      <c r="AG201" s="193"/>
      <c r="AH201" s="193"/>
      <c r="AI201" s="193"/>
    </row>
    <row r="202" spans="10:35" s="22" customFormat="1" ht="13.2" x14ac:dyDescent="0.25">
      <c r="J202" s="173"/>
      <c r="K202" s="174"/>
      <c r="L202" s="173"/>
      <c r="M202" s="174"/>
      <c r="N202" s="174"/>
      <c r="O202" s="174"/>
      <c r="P202" s="174"/>
      <c r="Q202" s="235"/>
      <c r="R202" s="174"/>
      <c r="S202" s="174"/>
      <c r="T202" s="177"/>
      <c r="U202" s="174"/>
      <c r="V202" s="193"/>
      <c r="W202" s="174"/>
      <c r="X202" s="193"/>
      <c r="Y202" s="174"/>
      <c r="Z202" s="308"/>
      <c r="AA202" s="193"/>
      <c r="AB202" s="97"/>
      <c r="AC202" s="193"/>
      <c r="AD202" s="193"/>
      <c r="AE202" s="193"/>
      <c r="AF202" s="193"/>
      <c r="AG202" s="193"/>
      <c r="AH202" s="193"/>
      <c r="AI202" s="193"/>
    </row>
    <row r="203" spans="10:35" s="22" customFormat="1" ht="13.2" x14ac:dyDescent="0.25">
      <c r="J203" s="173"/>
      <c r="K203" s="174"/>
      <c r="L203" s="173"/>
      <c r="M203" s="174"/>
      <c r="N203" s="174"/>
      <c r="O203" s="174"/>
      <c r="P203" s="174"/>
      <c r="Q203" s="235"/>
      <c r="R203" s="174"/>
      <c r="S203" s="174"/>
      <c r="T203" s="177"/>
      <c r="U203" s="174"/>
      <c r="V203" s="193"/>
      <c r="W203" s="174"/>
      <c r="X203" s="193"/>
      <c r="Y203" s="174"/>
      <c r="Z203" s="308"/>
      <c r="AA203" s="193"/>
      <c r="AB203" s="97"/>
      <c r="AC203" s="193"/>
      <c r="AD203" s="193"/>
      <c r="AE203" s="193"/>
      <c r="AF203" s="193"/>
      <c r="AG203" s="193"/>
      <c r="AH203" s="193"/>
      <c r="AI203" s="193"/>
    </row>
    <row r="204" spans="10:35" s="22" customFormat="1" ht="13.2" x14ac:dyDescent="0.25">
      <c r="J204" s="173"/>
      <c r="K204" s="174"/>
      <c r="L204" s="173"/>
      <c r="M204" s="174"/>
      <c r="N204" s="174"/>
      <c r="O204" s="174"/>
      <c r="P204" s="174"/>
      <c r="Q204" s="235"/>
      <c r="R204" s="174"/>
      <c r="S204" s="174"/>
      <c r="T204" s="177"/>
      <c r="U204" s="174"/>
      <c r="V204" s="193"/>
      <c r="W204" s="174"/>
      <c r="X204" s="193"/>
      <c r="Y204" s="174"/>
      <c r="Z204" s="308"/>
      <c r="AA204" s="193"/>
      <c r="AB204" s="97"/>
      <c r="AC204" s="193"/>
      <c r="AD204" s="193"/>
      <c r="AE204" s="193"/>
      <c r="AF204" s="193"/>
      <c r="AG204" s="193"/>
      <c r="AH204" s="193"/>
      <c r="AI204" s="193"/>
    </row>
    <row r="205" spans="10:35" s="22" customFormat="1" ht="13.2" x14ac:dyDescent="0.25">
      <c r="J205" s="173"/>
      <c r="K205" s="174"/>
      <c r="L205" s="173"/>
      <c r="M205" s="174"/>
      <c r="N205" s="174"/>
      <c r="O205" s="174"/>
      <c r="P205" s="174"/>
      <c r="Q205" s="235"/>
      <c r="R205" s="174"/>
      <c r="S205" s="174"/>
      <c r="T205" s="177"/>
      <c r="U205" s="174"/>
      <c r="V205" s="193"/>
      <c r="W205" s="174"/>
      <c r="X205" s="193"/>
      <c r="Y205" s="174"/>
      <c r="Z205" s="308"/>
      <c r="AA205" s="193"/>
      <c r="AB205" s="97"/>
      <c r="AC205" s="193"/>
      <c r="AD205" s="193"/>
      <c r="AE205" s="193"/>
      <c r="AF205" s="193"/>
      <c r="AG205" s="193"/>
      <c r="AH205" s="193"/>
      <c r="AI205" s="193"/>
    </row>
    <row r="206" spans="10:35" s="22" customFormat="1" ht="13.2" x14ac:dyDescent="0.25">
      <c r="J206" s="173"/>
      <c r="K206" s="174"/>
      <c r="L206" s="173"/>
      <c r="M206" s="174"/>
      <c r="N206" s="174"/>
      <c r="O206" s="174"/>
      <c r="P206" s="174"/>
      <c r="Q206" s="235"/>
      <c r="R206" s="174"/>
      <c r="S206" s="174"/>
      <c r="T206" s="177"/>
      <c r="U206" s="174"/>
      <c r="V206" s="193"/>
      <c r="W206" s="174"/>
      <c r="X206" s="193"/>
      <c r="Y206" s="174"/>
      <c r="Z206" s="308"/>
      <c r="AA206" s="193"/>
      <c r="AB206" s="97"/>
      <c r="AC206" s="193"/>
      <c r="AD206" s="193"/>
      <c r="AE206" s="193"/>
      <c r="AF206" s="193"/>
      <c r="AG206" s="193"/>
      <c r="AH206" s="193"/>
      <c r="AI206" s="193"/>
    </row>
    <row r="207" spans="10:35" s="22" customFormat="1" ht="13.2" x14ac:dyDescent="0.25">
      <c r="J207" s="173"/>
      <c r="K207" s="174"/>
      <c r="L207" s="173"/>
      <c r="M207" s="174"/>
      <c r="N207" s="174"/>
      <c r="O207" s="174"/>
      <c r="P207" s="174"/>
      <c r="Q207" s="235"/>
      <c r="R207" s="174"/>
      <c r="S207" s="174"/>
      <c r="T207" s="177"/>
      <c r="U207" s="174"/>
      <c r="V207" s="193"/>
      <c r="W207" s="174"/>
      <c r="X207" s="193"/>
      <c r="Y207" s="174"/>
      <c r="Z207" s="308"/>
      <c r="AA207" s="193"/>
      <c r="AB207" s="97"/>
      <c r="AC207" s="193"/>
      <c r="AD207" s="193"/>
      <c r="AE207" s="193"/>
      <c r="AF207" s="193"/>
      <c r="AG207" s="193"/>
      <c r="AH207" s="193"/>
      <c r="AI207" s="193"/>
    </row>
    <row r="208" spans="10:35" s="22" customFormat="1" ht="13.2" x14ac:dyDescent="0.25">
      <c r="J208" s="173"/>
      <c r="K208" s="174"/>
      <c r="L208" s="173"/>
      <c r="M208" s="174"/>
      <c r="N208" s="174"/>
      <c r="O208" s="174"/>
      <c r="P208" s="174"/>
      <c r="Q208" s="235"/>
      <c r="R208" s="174"/>
      <c r="S208" s="174"/>
      <c r="T208" s="177"/>
      <c r="U208" s="174"/>
      <c r="V208" s="193"/>
      <c r="W208" s="174"/>
      <c r="X208" s="193"/>
      <c r="Y208" s="174"/>
      <c r="Z208" s="308"/>
      <c r="AA208" s="193"/>
      <c r="AB208" s="97"/>
      <c r="AC208" s="193"/>
      <c r="AD208" s="193"/>
      <c r="AE208" s="193"/>
      <c r="AF208" s="193"/>
      <c r="AG208" s="193"/>
      <c r="AH208" s="193"/>
      <c r="AI208" s="193"/>
    </row>
    <row r="209" spans="10:35" s="22" customFormat="1" ht="13.2" x14ac:dyDescent="0.25">
      <c r="J209" s="173"/>
      <c r="K209" s="174"/>
      <c r="L209" s="173"/>
      <c r="M209" s="174"/>
      <c r="N209" s="174"/>
      <c r="O209" s="174"/>
      <c r="P209" s="174"/>
      <c r="Q209" s="235"/>
      <c r="R209" s="174"/>
      <c r="S209" s="174"/>
      <c r="T209" s="177"/>
      <c r="U209" s="174"/>
      <c r="V209" s="193"/>
      <c r="W209" s="174"/>
      <c r="X209" s="193"/>
      <c r="Y209" s="174"/>
      <c r="Z209" s="308"/>
      <c r="AA209" s="193"/>
      <c r="AB209" s="97"/>
      <c r="AC209" s="193"/>
      <c r="AD209" s="193"/>
      <c r="AE209" s="193"/>
      <c r="AF209" s="193"/>
      <c r="AG209" s="193"/>
      <c r="AH209" s="193"/>
      <c r="AI209" s="193"/>
    </row>
    <row r="210" spans="10:35" s="22" customFormat="1" ht="13.2" x14ac:dyDescent="0.25">
      <c r="J210" s="173"/>
      <c r="K210" s="174"/>
      <c r="L210" s="173"/>
      <c r="M210" s="174"/>
      <c r="N210" s="174"/>
      <c r="O210" s="174"/>
      <c r="P210" s="174"/>
      <c r="Q210" s="235"/>
      <c r="R210" s="174"/>
      <c r="S210" s="174"/>
      <c r="T210" s="177"/>
      <c r="U210" s="174"/>
      <c r="V210" s="193"/>
      <c r="W210" s="174"/>
      <c r="X210" s="193"/>
      <c r="Y210" s="174"/>
      <c r="Z210" s="308"/>
      <c r="AA210" s="193"/>
      <c r="AB210" s="97"/>
      <c r="AC210" s="193"/>
      <c r="AD210" s="193"/>
      <c r="AE210" s="193"/>
      <c r="AF210" s="193"/>
      <c r="AG210" s="193"/>
      <c r="AH210" s="193"/>
      <c r="AI210" s="193"/>
    </row>
    <row r="211" spans="10:35" s="22" customFormat="1" ht="13.2" x14ac:dyDescent="0.25">
      <c r="J211" s="173"/>
      <c r="K211" s="174"/>
      <c r="L211" s="173"/>
      <c r="M211" s="174"/>
      <c r="N211" s="174"/>
      <c r="O211" s="174"/>
      <c r="P211" s="174"/>
      <c r="Q211" s="235"/>
      <c r="R211" s="174"/>
      <c r="S211" s="174"/>
      <c r="T211" s="177"/>
      <c r="U211" s="174"/>
      <c r="V211" s="193"/>
      <c r="W211" s="174"/>
      <c r="X211" s="193"/>
      <c r="Y211" s="174"/>
      <c r="Z211" s="308"/>
      <c r="AA211" s="193"/>
      <c r="AB211" s="97"/>
      <c r="AC211" s="193"/>
      <c r="AD211" s="193"/>
      <c r="AE211" s="193"/>
      <c r="AF211" s="193"/>
      <c r="AG211" s="193"/>
      <c r="AH211" s="193"/>
      <c r="AI211" s="193"/>
    </row>
    <row r="212" spans="10:35" s="22" customFormat="1" ht="13.2" x14ac:dyDescent="0.25">
      <c r="J212" s="173"/>
      <c r="K212" s="174"/>
      <c r="L212" s="173"/>
      <c r="M212" s="174"/>
      <c r="N212" s="174"/>
      <c r="O212" s="174"/>
      <c r="P212" s="174"/>
      <c r="Q212" s="235"/>
      <c r="R212" s="174"/>
      <c r="S212" s="174"/>
      <c r="T212" s="177"/>
      <c r="U212" s="174"/>
      <c r="V212" s="193"/>
      <c r="W212" s="174"/>
      <c r="X212" s="193"/>
      <c r="Y212" s="174"/>
      <c r="Z212" s="308"/>
      <c r="AA212" s="193"/>
      <c r="AB212" s="97"/>
      <c r="AC212" s="193"/>
      <c r="AD212" s="193"/>
      <c r="AE212" s="193"/>
      <c r="AF212" s="193"/>
      <c r="AG212" s="193"/>
      <c r="AH212" s="193"/>
      <c r="AI212" s="193"/>
    </row>
    <row r="213" spans="10:35" s="22" customFormat="1" ht="13.2" x14ac:dyDescent="0.25">
      <c r="J213" s="173"/>
      <c r="K213" s="174"/>
      <c r="L213" s="173"/>
      <c r="M213" s="174"/>
      <c r="N213" s="174"/>
      <c r="O213" s="174"/>
      <c r="P213" s="174"/>
      <c r="Q213" s="235"/>
      <c r="R213" s="174"/>
      <c r="S213" s="174"/>
      <c r="T213" s="177"/>
      <c r="U213" s="174"/>
      <c r="V213" s="193"/>
      <c r="W213" s="174"/>
      <c r="X213" s="193"/>
      <c r="Y213" s="174"/>
      <c r="Z213" s="308"/>
      <c r="AA213" s="193"/>
      <c r="AB213" s="97"/>
      <c r="AC213" s="193"/>
      <c r="AD213" s="193"/>
      <c r="AE213" s="193"/>
      <c r="AF213" s="193"/>
      <c r="AG213" s="193"/>
      <c r="AH213" s="193"/>
      <c r="AI213" s="193"/>
    </row>
    <row r="214" spans="10:35" s="22" customFormat="1" ht="13.2" x14ac:dyDescent="0.25">
      <c r="J214" s="173"/>
      <c r="K214" s="174"/>
      <c r="L214" s="173"/>
      <c r="M214" s="174"/>
      <c r="N214" s="174"/>
      <c r="O214" s="174"/>
      <c r="P214" s="174"/>
      <c r="Q214" s="235"/>
      <c r="R214" s="174"/>
      <c r="S214" s="174"/>
      <c r="T214" s="177"/>
      <c r="U214" s="174"/>
      <c r="V214" s="193"/>
      <c r="W214" s="174"/>
      <c r="X214" s="193"/>
      <c r="Y214" s="174"/>
      <c r="Z214" s="308"/>
      <c r="AA214" s="193"/>
      <c r="AB214" s="97"/>
      <c r="AC214" s="193"/>
      <c r="AD214" s="193"/>
      <c r="AE214" s="193"/>
      <c r="AF214" s="193"/>
      <c r="AG214" s="193"/>
      <c r="AH214" s="193"/>
      <c r="AI214" s="193"/>
    </row>
    <row r="215" spans="10:35" s="22" customFormat="1" ht="13.2" x14ac:dyDescent="0.25">
      <c r="J215" s="173"/>
      <c r="K215" s="174"/>
      <c r="L215" s="173"/>
      <c r="M215" s="174"/>
      <c r="N215" s="174"/>
      <c r="O215" s="174"/>
      <c r="P215" s="174"/>
      <c r="Q215" s="235"/>
      <c r="R215" s="174"/>
      <c r="S215" s="174"/>
      <c r="T215" s="177"/>
      <c r="U215" s="174"/>
      <c r="V215" s="193"/>
      <c r="W215" s="174"/>
      <c r="X215" s="193"/>
      <c r="Y215" s="174"/>
      <c r="Z215" s="308"/>
      <c r="AA215" s="193"/>
      <c r="AB215" s="97"/>
      <c r="AC215" s="193"/>
      <c r="AD215" s="193"/>
      <c r="AE215" s="193"/>
      <c r="AF215" s="193"/>
      <c r="AG215" s="193"/>
      <c r="AH215" s="193"/>
      <c r="AI215" s="193"/>
    </row>
    <row r="216" spans="10:35" s="22" customFormat="1" ht="13.2" x14ac:dyDescent="0.25">
      <c r="J216" s="173"/>
      <c r="K216" s="174"/>
      <c r="L216" s="173"/>
      <c r="M216" s="174"/>
      <c r="N216" s="174"/>
      <c r="O216" s="174"/>
      <c r="P216" s="174"/>
      <c r="Q216" s="235"/>
      <c r="R216" s="174"/>
      <c r="S216" s="174"/>
      <c r="T216" s="177"/>
      <c r="U216" s="174"/>
      <c r="V216" s="193"/>
      <c r="W216" s="174"/>
      <c r="X216" s="193"/>
      <c r="Y216" s="174"/>
      <c r="Z216" s="308"/>
      <c r="AA216" s="193"/>
      <c r="AB216" s="97"/>
      <c r="AC216" s="193"/>
      <c r="AD216" s="193"/>
      <c r="AE216" s="193"/>
      <c r="AF216" s="193"/>
      <c r="AG216" s="193"/>
      <c r="AH216" s="193"/>
      <c r="AI216" s="193"/>
    </row>
    <row r="217" spans="10:35" s="22" customFormat="1" ht="13.2" x14ac:dyDescent="0.25">
      <c r="J217" s="173"/>
      <c r="K217" s="174"/>
      <c r="L217" s="173"/>
      <c r="M217" s="174"/>
      <c r="N217" s="174"/>
      <c r="O217" s="174"/>
      <c r="P217" s="174"/>
      <c r="Q217" s="235"/>
      <c r="R217" s="174"/>
      <c r="S217" s="174"/>
      <c r="T217" s="177"/>
      <c r="U217" s="174"/>
      <c r="V217" s="193"/>
      <c r="W217" s="174"/>
      <c r="X217" s="193"/>
      <c r="Y217" s="174"/>
      <c r="Z217" s="308"/>
      <c r="AA217" s="193"/>
      <c r="AB217" s="97"/>
      <c r="AC217" s="193"/>
      <c r="AD217" s="193"/>
      <c r="AE217" s="193"/>
      <c r="AF217" s="193"/>
      <c r="AG217" s="193"/>
      <c r="AH217" s="193"/>
      <c r="AI217" s="193"/>
    </row>
    <row r="218" spans="10:35" s="22" customFormat="1" ht="13.2" x14ac:dyDescent="0.25">
      <c r="J218" s="173"/>
      <c r="K218" s="174"/>
      <c r="L218" s="173"/>
      <c r="M218" s="174"/>
      <c r="N218" s="174"/>
      <c r="O218" s="174"/>
      <c r="P218" s="174"/>
      <c r="Q218" s="235"/>
      <c r="R218" s="174"/>
      <c r="S218" s="174"/>
      <c r="T218" s="177"/>
      <c r="U218" s="174"/>
      <c r="V218" s="193"/>
      <c r="W218" s="174"/>
      <c r="X218" s="193"/>
      <c r="Y218" s="174"/>
      <c r="Z218" s="308"/>
      <c r="AA218" s="193"/>
      <c r="AB218" s="97"/>
      <c r="AC218" s="193"/>
      <c r="AD218" s="193"/>
      <c r="AE218" s="193"/>
      <c r="AF218" s="193"/>
      <c r="AG218" s="193"/>
      <c r="AH218" s="193"/>
      <c r="AI218" s="193"/>
    </row>
    <row r="219" spans="10:35" s="22" customFormat="1" ht="13.2" x14ac:dyDescent="0.25">
      <c r="J219" s="173"/>
      <c r="K219" s="174"/>
      <c r="L219" s="173"/>
      <c r="M219" s="174"/>
      <c r="N219" s="174"/>
      <c r="O219" s="174"/>
      <c r="P219" s="174"/>
      <c r="Q219" s="235"/>
      <c r="R219" s="174"/>
      <c r="S219" s="174"/>
      <c r="T219" s="177"/>
      <c r="U219" s="174"/>
      <c r="V219" s="193"/>
      <c r="W219" s="174"/>
      <c r="X219" s="193"/>
      <c r="Y219" s="174"/>
      <c r="Z219" s="308"/>
      <c r="AA219" s="193"/>
      <c r="AB219" s="97"/>
      <c r="AC219" s="193"/>
      <c r="AD219" s="193"/>
      <c r="AE219" s="193"/>
      <c r="AF219" s="193"/>
      <c r="AG219" s="193"/>
      <c r="AH219" s="193"/>
      <c r="AI219" s="193"/>
    </row>
    <row r="220" spans="10:35" s="22" customFormat="1" ht="13.2" x14ac:dyDescent="0.25">
      <c r="J220" s="173"/>
      <c r="K220" s="174"/>
      <c r="L220" s="173"/>
      <c r="M220" s="174"/>
      <c r="N220" s="174"/>
      <c r="O220" s="174"/>
      <c r="P220" s="174"/>
      <c r="Q220" s="235"/>
      <c r="R220" s="174"/>
      <c r="S220" s="174"/>
      <c r="T220" s="177"/>
      <c r="U220" s="174"/>
      <c r="V220" s="193"/>
      <c r="W220" s="174"/>
      <c r="X220" s="193"/>
      <c r="Y220" s="174"/>
      <c r="Z220" s="308"/>
      <c r="AA220" s="193"/>
      <c r="AB220" s="97"/>
      <c r="AC220" s="193"/>
      <c r="AD220" s="193"/>
      <c r="AE220" s="193"/>
      <c r="AF220" s="193"/>
      <c r="AG220" s="193"/>
      <c r="AH220" s="193"/>
      <c r="AI220" s="193"/>
    </row>
    <row r="221" spans="10:35" s="22" customFormat="1" ht="13.2" x14ac:dyDescent="0.25">
      <c r="J221" s="173"/>
      <c r="K221" s="174"/>
      <c r="L221" s="173"/>
      <c r="M221" s="174"/>
      <c r="N221" s="174"/>
      <c r="O221" s="174"/>
      <c r="P221" s="174"/>
      <c r="Q221" s="235"/>
      <c r="R221" s="174"/>
      <c r="S221" s="174"/>
      <c r="T221" s="177"/>
      <c r="U221" s="174"/>
      <c r="V221" s="193"/>
      <c r="W221" s="174"/>
      <c r="X221" s="193"/>
      <c r="Y221" s="174"/>
      <c r="Z221" s="308"/>
      <c r="AA221" s="193"/>
      <c r="AB221" s="97"/>
      <c r="AC221" s="193"/>
      <c r="AD221" s="193"/>
      <c r="AE221" s="193"/>
      <c r="AF221" s="193"/>
      <c r="AG221" s="193"/>
      <c r="AH221" s="193"/>
      <c r="AI221" s="193"/>
    </row>
    <row r="222" spans="10:35" s="22" customFormat="1" ht="13.2" x14ac:dyDescent="0.25">
      <c r="J222" s="173"/>
      <c r="K222" s="174"/>
      <c r="L222" s="173"/>
      <c r="M222" s="174"/>
      <c r="N222" s="174"/>
      <c r="O222" s="174"/>
      <c r="P222" s="174"/>
      <c r="Q222" s="235"/>
      <c r="R222" s="174"/>
      <c r="S222" s="174"/>
      <c r="T222" s="177"/>
      <c r="U222" s="174"/>
      <c r="V222" s="193"/>
      <c r="W222" s="174"/>
      <c r="X222" s="193"/>
      <c r="Y222" s="174"/>
      <c r="Z222" s="308"/>
      <c r="AA222" s="193"/>
      <c r="AB222" s="97"/>
      <c r="AC222" s="193"/>
      <c r="AD222" s="193"/>
      <c r="AE222" s="193"/>
      <c r="AF222" s="193"/>
      <c r="AG222" s="193"/>
      <c r="AH222" s="193"/>
      <c r="AI222" s="193"/>
    </row>
    <row r="223" spans="10:35" s="22" customFormat="1" ht="13.2" x14ac:dyDescent="0.25">
      <c r="J223" s="173"/>
      <c r="K223" s="174"/>
      <c r="L223" s="173"/>
      <c r="M223" s="174"/>
      <c r="N223" s="174"/>
      <c r="O223" s="174"/>
      <c r="P223" s="174"/>
      <c r="Q223" s="235"/>
      <c r="R223" s="174"/>
      <c r="S223" s="174"/>
      <c r="T223" s="177"/>
      <c r="U223" s="174"/>
      <c r="V223" s="193"/>
      <c r="W223" s="174"/>
      <c r="X223" s="193"/>
      <c r="Y223" s="174"/>
      <c r="Z223" s="308"/>
      <c r="AA223" s="193"/>
      <c r="AB223" s="97"/>
      <c r="AC223" s="193"/>
      <c r="AD223" s="193"/>
      <c r="AE223" s="193"/>
      <c r="AF223" s="193"/>
      <c r="AG223" s="193"/>
      <c r="AH223" s="193"/>
      <c r="AI223" s="193"/>
    </row>
    <row r="224" spans="10:35" s="22" customFormat="1" ht="13.2" x14ac:dyDescent="0.25">
      <c r="J224" s="173"/>
      <c r="K224" s="174"/>
      <c r="L224" s="173"/>
      <c r="M224" s="174"/>
      <c r="N224" s="174"/>
      <c r="O224" s="174"/>
      <c r="P224" s="174"/>
      <c r="Q224" s="235"/>
      <c r="R224" s="174"/>
      <c r="S224" s="174"/>
      <c r="T224" s="177"/>
      <c r="U224" s="174"/>
      <c r="V224" s="193"/>
      <c r="W224" s="174"/>
      <c r="X224" s="193"/>
      <c r="Y224" s="174"/>
      <c r="Z224" s="308"/>
      <c r="AA224" s="193"/>
      <c r="AB224" s="97"/>
      <c r="AC224" s="193"/>
      <c r="AD224" s="193"/>
      <c r="AE224" s="193"/>
      <c r="AF224" s="193"/>
      <c r="AG224" s="193"/>
      <c r="AH224" s="193"/>
      <c r="AI224" s="193"/>
    </row>
    <row r="225" spans="10:35" s="22" customFormat="1" ht="13.2" x14ac:dyDescent="0.25">
      <c r="J225" s="173"/>
      <c r="K225" s="174"/>
      <c r="L225" s="173"/>
      <c r="M225" s="174"/>
      <c r="N225" s="174"/>
      <c r="O225" s="174"/>
      <c r="P225" s="174"/>
      <c r="Q225" s="235"/>
      <c r="R225" s="174"/>
      <c r="S225" s="174"/>
      <c r="T225" s="177"/>
      <c r="U225" s="174"/>
      <c r="V225" s="193"/>
      <c r="W225" s="174"/>
      <c r="X225" s="193"/>
      <c r="Y225" s="174"/>
      <c r="Z225" s="308"/>
      <c r="AA225" s="193"/>
      <c r="AB225" s="97"/>
      <c r="AC225" s="193"/>
      <c r="AD225" s="193"/>
      <c r="AE225" s="193"/>
      <c r="AF225" s="193"/>
      <c r="AG225" s="193"/>
      <c r="AH225" s="193"/>
      <c r="AI225" s="193"/>
    </row>
    <row r="226" spans="10:35" s="22" customFormat="1" ht="13.2" x14ac:dyDescent="0.25">
      <c r="J226" s="173"/>
      <c r="K226" s="174"/>
      <c r="L226" s="173"/>
      <c r="M226" s="174"/>
      <c r="N226" s="174"/>
      <c r="O226" s="174"/>
      <c r="P226" s="174"/>
      <c r="Q226" s="235"/>
      <c r="R226" s="174"/>
      <c r="S226" s="174"/>
      <c r="T226" s="177"/>
      <c r="U226" s="174"/>
      <c r="V226" s="193"/>
      <c r="W226" s="174"/>
      <c r="X226" s="193"/>
      <c r="Y226" s="174"/>
      <c r="Z226" s="308"/>
      <c r="AA226" s="193"/>
      <c r="AB226" s="97"/>
      <c r="AC226" s="193"/>
      <c r="AD226" s="193"/>
      <c r="AE226" s="193"/>
      <c r="AF226" s="193"/>
      <c r="AG226" s="193"/>
      <c r="AH226" s="193"/>
      <c r="AI226" s="193"/>
    </row>
    <row r="227" spans="10:35" s="22" customFormat="1" ht="13.2" x14ac:dyDescent="0.25">
      <c r="J227" s="173"/>
      <c r="K227" s="174"/>
      <c r="L227" s="173"/>
      <c r="M227" s="174"/>
      <c r="N227" s="174"/>
      <c r="O227" s="174"/>
      <c r="P227" s="174"/>
      <c r="Q227" s="235"/>
      <c r="R227" s="174"/>
      <c r="S227" s="174"/>
      <c r="T227" s="177"/>
      <c r="U227" s="174"/>
      <c r="V227" s="193"/>
      <c r="W227" s="174"/>
      <c r="X227" s="193"/>
      <c r="Y227" s="174"/>
      <c r="Z227" s="308"/>
      <c r="AA227" s="193"/>
      <c r="AB227" s="97"/>
      <c r="AC227" s="193"/>
      <c r="AD227" s="193"/>
      <c r="AE227" s="193"/>
      <c r="AF227" s="193"/>
      <c r="AG227" s="193"/>
      <c r="AH227" s="193"/>
      <c r="AI227" s="193"/>
    </row>
    <row r="228" spans="10:35" s="22" customFormat="1" ht="13.2" x14ac:dyDescent="0.25">
      <c r="J228" s="173"/>
      <c r="K228" s="174"/>
      <c r="L228" s="173"/>
      <c r="M228" s="174"/>
      <c r="N228" s="174"/>
      <c r="O228" s="174"/>
      <c r="P228" s="174"/>
      <c r="Q228" s="235"/>
      <c r="R228" s="174"/>
      <c r="S228" s="174"/>
      <c r="T228" s="177"/>
      <c r="U228" s="174"/>
      <c r="V228" s="193"/>
      <c r="W228" s="174"/>
      <c r="X228" s="193"/>
      <c r="Y228" s="174"/>
      <c r="Z228" s="308"/>
      <c r="AA228" s="193"/>
      <c r="AB228" s="97"/>
      <c r="AC228" s="193"/>
      <c r="AD228" s="193"/>
      <c r="AE228" s="193"/>
      <c r="AF228" s="193"/>
      <c r="AG228" s="193"/>
      <c r="AH228" s="193"/>
      <c r="AI228" s="193"/>
    </row>
    <row r="229" spans="10:35" s="22" customFormat="1" ht="13.2" x14ac:dyDescent="0.25">
      <c r="J229" s="173"/>
      <c r="K229" s="174"/>
      <c r="L229" s="173"/>
      <c r="M229" s="174"/>
      <c r="N229" s="174"/>
      <c r="O229" s="174"/>
      <c r="P229" s="174"/>
      <c r="Q229" s="235"/>
      <c r="R229" s="174"/>
      <c r="S229" s="174"/>
      <c r="T229" s="177"/>
      <c r="U229" s="174"/>
      <c r="V229" s="193"/>
      <c r="W229" s="174"/>
      <c r="X229" s="193"/>
      <c r="Y229" s="174"/>
      <c r="Z229" s="308"/>
      <c r="AA229" s="193"/>
      <c r="AB229" s="97"/>
      <c r="AC229" s="193"/>
      <c r="AD229" s="193"/>
      <c r="AE229" s="193"/>
      <c r="AF229" s="193"/>
      <c r="AG229" s="193"/>
      <c r="AH229" s="193"/>
      <c r="AI229" s="193"/>
    </row>
    <row r="230" spans="10:35" s="22" customFormat="1" ht="13.2" x14ac:dyDescent="0.25">
      <c r="J230" s="173"/>
      <c r="K230" s="174"/>
      <c r="L230" s="173"/>
      <c r="M230" s="174"/>
      <c r="N230" s="174"/>
      <c r="O230" s="174"/>
      <c r="P230" s="174"/>
      <c r="Q230" s="235"/>
      <c r="R230" s="174"/>
      <c r="S230" s="174"/>
      <c r="T230" s="177"/>
      <c r="U230" s="174"/>
      <c r="V230" s="193"/>
      <c r="W230" s="174"/>
      <c r="X230" s="193"/>
      <c r="Y230" s="174"/>
      <c r="Z230" s="308"/>
      <c r="AA230" s="193"/>
      <c r="AB230" s="97"/>
      <c r="AC230" s="193"/>
      <c r="AD230" s="193"/>
      <c r="AE230" s="193"/>
      <c r="AF230" s="193"/>
      <c r="AG230" s="193"/>
      <c r="AH230" s="193"/>
      <c r="AI230" s="193"/>
    </row>
    <row r="231" spans="10:35" s="22" customFormat="1" ht="13.2" x14ac:dyDescent="0.25">
      <c r="J231" s="173"/>
      <c r="K231" s="174"/>
      <c r="L231" s="173"/>
      <c r="M231" s="174"/>
      <c r="N231" s="174"/>
      <c r="O231" s="174"/>
      <c r="P231" s="174"/>
      <c r="Q231" s="235"/>
      <c r="R231" s="174"/>
      <c r="S231" s="174"/>
      <c r="T231" s="177"/>
      <c r="U231" s="174"/>
      <c r="V231" s="193"/>
      <c r="W231" s="174"/>
      <c r="X231" s="193"/>
      <c r="Y231" s="174"/>
      <c r="Z231" s="308"/>
      <c r="AA231" s="193"/>
      <c r="AB231" s="97"/>
      <c r="AC231" s="193"/>
      <c r="AD231" s="193"/>
      <c r="AE231" s="193"/>
      <c r="AF231" s="193"/>
      <c r="AG231" s="193"/>
      <c r="AH231" s="193"/>
      <c r="AI231" s="193"/>
    </row>
    <row r="232" spans="10:35" s="22" customFormat="1" ht="13.2" x14ac:dyDescent="0.25">
      <c r="J232" s="173"/>
      <c r="K232" s="174"/>
      <c r="L232" s="173"/>
      <c r="M232" s="174"/>
      <c r="N232" s="174"/>
      <c r="O232" s="174"/>
      <c r="P232" s="174"/>
      <c r="Q232" s="235"/>
      <c r="R232" s="174"/>
      <c r="S232" s="174"/>
      <c r="T232" s="177"/>
      <c r="U232" s="174"/>
      <c r="V232" s="193"/>
      <c r="W232" s="174"/>
      <c r="X232" s="193"/>
      <c r="Y232" s="174"/>
      <c r="Z232" s="308"/>
      <c r="AA232" s="193"/>
      <c r="AB232" s="97"/>
      <c r="AC232" s="193"/>
      <c r="AD232" s="193"/>
      <c r="AE232" s="193"/>
      <c r="AF232" s="193"/>
      <c r="AG232" s="193"/>
      <c r="AH232" s="193"/>
      <c r="AI232" s="193"/>
    </row>
    <row r="233" spans="10:35" s="22" customFormat="1" ht="13.2" x14ac:dyDescent="0.25">
      <c r="J233" s="173"/>
      <c r="K233" s="174"/>
      <c r="L233" s="173"/>
      <c r="M233" s="174"/>
      <c r="N233" s="174"/>
      <c r="O233" s="174"/>
      <c r="P233" s="174"/>
      <c r="Q233" s="235"/>
      <c r="R233" s="174"/>
      <c r="S233" s="174"/>
      <c r="T233" s="177"/>
      <c r="U233" s="174"/>
      <c r="V233" s="193"/>
      <c r="W233" s="174"/>
      <c r="X233" s="193"/>
      <c r="Y233" s="174"/>
      <c r="Z233" s="308"/>
      <c r="AA233" s="193"/>
      <c r="AB233" s="97"/>
      <c r="AC233" s="193"/>
      <c r="AD233" s="193"/>
      <c r="AE233" s="193"/>
      <c r="AF233" s="193"/>
      <c r="AG233" s="193"/>
      <c r="AH233" s="193"/>
      <c r="AI233" s="193"/>
    </row>
    <row r="234" spans="10:35" s="22" customFormat="1" ht="13.2" x14ac:dyDescent="0.25">
      <c r="J234" s="173"/>
      <c r="K234" s="174"/>
      <c r="L234" s="173"/>
      <c r="M234" s="174"/>
      <c r="N234" s="174"/>
      <c r="O234" s="174"/>
      <c r="P234" s="174"/>
      <c r="Q234" s="235"/>
      <c r="R234" s="174"/>
      <c r="S234" s="174"/>
      <c r="T234" s="177"/>
      <c r="U234" s="174"/>
      <c r="V234" s="193"/>
      <c r="W234" s="174"/>
      <c r="X234" s="193"/>
      <c r="Y234" s="174"/>
      <c r="Z234" s="308"/>
      <c r="AA234" s="193"/>
      <c r="AB234" s="97"/>
      <c r="AC234" s="193"/>
      <c r="AD234" s="193"/>
      <c r="AE234" s="193"/>
      <c r="AF234" s="193"/>
      <c r="AG234" s="193"/>
      <c r="AH234" s="193"/>
      <c r="AI234" s="193"/>
    </row>
    <row r="235" spans="10:35" s="22" customFormat="1" ht="13.2" x14ac:dyDescent="0.25">
      <c r="J235" s="173"/>
      <c r="K235" s="174"/>
      <c r="L235" s="173"/>
      <c r="M235" s="174"/>
      <c r="N235" s="174"/>
      <c r="O235" s="174"/>
      <c r="P235" s="174"/>
      <c r="Q235" s="235"/>
      <c r="R235" s="174"/>
      <c r="S235" s="174"/>
      <c r="T235" s="177"/>
      <c r="U235" s="174"/>
      <c r="V235" s="193"/>
      <c r="W235" s="174"/>
      <c r="X235" s="193"/>
      <c r="Y235" s="174"/>
      <c r="Z235" s="308"/>
      <c r="AA235" s="193"/>
      <c r="AB235" s="97"/>
      <c r="AC235" s="193"/>
      <c r="AD235" s="193"/>
      <c r="AE235" s="193"/>
      <c r="AF235" s="193"/>
      <c r="AG235" s="193"/>
      <c r="AH235" s="193"/>
      <c r="AI235" s="193"/>
    </row>
    <row r="236" spans="10:35" s="22" customFormat="1" ht="13.2" x14ac:dyDescent="0.25">
      <c r="J236" s="173"/>
      <c r="K236" s="174"/>
      <c r="L236" s="173"/>
      <c r="M236" s="174"/>
      <c r="N236" s="174"/>
      <c r="O236" s="174"/>
      <c r="P236" s="174"/>
      <c r="Q236" s="235"/>
      <c r="R236" s="174"/>
      <c r="S236" s="174"/>
      <c r="T236" s="177"/>
      <c r="U236" s="174"/>
      <c r="V236" s="193"/>
      <c r="W236" s="174"/>
      <c r="X236" s="193"/>
      <c r="Y236" s="174"/>
      <c r="Z236" s="308"/>
      <c r="AA236" s="193"/>
      <c r="AB236" s="97"/>
      <c r="AC236" s="193"/>
      <c r="AD236" s="193"/>
      <c r="AE236" s="193"/>
      <c r="AF236" s="193"/>
      <c r="AG236" s="193"/>
      <c r="AH236" s="193"/>
      <c r="AI236" s="193"/>
    </row>
    <row r="237" spans="10:35" s="22" customFormat="1" ht="13.2" x14ac:dyDescent="0.25">
      <c r="J237" s="173"/>
      <c r="K237" s="174"/>
      <c r="L237" s="173"/>
      <c r="M237" s="174"/>
      <c r="N237" s="174"/>
      <c r="O237" s="174"/>
      <c r="P237" s="174"/>
      <c r="Q237" s="235"/>
      <c r="R237" s="174"/>
      <c r="S237" s="174"/>
      <c r="T237" s="177"/>
      <c r="U237" s="174"/>
      <c r="V237" s="193"/>
      <c r="W237" s="174"/>
      <c r="X237" s="193"/>
      <c r="Y237" s="174"/>
      <c r="Z237" s="308"/>
      <c r="AA237" s="193"/>
      <c r="AB237" s="97"/>
      <c r="AC237" s="193"/>
      <c r="AD237" s="193"/>
      <c r="AE237" s="193"/>
      <c r="AF237" s="193"/>
      <c r="AG237" s="193"/>
      <c r="AH237" s="193"/>
      <c r="AI237" s="193"/>
    </row>
    <row r="238" spans="10:35" s="22" customFormat="1" ht="13.2" x14ac:dyDescent="0.25">
      <c r="J238" s="173"/>
      <c r="K238" s="174"/>
      <c r="L238" s="173"/>
      <c r="M238" s="174"/>
      <c r="N238" s="174"/>
      <c r="O238" s="174"/>
      <c r="P238" s="174"/>
      <c r="Q238" s="235"/>
      <c r="R238" s="174"/>
      <c r="S238" s="174"/>
      <c r="T238" s="177"/>
      <c r="U238" s="174"/>
      <c r="V238" s="193"/>
      <c r="W238" s="174"/>
      <c r="X238" s="193"/>
      <c r="Y238" s="174"/>
      <c r="Z238" s="308"/>
      <c r="AA238" s="193"/>
      <c r="AB238" s="97"/>
      <c r="AC238" s="193"/>
      <c r="AD238" s="193"/>
      <c r="AE238" s="193"/>
      <c r="AF238" s="193"/>
      <c r="AG238" s="193"/>
      <c r="AH238" s="193"/>
      <c r="AI238" s="193"/>
    </row>
    <row r="239" spans="10:35" s="22" customFormat="1" ht="13.2" x14ac:dyDescent="0.25">
      <c r="J239" s="173"/>
      <c r="K239" s="174"/>
      <c r="L239" s="173"/>
      <c r="M239" s="174"/>
      <c r="N239" s="174"/>
      <c r="O239" s="174"/>
      <c r="P239" s="174"/>
      <c r="Q239" s="235"/>
      <c r="R239" s="174"/>
      <c r="S239" s="174"/>
      <c r="T239" s="177"/>
      <c r="U239" s="174"/>
      <c r="V239" s="193"/>
      <c r="W239" s="174"/>
      <c r="X239" s="193"/>
      <c r="Y239" s="174"/>
      <c r="Z239" s="308"/>
      <c r="AA239" s="193"/>
      <c r="AB239" s="97"/>
      <c r="AC239" s="193"/>
      <c r="AD239" s="193"/>
      <c r="AE239" s="193"/>
      <c r="AF239" s="193"/>
      <c r="AG239" s="193"/>
      <c r="AH239" s="193"/>
      <c r="AI239" s="193"/>
    </row>
    <row r="240" spans="10:35" s="22" customFormat="1" ht="13.2" x14ac:dyDescent="0.25">
      <c r="J240" s="173"/>
      <c r="K240" s="174"/>
      <c r="L240" s="173"/>
      <c r="M240" s="174"/>
      <c r="N240" s="174"/>
      <c r="O240" s="174"/>
      <c r="P240" s="174"/>
      <c r="Q240" s="235"/>
      <c r="R240" s="174"/>
      <c r="S240" s="174"/>
      <c r="T240" s="177"/>
      <c r="U240" s="174"/>
      <c r="V240" s="193"/>
      <c r="W240" s="174"/>
      <c r="X240" s="193"/>
      <c r="Y240" s="174"/>
      <c r="Z240" s="308"/>
      <c r="AA240" s="193"/>
      <c r="AB240" s="97"/>
      <c r="AC240" s="193"/>
      <c r="AD240" s="193"/>
      <c r="AE240" s="193"/>
      <c r="AF240" s="193"/>
      <c r="AG240" s="193"/>
      <c r="AH240" s="193"/>
      <c r="AI240" s="193"/>
    </row>
    <row r="241" spans="10:35" s="22" customFormat="1" ht="13.2" x14ac:dyDescent="0.25">
      <c r="J241" s="173"/>
      <c r="K241" s="174"/>
      <c r="L241" s="173"/>
      <c r="M241" s="174"/>
      <c r="N241" s="174"/>
      <c r="O241" s="174"/>
      <c r="P241" s="174"/>
      <c r="Q241" s="235"/>
      <c r="R241" s="174"/>
      <c r="S241" s="174"/>
      <c r="T241" s="177"/>
      <c r="U241" s="174"/>
      <c r="V241" s="193"/>
      <c r="W241" s="174"/>
      <c r="X241" s="193"/>
      <c r="Y241" s="174"/>
      <c r="Z241" s="308"/>
      <c r="AA241" s="193"/>
      <c r="AB241" s="97"/>
      <c r="AC241" s="193"/>
      <c r="AD241" s="193"/>
      <c r="AE241" s="193"/>
      <c r="AF241" s="193"/>
      <c r="AG241" s="193"/>
      <c r="AH241" s="193"/>
      <c r="AI241" s="193"/>
    </row>
    <row r="242" spans="10:35" s="22" customFormat="1" ht="13.2" x14ac:dyDescent="0.25">
      <c r="J242" s="173"/>
      <c r="K242" s="174"/>
      <c r="L242" s="173"/>
      <c r="M242" s="174"/>
      <c r="N242" s="174"/>
      <c r="O242" s="174"/>
      <c r="P242" s="174"/>
      <c r="Q242" s="235"/>
      <c r="R242" s="174"/>
      <c r="S242" s="174"/>
      <c r="T242" s="177"/>
      <c r="U242" s="174"/>
      <c r="V242" s="193"/>
      <c r="W242" s="174"/>
      <c r="X242" s="193"/>
      <c r="Y242" s="174"/>
      <c r="Z242" s="308"/>
      <c r="AA242" s="193"/>
      <c r="AB242" s="97"/>
      <c r="AC242" s="193"/>
      <c r="AD242" s="193"/>
      <c r="AE242" s="193"/>
      <c r="AF242" s="193"/>
      <c r="AG242" s="193"/>
      <c r="AH242" s="193"/>
      <c r="AI242" s="193"/>
    </row>
    <row r="243" spans="10:35" s="22" customFormat="1" ht="13.2" x14ac:dyDescent="0.25">
      <c r="J243" s="173"/>
      <c r="K243" s="174"/>
      <c r="L243" s="173"/>
      <c r="M243" s="174"/>
      <c r="N243" s="174"/>
      <c r="O243" s="174"/>
      <c r="P243" s="174"/>
      <c r="Q243" s="235"/>
      <c r="R243" s="174"/>
      <c r="S243" s="174"/>
      <c r="T243" s="177"/>
      <c r="U243" s="174"/>
      <c r="V243" s="193"/>
      <c r="W243" s="174"/>
      <c r="X243" s="193"/>
      <c r="Y243" s="174"/>
      <c r="Z243" s="308"/>
      <c r="AA243" s="193"/>
      <c r="AB243" s="97"/>
      <c r="AC243" s="193"/>
      <c r="AD243" s="193"/>
      <c r="AE243" s="193"/>
      <c r="AF243" s="193"/>
      <c r="AG243" s="193"/>
      <c r="AH243" s="193"/>
      <c r="AI243" s="193"/>
    </row>
    <row r="244" spans="10:35" s="22" customFormat="1" ht="13.2" x14ac:dyDescent="0.25">
      <c r="J244" s="173"/>
      <c r="K244" s="174"/>
      <c r="L244" s="173"/>
      <c r="M244" s="174"/>
      <c r="N244" s="174"/>
      <c r="O244" s="174"/>
      <c r="P244" s="174"/>
      <c r="Q244" s="235"/>
      <c r="R244" s="174"/>
      <c r="S244" s="174"/>
      <c r="T244" s="177"/>
      <c r="U244" s="174"/>
      <c r="V244" s="193"/>
      <c r="W244" s="174"/>
      <c r="X244" s="193"/>
      <c r="Y244" s="174"/>
      <c r="Z244" s="308"/>
      <c r="AA244" s="193"/>
      <c r="AB244" s="97"/>
      <c r="AC244" s="193"/>
      <c r="AD244" s="193"/>
      <c r="AE244" s="193"/>
      <c r="AF244" s="193"/>
      <c r="AG244" s="193"/>
      <c r="AH244" s="193"/>
      <c r="AI244" s="193"/>
    </row>
    <row r="245" spans="10:35" s="22" customFormat="1" ht="13.2" x14ac:dyDescent="0.25">
      <c r="J245" s="173"/>
      <c r="K245" s="174"/>
      <c r="L245" s="173"/>
      <c r="M245" s="174"/>
      <c r="N245" s="174"/>
      <c r="O245" s="174"/>
      <c r="P245" s="174"/>
      <c r="Q245" s="235"/>
      <c r="R245" s="174"/>
      <c r="S245" s="174"/>
      <c r="T245" s="177"/>
      <c r="U245" s="174"/>
      <c r="V245" s="193"/>
      <c r="W245" s="174"/>
      <c r="X245" s="193"/>
      <c r="Y245" s="174"/>
      <c r="Z245" s="308"/>
      <c r="AA245" s="193"/>
      <c r="AB245" s="97"/>
      <c r="AC245" s="193"/>
      <c r="AD245" s="193"/>
      <c r="AE245" s="193"/>
      <c r="AF245" s="193"/>
      <c r="AG245" s="193"/>
      <c r="AH245" s="193"/>
      <c r="AI245" s="193"/>
    </row>
    <row r="246" spans="10:35" s="22" customFormat="1" ht="13.2" x14ac:dyDescent="0.25">
      <c r="J246" s="173"/>
      <c r="K246" s="174"/>
      <c r="L246" s="173"/>
      <c r="M246" s="174"/>
      <c r="N246" s="174"/>
      <c r="O246" s="174"/>
      <c r="P246" s="174"/>
      <c r="Q246" s="235"/>
      <c r="R246" s="174"/>
      <c r="S246" s="174"/>
      <c r="T246" s="177"/>
      <c r="U246" s="174"/>
      <c r="V246" s="193"/>
      <c r="W246" s="174"/>
      <c r="X246" s="193"/>
      <c r="Y246" s="174"/>
      <c r="Z246" s="308"/>
      <c r="AA246" s="193"/>
      <c r="AB246" s="97"/>
      <c r="AC246" s="193"/>
      <c r="AD246" s="193"/>
      <c r="AE246" s="193"/>
      <c r="AF246" s="193"/>
      <c r="AG246" s="193"/>
      <c r="AH246" s="193"/>
      <c r="AI246" s="193"/>
    </row>
  </sheetData>
  <mergeCells count="2">
    <mergeCell ref="B88:D88"/>
    <mergeCell ref="B89:H89"/>
  </mergeCells>
  <hyperlinks>
    <hyperlink ref="Z2" r:id="rId1" display="158@5,000.00        1 @ 275.00"/>
    <hyperlink ref="Z3" r:id="rId2" display="7@ 500.00              4 @ 850.00        7 @ 250.00"/>
    <hyperlink ref="Z25" r:id="rId3" display="20@ 160.00"/>
  </hyperlinks>
  <pageMargins left="0.28999999999999998" right="0.25" top="0.91" bottom="0.51" header="0.42" footer="0.21"/>
  <pageSetup scale="70" orientation="landscape" r:id="rId4"/>
  <headerFooter>
    <oddHeader>&amp;L&amp;"Arial,Bold"Iowa Law Enforcement Academy&amp;R&amp;"Arial,Bold"Justice System Appropriations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EMD</vt:lpstr>
      <vt:lpstr>Courts</vt:lpstr>
      <vt:lpstr>AG</vt:lpstr>
      <vt:lpstr>DOC</vt:lpstr>
      <vt:lpstr>DPS 2</vt:lpstr>
      <vt:lpstr>ILEA</vt:lpstr>
      <vt:lpstr>AG!Print_Area</vt:lpstr>
      <vt:lpstr>Courts!Print_Area</vt:lpstr>
      <vt:lpstr>DOC!Print_Area</vt:lpstr>
      <vt:lpstr>'DPS 2'!Print_Area</vt:lpstr>
      <vt:lpstr>EMD!Print_Area</vt:lpstr>
      <vt:lpstr>ILEA!Print_Area</vt:lpstr>
      <vt:lpstr>AG!Print_Titles</vt:lpstr>
      <vt:lpstr>DOC!Print_Titles</vt:lpstr>
      <vt:lpstr>'DPS 2'!Print_Titles</vt:lpstr>
      <vt:lpstr>ILEA!Print_Titles</vt:lpstr>
    </vt:vector>
  </TitlesOfParts>
  <Company>Iowa Legislature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Lerdal</dc:creator>
  <cp:lastModifiedBy>Acton, Jennifer [LEGIS]</cp:lastModifiedBy>
  <cp:lastPrinted>2012-01-23T15:50:25Z</cp:lastPrinted>
  <dcterms:created xsi:type="dcterms:W3CDTF">2010-05-18T18:26:11Z</dcterms:created>
  <dcterms:modified xsi:type="dcterms:W3CDTF">2015-01-16T15:33:59Z</dcterms:modified>
</cp:coreProperties>
</file>