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ms-office.chartcolorstyle+xml" PartName="/xl/charts/colors1.xml"/>
  <Override ContentType="application/vnd.ms-office.chartstyle+xml" PartName="/xl/charts/style1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0387"/>
  <workbookPr codeName="ThisWorkbook"/>
  <mc:AlternateContent>
    <mc:Choice Requires="x15">
      <x15ac:absPath xmlns:x15ac="http://schemas.microsoft.com/office/spreadsheetml/2010/11/ac" url="\\legislature.intranet\prod\LINC\LINCCLIENT\users\temp\RROBINS\"/>
    </mc:Choice>
  </mc:AlternateContent>
  <xr:revisionPtr documentId="13_ncr:1_{1E968694-7D2C-4B5B-B585-5CFD1A528C35}" revIDLastSave="0" xr10:uidLastSave="{00000000-0000-0000-0000-000000000000}" xr6:coauthVersionLast="36" xr6:coauthVersionMax="45"/>
  <bookViews>
    <workbookView windowHeight="15525" windowWidth="29040" xWindow="-120" xr2:uid="{00000000-000D-0000-FFFF-FFFF00000000}" yWindow="-120" activeTab="0"/>
  </bookViews>
  <sheets>
    <sheet name="Data" r:id="rId2" sheetId="11"/>
  </sheets>
  <calcPr calcId="191029"/>
</workbook>
</file>

<file path=xl/sharedStrings.xml><?xml version="1.0" encoding="utf-8"?>
<sst xmlns="http://schemas.openxmlformats.org/spreadsheetml/2006/main" count="192" uniqueCount="60">
  <si>
    <t>PSEO</t>
  </si>
  <si>
    <t>Tuition</t>
  </si>
  <si>
    <t>% of Students</t>
  </si>
  <si>
    <t>% of Tuition/Fee Revenue</t>
  </si>
  <si>
    <t xml:space="preserve">               </t>
  </si>
  <si>
    <t>Northeast Iowa</t>
  </si>
  <si>
    <t>North Iowa Area</t>
  </si>
  <si>
    <t>Iowa Lakes</t>
  </si>
  <si>
    <t>Northwest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</si>
  <si>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</si>
  <si>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</si>
  <si>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</si>
  <si>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</si>
  <si>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</si>
  <si>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</si>
  <si>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</si>
  <si>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</si>
  <si>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</t>
  </si>
  <si>
    <t>Indian Hills</t>
  </si>
  <si>
    <t>Southeastern</t>
  </si>
  <si>
    <t>Joint Enrollment consists of three types of enrollment:</t>
  </si>
  <si>
    <t>Contracted</t>
  </si>
  <si>
    <t>Department/Source</t>
  </si>
  <si>
    <t>Annual</t>
  </si>
  <si>
    <t>Source if Website - URL</t>
  </si>
  <si>
    <t>Frequency Released</t>
  </si>
  <si>
    <t>Notes</t>
  </si>
  <si>
    <t>FiscalYear</t>
  </si>
  <si>
    <t>CommCollegeNumber</t>
  </si>
  <si>
    <t>CommCollege</t>
  </si>
  <si>
    <t>PercentOfStudents</t>
  </si>
  <si>
    <t>TotalRevfromTuition/Fees</t>
  </si>
  <si>
    <t>JointEnrollmentRevenue</t>
  </si>
  <si>
    <t>PercentOfTuition/FeeRevenue</t>
  </si>
  <si>
    <t>Total</t>
  </si>
  <si>
    <t>Students</t>
  </si>
  <si>
    <t>Joint Enrollment</t>
  </si>
  <si>
    <t>Average%ofStudents</t>
  </si>
  <si>
    <t>Average%ofTuition</t>
  </si>
  <si>
    <t>may be more or less than the actual cost to the school district.</t>
  </si>
  <si>
    <t>https://www.educateiowa.gov/adult-career-and-community-college/publications#Joint_Enrollment</t>
  </si>
  <si>
    <t>Dept. of Ed - Community College Division</t>
  </si>
  <si>
    <t>Published in April, so Factbook runs a year behind</t>
  </si>
  <si>
    <t>JointEnrollmentRevenue = Total rev for Concurrent + PSEO</t>
  </si>
  <si>
    <t>https://www.educateiowa.gov/adult-career-and-community-college/publications#Condition_of_Community_Colleges</t>
  </si>
  <si>
    <t>Students = from the Enrollment and Credit Hours by Offering Arrangement table in the Joint Enrollment Report</t>
  </si>
  <si>
    <t>TotalRevfromTuition/Fees = from the financial tables (Nominal Revenue by Source and College) in the Annual Condition of Community Colleges Report:</t>
  </si>
  <si>
    <t>Joint Enrollment of High School Students at Community Colleges</t>
  </si>
  <si>
    <r>
      <t xml:space="preserve">1)  Contracted (or concurrent)  </t>
    </r>
    <r>
      <rPr>
        <sz val="9"/>
        <color theme="1"/>
        <rFont val="Calibri"/>
        <family val="2"/>
      </rPr>
      <t>̶</t>
    </r>
    <r>
      <rPr>
        <sz val="9"/>
        <color theme="1"/>
        <rFont val="Arial"/>
        <family val="2"/>
      </rPr>
      <t xml:space="preserve">  Offered under negotiated agreements, generally between individual high schools</t>
    </r>
  </si>
  <si>
    <t>and community colleges; not included in the college's offerings to adult students.  Cost to the school district is determined under the agreement.  School districts receive additional funding for these students, generated by a weighting in the school aid formula, to offset the additional cost.  The funding may be more or less than the actual cost to the school district.</t>
  </si>
  <si>
    <t>if the class is not offered at the high school.  The cost to the school district is $250.</t>
  </si>
  <si>
    <t>3)  Tuition  ̶  A high school student may take a class at a community college by paying the regular rate of tuition.</t>
  </si>
  <si>
    <t>There is no cost to the school district.</t>
  </si>
  <si>
    <t>Updatable in May</t>
  </si>
  <si>
    <t>2)   Postsecondary Enrollment Options (PSEO)  ̶  A high school student may take a class at a community college</t>
  </si>
  <si>
    <t>Column D Joint Enrollment as a percentage of all students and credit hours from Joint Enrollment Report Table 4</t>
  </si>
  <si>
    <t>Column E from Annual Condition of Iowa's Community Colleges Table 10.1 Nominal Revenue by Source and College</t>
  </si>
  <si>
    <t>Column G is a calculation</t>
  </si>
  <si>
    <t>Column F from Jont Enrollment Annual Report Table 7 ENROLLMENT AND REVENUE OF CONCURRENT ENROLLMENT</t>
  </si>
  <si>
    <t>Contracted, PESO, and Contracted from Joint Enrollment Allnual Report - Joint Enrollment Offering Arrangements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</si>
</sst>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  <numFmt numFmtId="167" formatCode="0.0&quot;%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borderId="0" fillId="0" fontId="0" numFmtId="0"/>
    <xf applyAlignment="0" applyBorder="0" applyFill="0" applyFont="0" applyProtection="0" borderId="0" fillId="0" fontId="1" numFmtId="43"/>
    <xf applyAlignment="0" applyBorder="0" applyFill="0" applyFont="0" applyProtection="0" borderId="0" fillId="0" fontId="1" numFmtId="9"/>
    <xf applyAlignment="0" applyBorder="0" applyFill="0" applyNumberFormat="0" applyProtection="0" borderId="0" fillId="0" fontId="9" numFmtId="0"/>
    <xf applyAlignment="0" applyBorder="0" applyFill="0" applyFont="0" applyProtection="0" borderId="0" fillId="0" fontId="10" numFmtId="43"/>
  </cellStyleXfs>
  <cellXfs count="45">
    <xf borderId="0" fillId="0" fontId="0" numFmtId="0" xfId="0"/>
    <xf applyFont="1" applyNumberFormat="1" borderId="0" fillId="0" fontId="1" numFmtId="165" xfId="1"/>
    <xf applyFont="1" borderId="0" fillId="0" fontId="2" numFmtId="0" xfId="0"/>
    <xf applyFont="1" borderId="0" fillId="0" fontId="3" numFmtId="0" xfId="0"/>
    <xf applyAlignment="1" applyFont="1" borderId="0" fillId="0" fontId="3" numFmtId="0" xfId="0">
      <alignment vertical="top"/>
    </xf>
    <xf applyAlignment="1" applyFont="1" borderId="0" fillId="0" fontId="3" numFmtId="0" xfId="0">
      <alignment wrapText="1"/>
    </xf>
    <xf applyAlignment="1" applyBorder="1" applyFont="1" applyNumberFormat="1" borderId="0" fillId="0" fontId="3" numFmtId="1" xfId="0">
      <alignment horizontal="left" vertical="top" wrapText="1"/>
    </xf>
    <xf applyAlignment="1" applyBorder="1" applyFill="1" borderId="0" fillId="0" fontId="0" numFmtId="0" xfId="0">
      <alignment horizontal="center"/>
    </xf>
    <xf applyAlignment="1" applyBorder="1" borderId="0" fillId="0" fontId="0" numFmtId="0" xfId="0"/>
    <xf applyAlignment="1" applyBorder="1" borderId="0" fillId="0" fontId="0" numFmtId="0" xfId="0">
      <alignment horizontal="center"/>
    </xf>
    <xf applyBorder="1" borderId="0" fillId="0" fontId="0" numFmtId="0" xfId="0"/>
    <xf applyBorder="1" applyFont="1" applyNumberFormat="1" borderId="0" fillId="0" fontId="1" numFmtId="164" xfId="2"/>
    <xf applyBorder="1" applyFont="1" applyNumberFormat="1" borderId="0" fillId="0" fontId="1" numFmtId="165" xfId="1"/>
    <xf applyBorder="1" applyFill="1" applyFont="1" applyNumberFormat="1" borderId="0" fillId="0" fontId="1" numFmtId="164" xfId="2"/>
    <xf applyFont="1" applyNumberFormat="1" borderId="0" fillId="0" fontId="0" numFmtId="3" xfId="2"/>
    <xf applyAlignment="1" applyBorder="1" borderId="0" fillId="0" fontId="0" numFmtId="0" xfId="0">
      <alignment horizontal="center" wrapText="1"/>
    </xf>
    <xf applyAlignment="1" applyFont="1" borderId="0" fillId="0" fontId="5" numFmtId="0" xfId="0">
      <alignment horizontal="left" readingOrder="1" vertical="center"/>
    </xf>
    <xf applyAlignment="1" applyBorder="1" applyNumberFormat="1" borderId="0" fillId="0" fontId="0" numFmtId="166" xfId="0">
      <alignment horizontal="center"/>
    </xf>
    <xf applyBorder="1" applyFont="1" applyNumberFormat="1" borderId="0" fillId="0" fontId="1" numFmtId="166" xfId="2"/>
    <xf applyBorder="1" applyNumberFormat="1" borderId="0" fillId="0" fontId="0" numFmtId="166" xfId="0"/>
    <xf applyFont="1" applyNumberFormat="1" borderId="0" fillId="0" fontId="0" numFmtId="167" xfId="2"/>
    <xf applyBorder="1" applyFill="1" applyFont="1" applyNumberFormat="1" borderId="0" fillId="0" fontId="1" numFmtId="166" xfId="2"/>
    <xf applyBorder="1" applyFill="1" borderId="0" fillId="0" fontId="0" numFmtId="0" xfId="0"/>
    <xf applyBorder="1" applyFill="1" applyFont="1" applyNumberFormat="1" borderId="0" fillId="0" fontId="1" numFmtId="165" xfId="1"/>
    <xf applyFill="1" applyFont="1" applyNumberFormat="1" borderId="0" fillId="0" fontId="1" numFmtId="165" xfId="1"/>
    <xf applyFont="1" applyNumberFormat="1" borderId="0" fillId="0" fontId="1" numFmtId="165" xfId="1"/>
    <xf applyFont="1" applyNumberFormat="1" borderId="0" fillId="0" fontId="0" numFmtId="165" xfId="1"/>
    <xf applyAlignment="1" applyFont="1" borderId="0" fillId="0" fontId="8" numFmtId="0" xfId="0">
      <alignment horizontal="left" readingOrder="1" vertical="center"/>
    </xf>
    <xf applyAlignment="1" borderId="0" fillId="0" fontId="9" numFmtId="0" xfId="3">
      <alignment wrapText="1"/>
    </xf>
    <xf applyBorder="1" applyFont="1" applyNumberFormat="1" borderId="0" fillId="0" fontId="0" numFmtId="165" xfId="1"/>
    <xf applyAlignment="1" applyBorder="1" applyFill="1" applyFont="1" applyNumberFormat="1" borderId="0" fillId="0" fontId="3" numFmtId="1" xfId="0">
      <alignment horizontal="left" vertical="top" wrapText="1"/>
    </xf>
    <xf applyAlignment="1" applyBorder="1" applyFill="1" applyNumberFormat="1" borderId="0" fillId="0" fontId="9" numFmtId="1" xfId="3">
      <alignment horizontal="left" vertical="top" wrapText="1"/>
    </xf>
    <xf applyAlignment="1" borderId="0" fillId="0" fontId="0" numFmtId="0" xfId="0">
      <alignment vertical="top"/>
    </xf>
    <xf applyFill="1" applyFont="1" applyNumberFormat="1" borderId="0" fillId="0" fontId="11" numFmtId="165" xfId="1"/>
    <xf applyAlignment="1" applyBorder="1" applyFont="1" borderId="0" fillId="0" fontId="7" numFmtId="0" xfId="0">
      <alignment horizontal="left" wrapText="1"/>
    </xf>
    <xf applyAlignment="1" applyFont="1" borderId="0" fillId="0" fontId="4" numFmtId="0" xfId="0">
      <alignment horizontal="left" vertical="center"/>
    </xf>
    <xf applyAlignment="1" applyFont="1" borderId="0" fillId="0" fontId="3" numFmtId="0" xfId="0">
      <alignment horizontal="left" vertical="top"/>
    </xf>
    <xf applyAlignment="1" applyFont="1" borderId="0" fillId="0" fontId="3" numFmtId="0" xfId="0">
      <alignment horizontal="left" indent="2" vertical="top" wrapText="1"/>
    </xf>
    <xf applyAlignment="1" borderId="0" fillId="0" fontId="0" numFmtId="0" xfId="0">
      <alignment horizontal="left" indent="2" vertical="top" wrapText="1"/>
    </xf>
    <xf applyBorder="1" applyFill="1" borderId="0" fillId="2" fontId="0" numFmtId="0" xfId="0"/>
    <xf applyFill="1" borderId="0" fillId="2" fontId="0" numFmtId="0" xfId="0"/>
    <xf applyFill="1" applyNumberFormat="1" borderId="0" fillId="2" fontId="0" numFmtId="3" xfId="0"/>
    <xf applyBorder="1" applyFill="1" applyFont="1" applyNumberFormat="1" borderId="0" fillId="2" fontId="1" numFmtId="165" xfId="1"/>
    <xf applyBorder="1" applyFill="1" applyFont="1" applyNumberFormat="1" borderId="0" fillId="2" fontId="1" numFmtId="166" xfId="2"/>
    <xf applyBorder="1" applyFill="1" applyNumberFormat="1" borderId="0" fillId="2" fontId="0" numFmtId="166" xfId="0"/>
  </cellXfs>
  <cellStyles count="5">
    <cellStyle builtinId="3" name="Comma" xfId="1"/>
    <cellStyle name="Comma 2" xfId="4" xr:uid="{00000000-0005-0000-0000-000001000000}"/>
    <cellStyle builtinId="8" name="Hyperlink" xfId="3"/>
    <cellStyle builtinId="0" name="Normal" xfId="0"/>
    <cellStyle builtinId="5" name="Percent" xfId="2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_rels/chart2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Factbook!$P$28</c:f>
              <c:strCache>
                <c:ptCount val="1"/>
                <c:pt idx="0">
                  <c:v>% of Students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Factbook!$O$29:$O$43</c:f>
              <c:strCache>
                <c:ptCount val="15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</c:strCache>
            </c:strRef>
          </c:cat>
          <c:val>
            <c:numRef>
              <c:f>Factbook!$P$29:$P$43</c:f>
              <c:numCache>
                <c:formatCode>0.0"%"</c:formatCode>
                <c:ptCount val="15"/>
                <c:pt idx="0">
                  <c:v>49.8</c:v>
                </c:pt>
                <c:pt idx="1">
                  <c:v>39.4</c:v>
                </c:pt>
                <c:pt idx="2">
                  <c:v>42</c:v>
                </c:pt>
                <c:pt idx="3">
                  <c:v>39.6</c:v>
                </c:pt>
                <c:pt idx="4">
                  <c:v>36</c:v>
                </c:pt>
                <c:pt idx="5">
                  <c:v>44.7</c:v>
                </c:pt>
                <c:pt idx="6">
                  <c:v>41.1</c:v>
                </c:pt>
                <c:pt idx="7">
                  <c:v>39.1</c:v>
                </c:pt>
                <c:pt idx="8">
                  <c:v>29.8</c:v>
                </c:pt>
                <c:pt idx="9">
                  <c:v>48</c:v>
                </c:pt>
                <c:pt idx="10">
                  <c:v>44.1</c:v>
                </c:pt>
                <c:pt idx="11">
                  <c:v>28.7</c:v>
                </c:pt>
                <c:pt idx="12">
                  <c:v>44.1</c:v>
                </c:pt>
                <c:pt idx="13">
                  <c:v>44.4</c:v>
                </c:pt>
                <c:pt idx="1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4-4654-95A7-4A3C34F5774D}"/>
            </c:ext>
          </c:extLst>
        </c:ser>
        <c:ser>
          <c:idx val="1"/>
          <c:order val="1"/>
          <c:tx>
            <c:strRef>
              <c:f>Factbook!$Q$28</c:f>
              <c:strCache>
                <c:ptCount val="1"/>
                <c:pt idx="0">
                  <c:v>% of Tuition/Fee Revenue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Factbook!$O$29:$O$43</c:f>
              <c:strCache>
                <c:ptCount val="15"/>
                <c:pt idx="0">
                  <c:v>Northeast Iowa</c:v>
                </c:pt>
                <c:pt idx="1">
                  <c:v>North Iowa Area</c:v>
                </c:pt>
                <c:pt idx="2">
                  <c:v>Iowa Lakes</c:v>
                </c:pt>
                <c:pt idx="3">
                  <c:v>Northwest</c:v>
                </c:pt>
                <c:pt idx="4">
                  <c:v>Iowa Central</c:v>
                </c:pt>
                <c:pt idx="5">
                  <c:v>Iowa Valley</c:v>
                </c:pt>
                <c:pt idx="6">
                  <c:v>Hawkeye</c:v>
                </c:pt>
                <c:pt idx="7">
                  <c:v>Eastern Iowa</c:v>
                </c:pt>
                <c:pt idx="8">
                  <c:v>Kirkwood</c:v>
                </c:pt>
                <c:pt idx="9">
                  <c:v>Des Moines Area</c:v>
                </c:pt>
                <c:pt idx="10">
                  <c:v>Western Iowa Tech</c:v>
                </c:pt>
                <c:pt idx="11">
                  <c:v>Iowa Western</c:v>
                </c:pt>
                <c:pt idx="12">
                  <c:v>Southwestern</c:v>
                </c:pt>
                <c:pt idx="13">
                  <c:v>Indian Hills</c:v>
                </c:pt>
                <c:pt idx="14">
                  <c:v>Southeastern</c:v>
                </c:pt>
              </c:strCache>
            </c:strRef>
          </c:cat>
          <c:val>
            <c:numRef>
              <c:f>Factbook!$Q$29:$Q$43</c:f>
              <c:numCache>
                <c:formatCode>0.0"%"</c:formatCode>
                <c:ptCount val="15"/>
                <c:pt idx="0">
                  <c:v>11.78318618250777</c:v>
                </c:pt>
                <c:pt idx="1">
                  <c:v>16.681631736011347</c:v>
                </c:pt>
                <c:pt idx="2">
                  <c:v>12.34330388324531</c:v>
                </c:pt>
                <c:pt idx="3">
                  <c:v>16.986720764914509</c:v>
                </c:pt>
                <c:pt idx="4">
                  <c:v>5.6085760619150449</c:v>
                </c:pt>
                <c:pt idx="5">
                  <c:v>16.624089645400151</c:v>
                </c:pt>
                <c:pt idx="6">
                  <c:v>7.2243796900138397</c:v>
                </c:pt>
                <c:pt idx="7">
                  <c:v>10.218767590543717</c:v>
                </c:pt>
                <c:pt idx="8">
                  <c:v>10.067647601736653</c:v>
                </c:pt>
                <c:pt idx="9">
                  <c:v>14.932024101670036</c:v>
                </c:pt>
                <c:pt idx="10">
                  <c:v>13.003908493544564</c:v>
                </c:pt>
                <c:pt idx="11">
                  <c:v>11.23173483026113</c:v>
                </c:pt>
                <c:pt idx="12">
                  <c:v>18.643164296094213</c:v>
                </c:pt>
                <c:pt idx="13">
                  <c:v>16.411447035780075</c:v>
                </c:pt>
                <c:pt idx="14">
                  <c:v>7.6902075202939919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E4-4654-95A7-4A3C34F57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659136"/>
        <c:axId val="311669120"/>
      </c:barChart>
      <c:lineChart>
        <c:grouping val="standard"/>
        <c:varyColors val="0"/>
        <c:ser>
          <c:idx val="2"/>
          <c:order val="2"/>
          <c:tx>
            <c:v>Average % of Students</c:v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val>
            <c:numRef>
              <c:f>Factbook!$S$29:$S$43</c:f>
              <c:numCache>
                <c:formatCode>0.0"%"</c:formatCode>
                <c:ptCount val="15"/>
                <c:pt idx="0">
                  <c:v>40.38666666666667</c:v>
                </c:pt>
                <c:pt idx="1">
                  <c:v>40.38666666666667</c:v>
                </c:pt>
                <c:pt idx="2">
                  <c:v>40.38666666666667</c:v>
                </c:pt>
                <c:pt idx="3">
                  <c:v>40.38666666666667</c:v>
                </c:pt>
                <c:pt idx="4">
                  <c:v>40.38666666666667</c:v>
                </c:pt>
                <c:pt idx="5">
                  <c:v>40.38666666666667</c:v>
                </c:pt>
                <c:pt idx="6">
                  <c:v>40.38666666666667</c:v>
                </c:pt>
                <c:pt idx="7">
                  <c:v>40.38666666666667</c:v>
                </c:pt>
                <c:pt idx="8">
                  <c:v>40.38666666666667</c:v>
                </c:pt>
                <c:pt idx="9">
                  <c:v>40.38666666666667</c:v>
                </c:pt>
                <c:pt idx="10">
                  <c:v>40.38666666666667</c:v>
                </c:pt>
                <c:pt idx="11">
                  <c:v>40.38666666666667</c:v>
                </c:pt>
                <c:pt idx="12">
                  <c:v>40.38666666666667</c:v>
                </c:pt>
                <c:pt idx="13">
                  <c:v>40.38666666666667</c:v>
                </c:pt>
                <c:pt idx="14">
                  <c:v>40.38666666666667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E4-4654-95A7-4A3C34F5774D}"/>
            </c:ext>
          </c:extLst>
        </c:ser>
        <c:ser>
          <c:idx val="3"/>
          <c:order val="3"/>
          <c:tx>
            <c:v>Average % of Revenue</c:v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Factbook!$T$29:$T$43</c:f>
              <c:numCache>
                <c:formatCode>0.0"%"</c:formatCode>
                <c:ptCount val="15"/>
                <c:pt idx="0">
                  <c:v>12.630052628928821</c:v>
                </c:pt>
                <c:pt idx="1">
                  <c:v>12.630052628928821</c:v>
                </c:pt>
                <c:pt idx="2">
                  <c:v>12.630052628928821</c:v>
                </c:pt>
                <c:pt idx="3">
                  <c:v>12.630052628928821</c:v>
                </c:pt>
                <c:pt idx="4">
                  <c:v>12.630052628928821</c:v>
                </c:pt>
                <c:pt idx="5">
                  <c:v>12.630052628928821</c:v>
                </c:pt>
                <c:pt idx="6">
                  <c:v>12.630052628928821</c:v>
                </c:pt>
                <c:pt idx="7">
                  <c:v>12.630052628928821</c:v>
                </c:pt>
                <c:pt idx="8">
                  <c:v>12.630052628928821</c:v>
                </c:pt>
                <c:pt idx="9">
                  <c:v>12.630052628928821</c:v>
                </c:pt>
                <c:pt idx="10">
                  <c:v>12.630052628928821</c:v>
                </c:pt>
                <c:pt idx="11">
                  <c:v>12.630052628928821</c:v>
                </c:pt>
                <c:pt idx="12">
                  <c:v>12.630052628928821</c:v>
                </c:pt>
                <c:pt idx="13">
                  <c:v>12.630052628928821</c:v>
                </c:pt>
                <c:pt idx="14">
                  <c:v>12.630052628928821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E4-4654-95A7-4A3C34F57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659136"/>
        <c:axId val="311669120"/>
      </c:lineChart>
      <c:catAx>
        <c:axId val="31165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11669120"/>
        <c:crosses val="autoZero"/>
        <c:auto val="1"/>
        <c:lblAlgn val="ctr"/>
        <c:lblOffset val="100"/>
        <c:noMultiLvlLbl val="0"/>
      </c:catAx>
      <c:valAx>
        <c:axId val="3116691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numFmt formatCode="0.0&quot;%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1165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35177520818672"/>
          <c:y val="0.59620581879561874"/>
          <c:w val="0.24482475471757487"/>
          <c:h val="0.34057637671616137"/>
        </c:manualLayout>
      </c:layout>
      <c:overlay val="0"/>
    </c:legend>
    <c:plotVisOnly val="0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248810082662949E-2"/>
          <c:y val="0.1672523467317677"/>
          <c:w val="0.97212464174710089"/>
          <c:h val="0.748771388739612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Factbook!$O$44</c:f>
              <c:strCache>
                <c:ptCount val="1"/>
                <c:pt idx="0">
                  <c:v>Contracted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DF2-4911-B7A6-5E2EB3E64CB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DF2-4911-B7A6-5E2EB3E64CB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DF2-4911-B7A6-5E2EB3E64C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Factbook!$R$44</c:f>
              <c:numCache>
                <c:formatCode>_(* #,##0_);_(* \(#,##0\);_(* "-"??_);_(@_)</c:formatCode>
                <c:ptCount val="1"/>
                <c:pt idx="0">
                  <c:v>51182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F2-4911-B7A6-5E2EB3E64CB4}"/>
            </c:ext>
          </c:extLst>
        </c:ser>
        <c:ser>
          <c:idx val="1"/>
          <c:order val="1"/>
          <c:tx>
            <c:strRef>
              <c:f>Factbook!$O$45</c:f>
              <c:strCache>
                <c:ptCount val="1"/>
                <c:pt idx="0">
                  <c:v>PSEO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3597543496433528E-3"/>
                  <c:y val="-0.381427867368107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9.4887596826296799E-2"/>
                      <c:h val="0.147569370422583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ADF2-4911-B7A6-5E2EB3E64C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Factbook!$R$45</c:f>
              <c:numCache>
                <c:formatCode>_(* #,##0_);_(* \(#,##0\);_(* "-"??_);_(@_)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F2-4911-B7A6-5E2EB3E64CB4}"/>
            </c:ext>
          </c:extLst>
        </c:ser>
        <c:ser>
          <c:idx val="2"/>
          <c:order val="2"/>
          <c:tx>
            <c:strRef>
              <c:f>Factbook!$O$46</c:f>
              <c:strCache>
                <c:ptCount val="1"/>
                <c:pt idx="0">
                  <c:v>Tuition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68975297880545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F2-4911-B7A6-5E2EB3E64C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Factbook!$R$46</c:f>
              <c:numCache>
                <c:formatCode>_(* #,##0_);_(* \(#,##0\);_(* "-"??_);_(@_)</c:formatCode>
                <c:ptCount val="1"/>
                <c:pt idx="0">
                  <c:v>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DF2-4911-B7A6-5E2EB3E64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12244480"/>
        <c:axId val="312242944"/>
      </c:barChart>
      <c:valAx>
        <c:axId val="312242944"/>
        <c:scaling>
          <c:orientation val="minMax"/>
          <c:max val="54000"/>
          <c:min val="0"/>
        </c:scaling>
        <c:delete val="1"/>
        <c:axPos val="b"/>
        <c:numFmt formatCode="_(* #,##0_);_(* \(#,##0\);_(* &quot;-&quot;??_);_(@_)" sourceLinked="1"/>
        <c:majorTickMark val="none"/>
        <c:minorTickMark val="none"/>
        <c:tickLblPos val="nextTo"/>
        <c:crossAx val="312244480"/>
        <c:crosses val="autoZero"/>
        <c:crossBetween val="between"/>
      </c:valAx>
      <c:catAx>
        <c:axId val="312244480"/>
        <c:scaling>
          <c:orientation val="minMax"/>
        </c:scaling>
        <c:delete val="1"/>
        <c:axPos val="l"/>
        <c:majorTickMark val="none"/>
        <c:minorTickMark val="none"/>
        <c:tickLblPos val="nextTo"/>
        <c:crossAx val="312242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0.7656</cdr:x>
      <cdr:y>0.37285</cdr:y>
    </cdr:from>
    <cdr:to>
      <cdr:x>0.88504</cdr:x>
      <cdr:y>0.48836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964618" y="1206068"/>
          <a:ext cx="774523" cy="373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Statewide Averages</a:t>
          </a:r>
        </a:p>
      </cdr:txBody>
    </cdr:sp>
  </cdr:relSizeAnchor>
  <cdr:relSizeAnchor xmlns:cdr="http://schemas.openxmlformats.org/drawingml/2006/chartDrawing">
    <cdr:from>
      <cdr:x>0.67922</cdr:x>
      <cdr:y>0.26271</cdr:y>
    </cdr:from>
    <cdr:to>
      <cdr:x>0.77086</cdr:x>
      <cdr:y>0.41567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61EC04B1-2EDB-4F76-91AB-F6F89623FF2C}"/>
            </a:ext>
          </a:extLst>
        </cdr:cNvPr>
        <cdr:cNvCxnSpPr/>
      </cdr:nvCxnSpPr>
      <cdr:spPr>
        <a:xfrm xmlns:a="http://schemas.openxmlformats.org/drawingml/2006/main" flipH="1" flipV="1">
          <a:off x="4295795" y="885821"/>
          <a:ext cx="579586" cy="515772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>
              <a:lumMod val="75000"/>
              <a:lumOff val="25000"/>
            </a:schemeClr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0.67805</cdr:x>
      <cdr:y>0.41567</cdr:y>
    </cdr:from>
    <cdr:to>
      <cdr:x>0.76968</cdr:x>
      <cdr:y>0.53955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37AC3043-320B-47CA-A0EB-97E7AFC2B6CB}"/>
            </a:ext>
          </a:extLst>
        </cdr:cNvPr>
        <cdr:cNvCxnSpPr/>
      </cdr:nvCxnSpPr>
      <cdr:spPr>
        <a:xfrm xmlns:a="http://schemas.openxmlformats.org/drawingml/2006/main" flipH="1">
          <a:off x="4288424" y="1401592"/>
          <a:ext cx="579524" cy="417683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bg2">
              <a:lumMod val="75000"/>
            </a:schemeClr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Cheerful and sleek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6B7A8F"/>
      </a:accent1>
      <a:accent2>
        <a:srgbClr val="F7882F"/>
      </a:accent2>
      <a:accent3>
        <a:srgbClr val="F7C331"/>
      </a:accent3>
      <a:accent4>
        <a:srgbClr val="DCC7AA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134"/>
  <sheetViews>
    <sheetView workbookViewId="0">
      <pane activePane="bottomLeft" state="frozen" topLeftCell="A102" ySplit="1"/>
      <selection activeCell="D135" pane="bottomLeft" sqref="D135"/>
    </sheetView>
  </sheetViews>
  <sheetFormatPr defaultColWidth="8.85546875" defaultRowHeight="15" x14ac:dyDescent="0.25"/>
  <cols>
    <col min="1" max="1" bestFit="true" customWidth="true" style="10" width="9.7109375" collapsed="false"/>
    <col min="2" max="2" bestFit="true" customWidth="true" style="10" width="21.0" collapsed="false"/>
    <col min="3" max="3" bestFit="true" customWidth="true" style="10" width="18.140625" collapsed="false"/>
    <col min="4" max="4" bestFit="true" customWidth="true" style="19" width="18.140625" collapsed="false"/>
    <col min="5" max="5" bestFit="true" customWidth="true" style="10" width="24.7109375" collapsed="false"/>
    <col min="6" max="6" bestFit="true" customWidth="true" style="10" width="23.42578125" collapsed="false"/>
    <col min="7" max="7" bestFit="true" customWidth="true" style="19" width="28.85546875" collapsed="false"/>
    <col min="8" max="9" style="10" width="8.85546875" collapsed="false"/>
    <col min="10" max="10" bestFit="true" customWidth="true" style="10" width="11.0" collapsed="false"/>
    <col min="11" max="16384" style="10" width="8.85546875" collapsed="false"/>
  </cols>
  <sheetData>
    <row customFormat="1" r="1" s="8" spans="1:8" x14ac:dyDescent="0.25">
      <c r="A1" s="8" t="s">
        <v>27</v>
      </c>
      <c r="B1" s="8" t="s">
        <v>28</v>
      </c>
      <c r="C1" s="8" t="s">
        <v>29</v>
      </c>
      <c r="D1" s="17" t="s">
        <v>30</v>
      </c>
      <c r="E1" s="9" t="s">
        <v>31</v>
      </c>
      <c r="F1" s="9" t="s">
        <v>32</v>
      </c>
      <c r="G1" s="17" t="s">
        <v>33</v>
      </c>
      <c r="H1" s="7" t="s">
        <v>35</v>
      </c>
    </row>
    <row r="2" spans="1:8" x14ac:dyDescent="0.25">
      <c r="A2" s="10">
        <v>2014</v>
      </c>
      <c r="B2" s="10">
        <v>1</v>
      </c>
      <c r="C2" s="10" t="s">
        <v>5</v>
      </c>
      <c r="D2" s="18">
        <v>38.4</v>
      </c>
      <c r="E2" s="12">
        <v>15877034</v>
      </c>
      <c r="F2" s="12">
        <f>1272256+142215</f>
        <v>1414471</v>
      </c>
      <c r="G2" s="21">
        <f>IF(E2&gt;0,F2/E2*100,"")</f>
        <v>8.9089120801781991</v>
      </c>
    </row>
    <row r="3" spans="1:8" x14ac:dyDescent="0.25">
      <c r="A3" s="10">
        <v>2014</v>
      </c>
      <c r="B3" s="10">
        <v>2</v>
      </c>
      <c r="C3" s="10" t="s">
        <v>6</v>
      </c>
      <c r="D3" s="18">
        <v>32.300000000000004</v>
      </c>
      <c r="E3" s="12">
        <v>11255459</v>
      </c>
      <c r="F3" s="12">
        <f>894416+206074</f>
        <v>1100490</v>
      </c>
      <c r="G3" s="21">
        <f ref="G3:G35" si="0" t="shared">IF(E3&gt;0,F3/E3*100,"")</f>
        <v>9.7773889096837365</v>
      </c>
    </row>
    <row r="4" spans="1:8" x14ac:dyDescent="0.25">
      <c r="A4" s="10">
        <v>2014</v>
      </c>
      <c r="B4" s="10">
        <v>3</v>
      </c>
      <c r="C4" s="10" t="s">
        <v>7</v>
      </c>
      <c r="D4" s="18">
        <v>32.800000000000004</v>
      </c>
      <c r="E4" s="12">
        <v>8678987</v>
      </c>
      <c r="F4" s="12">
        <f>557969+610309</f>
        <v>1168278</v>
      </c>
      <c r="G4" s="21">
        <f si="0" t="shared"/>
        <v>13.460994929477369</v>
      </c>
    </row>
    <row r="5" spans="1:8" x14ac:dyDescent="0.25">
      <c r="A5" s="10">
        <v>2014</v>
      </c>
      <c r="B5" s="10">
        <v>4</v>
      </c>
      <c r="C5" s="10" t="s">
        <v>8</v>
      </c>
      <c r="D5" s="18">
        <v>34.4</v>
      </c>
      <c r="E5" s="12">
        <v>5708745</v>
      </c>
      <c r="F5" s="12">
        <f>727161+0</f>
        <v>727161</v>
      </c>
      <c r="G5" s="21">
        <f si="0" t="shared"/>
        <v>12.737668261588142</v>
      </c>
    </row>
    <row r="6" spans="1:8" x14ac:dyDescent="0.25">
      <c r="A6" s="10">
        <v>2014</v>
      </c>
      <c r="B6" s="10">
        <v>5</v>
      </c>
      <c r="C6" s="10" t="s">
        <v>9</v>
      </c>
      <c r="D6" s="18">
        <v>32.200000000000003</v>
      </c>
      <c r="E6" s="12">
        <v>22561542</v>
      </c>
      <c r="F6" s="12">
        <f>1000959+22425</f>
        <v>1023384</v>
      </c>
      <c r="G6" s="21">
        <f si="0" t="shared"/>
        <v>4.5359665576049721</v>
      </c>
    </row>
    <row r="7" spans="1:8" x14ac:dyDescent="0.25">
      <c r="A7" s="10">
        <v>2014</v>
      </c>
      <c r="B7" s="10">
        <v>6</v>
      </c>
      <c r="C7" s="10" t="s">
        <v>10</v>
      </c>
      <c r="D7" s="18">
        <v>30</v>
      </c>
      <c r="E7" s="12">
        <v>12068460</v>
      </c>
      <c r="F7" s="12">
        <f>1181513+17799</f>
        <v>1199312</v>
      </c>
      <c r="G7" s="21">
        <f si="0" t="shared"/>
        <v>9.9375728137641417</v>
      </c>
    </row>
    <row r="8" spans="1:8" x14ac:dyDescent="0.25">
      <c r="A8" s="10">
        <v>2014</v>
      </c>
      <c r="B8" s="10">
        <v>7</v>
      </c>
      <c r="C8" s="10" t="s">
        <v>11</v>
      </c>
      <c r="D8" s="18">
        <v>22.900000000000002</v>
      </c>
      <c r="E8" s="12">
        <v>19168703</v>
      </c>
      <c r="F8" s="12">
        <f>551153+128885</f>
        <v>680038</v>
      </c>
      <c r="G8" s="21">
        <f si="0" t="shared"/>
        <v>3.5476474334231169</v>
      </c>
    </row>
    <row r="9" spans="1:8" x14ac:dyDescent="0.25">
      <c r="A9" s="10">
        <v>2014</v>
      </c>
      <c r="B9" s="10">
        <v>9</v>
      </c>
      <c r="C9" s="10" t="s">
        <v>12</v>
      </c>
      <c r="D9" s="18">
        <v>33.300000000000004</v>
      </c>
      <c r="E9" s="12">
        <v>22196287</v>
      </c>
      <c r="F9" s="12">
        <f>788295+145463</f>
        <v>933758</v>
      </c>
      <c r="G9" s="21">
        <f si="0" t="shared"/>
        <v>4.2068207173569165</v>
      </c>
    </row>
    <row r="10" spans="1:8" x14ac:dyDescent="0.25">
      <c r="A10" s="10">
        <v>2014</v>
      </c>
      <c r="B10" s="10">
        <v>10</v>
      </c>
      <c r="C10" s="10" t="s">
        <v>13</v>
      </c>
      <c r="D10" s="18">
        <v>19.900000000000002</v>
      </c>
      <c r="E10" s="12">
        <v>51147187</v>
      </c>
      <c r="F10" s="12">
        <f>2067412+261150</f>
        <v>2328562</v>
      </c>
      <c r="G10" s="21">
        <f si="0" t="shared"/>
        <v>4.5526687518513969</v>
      </c>
    </row>
    <row r="11" spans="1:8" x14ac:dyDescent="0.25">
      <c r="A11" s="10">
        <v>2014</v>
      </c>
      <c r="B11" s="10">
        <v>11</v>
      </c>
      <c r="C11" s="10" t="s">
        <v>14</v>
      </c>
      <c r="D11" s="18">
        <v>37.799999999999997</v>
      </c>
      <c r="E11" s="12">
        <v>56661293</v>
      </c>
      <c r="F11" s="12">
        <f>5776078+253862</f>
        <v>6029940</v>
      </c>
      <c r="G11" s="21">
        <f si="0" t="shared"/>
        <v>10.642079770399874</v>
      </c>
    </row>
    <row r="12" spans="1:8" x14ac:dyDescent="0.25">
      <c r="A12" s="10">
        <v>2014</v>
      </c>
      <c r="B12" s="10">
        <v>12</v>
      </c>
      <c r="C12" s="10" t="s">
        <v>15</v>
      </c>
      <c r="D12" s="18">
        <v>29.299999999999997</v>
      </c>
      <c r="E12" s="12">
        <v>15804118</v>
      </c>
      <c r="F12" s="12">
        <f>1541775+90603</f>
        <v>1632378</v>
      </c>
      <c r="G12" s="21">
        <f si="0" t="shared"/>
        <v>10.328814300171638</v>
      </c>
    </row>
    <row r="13" spans="1:8" x14ac:dyDescent="0.25">
      <c r="A13" s="10">
        <v>2014</v>
      </c>
      <c r="B13" s="10">
        <v>13</v>
      </c>
      <c r="C13" s="10" t="s">
        <v>16</v>
      </c>
      <c r="D13" s="18">
        <v>21.4</v>
      </c>
      <c r="E13" s="12">
        <v>21948712</v>
      </c>
      <c r="F13" s="12">
        <f>1429340+99750</f>
        <v>1529090</v>
      </c>
      <c r="G13" s="21">
        <f si="0" t="shared"/>
        <v>6.9666502526435261</v>
      </c>
    </row>
    <row r="14" spans="1:8" x14ac:dyDescent="0.25">
      <c r="A14" s="10">
        <v>2014</v>
      </c>
      <c r="B14" s="10">
        <v>14</v>
      </c>
      <c r="C14" s="10" t="s">
        <v>17</v>
      </c>
      <c r="D14" s="18">
        <v>36.5</v>
      </c>
      <c r="E14" s="12">
        <v>5201481</v>
      </c>
      <c r="F14" s="12">
        <f>820739+33250</f>
        <v>853989</v>
      </c>
      <c r="G14" s="21">
        <f si="0" t="shared"/>
        <v>16.418189357992464</v>
      </c>
    </row>
    <row r="15" spans="1:8" x14ac:dyDescent="0.25">
      <c r="A15" s="10">
        <v>2014</v>
      </c>
      <c r="B15" s="10">
        <v>15</v>
      </c>
      <c r="C15" s="10" t="s">
        <v>18</v>
      </c>
      <c r="D15" s="18">
        <v>28.599999999999998</v>
      </c>
      <c r="E15" s="12">
        <v>17579936</v>
      </c>
      <c r="F15" s="12">
        <f>1544121+9184</f>
        <v>1553305</v>
      </c>
      <c r="G15" s="21">
        <f si="0" t="shared"/>
        <v>8.8356692538584891</v>
      </c>
    </row>
    <row r="16" spans="1:8" x14ac:dyDescent="0.25">
      <c r="A16" s="10">
        <v>2014</v>
      </c>
      <c r="B16" s="10">
        <v>16</v>
      </c>
      <c r="C16" s="10" t="s">
        <v>19</v>
      </c>
      <c r="D16" s="18">
        <v>28.4</v>
      </c>
      <c r="E16" s="12">
        <v>9177615</v>
      </c>
      <c r="F16" s="12">
        <f>1225390+0</f>
        <v>1225390</v>
      </c>
      <c r="G16" s="21">
        <f si="0" t="shared"/>
        <v>13.351943832902121</v>
      </c>
    </row>
    <row r="17" spans="1:8" x14ac:dyDescent="0.25">
      <c r="A17" s="10">
        <v>2014</v>
      </c>
      <c r="C17" s="10" t="s">
        <v>34</v>
      </c>
      <c r="D17" s="18">
        <v>30.4</v>
      </c>
      <c r="E17" s="12">
        <f>IF(E2&gt;0,SUM(E2:E16),"")</f>
        <v>295035559</v>
      </c>
      <c r="F17" s="12">
        <f>IF(F2&gt;0,SUM(F2:F16),"")</f>
        <v>23399546</v>
      </c>
      <c r="G17" s="21">
        <f si="0" t="shared"/>
        <v>7.9310934855821902</v>
      </c>
    </row>
    <row r="18" spans="1:8" x14ac:dyDescent="0.25">
      <c r="A18" s="10">
        <v>2014</v>
      </c>
      <c r="C18" s="10" t="s">
        <v>21</v>
      </c>
      <c r="G18" s="21" t="str">
        <f si="0" t="shared"/>
        <v/>
      </c>
      <c r="H18" s="12">
        <v>39884</v>
      </c>
    </row>
    <row r="19" spans="1:8" x14ac:dyDescent="0.25">
      <c r="A19" s="10">
        <v>2014</v>
      </c>
      <c r="C19" s="10" t="s">
        <v>0</v>
      </c>
      <c r="F19" s="12"/>
      <c r="G19" s="21" t="str">
        <f si="0" t="shared"/>
        <v/>
      </c>
      <c r="H19" s="12">
        <v>3335</v>
      </c>
    </row>
    <row r="20" spans="1:8" x14ac:dyDescent="0.25">
      <c r="A20" s="10">
        <v>2014</v>
      </c>
      <c r="C20" s="10" t="s">
        <v>1</v>
      </c>
      <c r="G20" s="21" t="str">
        <f si="0" t="shared"/>
        <v/>
      </c>
      <c r="H20" s="12">
        <v>2041</v>
      </c>
    </row>
    <row r="21" spans="1:8" x14ac:dyDescent="0.25">
      <c r="A21" s="22">
        <v>2015</v>
      </c>
      <c r="B21" s="10">
        <v>1</v>
      </c>
      <c r="C21" s="10" t="s">
        <v>5</v>
      </c>
      <c r="D21" s="18">
        <v>39.200000000000003</v>
      </c>
      <c r="E21" s="24">
        <v>15251109</v>
      </c>
      <c r="F21" s="25">
        <v>1490370</v>
      </c>
      <c r="G21" s="21">
        <f si="0" t="shared"/>
        <v>9.7722073850498337</v>
      </c>
    </row>
    <row r="22" spans="1:8" x14ac:dyDescent="0.25">
      <c r="A22" s="22">
        <v>2015</v>
      </c>
      <c r="B22" s="10">
        <v>2</v>
      </c>
      <c r="C22" s="10" t="s">
        <v>6</v>
      </c>
      <c r="D22" s="18">
        <v>30.8</v>
      </c>
      <c r="E22" s="24">
        <v>10837543</v>
      </c>
      <c r="F22" s="25">
        <v>1102656</v>
      </c>
      <c r="G22" s="21">
        <f si="0" t="shared"/>
        <v>10.174409457937099</v>
      </c>
    </row>
    <row r="23" spans="1:8" x14ac:dyDescent="0.25">
      <c r="A23" s="22">
        <v>2015</v>
      </c>
      <c r="B23" s="10">
        <v>3</v>
      </c>
      <c r="C23" s="10" t="s">
        <v>7</v>
      </c>
      <c r="D23" s="18">
        <v>32.4</v>
      </c>
      <c r="E23" s="24">
        <v>8435523</v>
      </c>
      <c r="F23" s="25">
        <v>1079892</v>
      </c>
      <c r="G23" s="21">
        <f si="0" t="shared"/>
        <v>12.801719585140129</v>
      </c>
    </row>
    <row r="24" spans="1:8" x14ac:dyDescent="0.25">
      <c r="A24" s="22">
        <v>2015</v>
      </c>
      <c r="B24" s="10">
        <v>4</v>
      </c>
      <c r="C24" s="10" t="s">
        <v>8</v>
      </c>
      <c r="D24" s="18">
        <v>35.200000000000003</v>
      </c>
      <c r="E24" s="24">
        <v>5502534</v>
      </c>
      <c r="F24" s="25">
        <v>730586</v>
      </c>
      <c r="G24" s="21">
        <f si="0" t="shared"/>
        <v>13.277264620264045</v>
      </c>
    </row>
    <row r="25" spans="1:8" x14ac:dyDescent="0.25">
      <c r="A25" s="22">
        <v>2015</v>
      </c>
      <c r="B25" s="10">
        <v>5</v>
      </c>
      <c r="C25" s="10" t="s">
        <v>9</v>
      </c>
      <c r="D25" s="18">
        <v>29.5</v>
      </c>
      <c r="E25" s="24">
        <v>22913177</v>
      </c>
      <c r="F25" s="25">
        <v>1064411</v>
      </c>
      <c r="G25" s="21">
        <f si="0" t="shared"/>
        <v>4.6454099315865278</v>
      </c>
    </row>
    <row r="26" spans="1:8" x14ac:dyDescent="0.25">
      <c r="A26" s="22">
        <v>2015</v>
      </c>
      <c r="B26" s="10">
        <v>6</v>
      </c>
      <c r="C26" s="10" t="s">
        <v>10</v>
      </c>
      <c r="D26" s="18">
        <v>31.8</v>
      </c>
      <c r="E26" s="24">
        <v>11685182</v>
      </c>
      <c r="F26" s="25">
        <v>1239166</v>
      </c>
      <c r="G26" s="21">
        <f si="0" t="shared"/>
        <v>10.604593064960392</v>
      </c>
    </row>
    <row r="27" spans="1:8" x14ac:dyDescent="0.25">
      <c r="A27" s="22">
        <v>2015</v>
      </c>
      <c r="B27" s="10">
        <v>7</v>
      </c>
      <c r="C27" s="10" t="s">
        <v>11</v>
      </c>
      <c r="D27" s="18">
        <v>22.5</v>
      </c>
      <c r="E27" s="24">
        <v>17732024</v>
      </c>
      <c r="F27" s="25">
        <v>741693</v>
      </c>
      <c r="G27" s="21">
        <f si="0" t="shared"/>
        <v>4.1827881577421735</v>
      </c>
    </row>
    <row r="28" spans="1:8" x14ac:dyDescent="0.25">
      <c r="A28" s="22">
        <v>2015</v>
      </c>
      <c r="B28" s="10">
        <v>9</v>
      </c>
      <c r="C28" s="10" t="s">
        <v>12</v>
      </c>
      <c r="D28" s="18">
        <v>32.700000000000003</v>
      </c>
      <c r="E28" s="24">
        <v>20955038</v>
      </c>
      <c r="F28" s="25">
        <v>696937</v>
      </c>
      <c r="G28" s="21">
        <f si="0" t="shared"/>
        <v>3.3258684617990197</v>
      </c>
    </row>
    <row r="29" spans="1:8" x14ac:dyDescent="0.25">
      <c r="A29" s="22">
        <v>2015</v>
      </c>
      <c r="B29" s="10">
        <v>10</v>
      </c>
      <c r="C29" s="10" t="s">
        <v>13</v>
      </c>
      <c r="D29" s="18">
        <v>21.5</v>
      </c>
      <c r="E29" s="24">
        <v>48590955</v>
      </c>
      <c r="F29" s="25">
        <v>3026615</v>
      </c>
      <c r="G29" s="21">
        <f si="0" t="shared"/>
        <v>6.2287621224979013</v>
      </c>
    </row>
    <row r="30" spans="1:8" x14ac:dyDescent="0.25">
      <c r="A30" s="22">
        <v>2015</v>
      </c>
      <c r="B30" s="10">
        <v>11</v>
      </c>
      <c r="C30" s="10" t="s">
        <v>14</v>
      </c>
      <c r="D30" s="18">
        <v>38.9</v>
      </c>
      <c r="E30" s="24">
        <v>54629627</v>
      </c>
      <c r="F30" s="25">
        <v>6200183</v>
      </c>
      <c r="G30" s="21">
        <f si="0" t="shared"/>
        <v>11.349488071738071</v>
      </c>
    </row>
    <row r="31" spans="1:8" x14ac:dyDescent="0.25">
      <c r="A31" s="22">
        <v>2015</v>
      </c>
      <c r="B31" s="10">
        <v>12</v>
      </c>
      <c r="C31" s="10" t="s">
        <v>15</v>
      </c>
      <c r="D31" s="18">
        <v>28.7</v>
      </c>
      <c r="E31" s="24">
        <v>16045309</v>
      </c>
      <c r="F31" s="25">
        <v>1486995</v>
      </c>
      <c r="G31" s="21">
        <f si="0" t="shared"/>
        <v>9.2674749984559348</v>
      </c>
    </row>
    <row r="32" spans="1:8" x14ac:dyDescent="0.25">
      <c r="A32" s="22">
        <v>2015</v>
      </c>
      <c r="B32" s="10">
        <v>13</v>
      </c>
      <c r="C32" s="10" t="s">
        <v>16</v>
      </c>
      <c r="D32" s="18">
        <v>19.899999999999999</v>
      </c>
      <c r="E32" s="24">
        <v>22678431</v>
      </c>
      <c r="F32" s="25">
        <v>1519798</v>
      </c>
      <c r="G32" s="21">
        <f si="0" t="shared"/>
        <v>6.7015129926757275</v>
      </c>
    </row>
    <row r="33" spans="1:8" x14ac:dyDescent="0.25">
      <c r="A33" s="22">
        <v>2015</v>
      </c>
      <c r="B33" s="10">
        <v>14</v>
      </c>
      <c r="C33" s="10" t="s">
        <v>17</v>
      </c>
      <c r="D33" s="18">
        <v>33.200000000000003</v>
      </c>
      <c r="E33" s="24">
        <v>5713799</v>
      </c>
      <c r="F33" s="25">
        <v>904094</v>
      </c>
      <c r="G33" s="21">
        <f si="0" t="shared"/>
        <v>15.822992723405216</v>
      </c>
    </row>
    <row r="34" spans="1:8" x14ac:dyDescent="0.25">
      <c r="A34" s="22">
        <v>2015</v>
      </c>
      <c r="B34" s="10">
        <v>15</v>
      </c>
      <c r="C34" s="10" t="s">
        <v>18</v>
      </c>
      <c r="D34" s="18">
        <v>27.1</v>
      </c>
      <c r="E34" s="24">
        <v>19395524</v>
      </c>
      <c r="F34" s="25">
        <v>1504398</v>
      </c>
      <c r="G34" s="21">
        <f si="0" t="shared"/>
        <v>7.7564184396358664</v>
      </c>
    </row>
    <row r="35" spans="1:8" x14ac:dyDescent="0.25">
      <c r="A35" s="22">
        <v>2015</v>
      </c>
      <c r="B35" s="10">
        <v>16</v>
      </c>
      <c r="C35" s="10" t="s">
        <v>19</v>
      </c>
      <c r="D35" s="18">
        <v>31.5</v>
      </c>
      <c r="E35" s="23">
        <v>10196136</v>
      </c>
      <c r="F35" s="12">
        <v>1369006</v>
      </c>
      <c r="G35" s="21">
        <f si="0" t="shared"/>
        <v>13.426713806092819</v>
      </c>
    </row>
    <row r="36" spans="1:8" x14ac:dyDescent="0.25">
      <c r="A36" s="22">
        <v>2015</v>
      </c>
      <c r="C36" s="10" t="s">
        <v>34</v>
      </c>
      <c r="D36" s="18">
        <v>30.7</v>
      </c>
      <c r="E36" s="23">
        <f>IF(E21&gt;0,SUM(E21:E35),"")</f>
        <v>290561911</v>
      </c>
      <c r="F36" s="12">
        <f>IF(F21&gt;0,SUM(F21:F35),"")</f>
        <v>24156800</v>
      </c>
      <c r="G36" s="21">
        <f>IF(E36&gt;0,F36/E36*100,"")</f>
        <v>8.3138219723506719</v>
      </c>
    </row>
    <row r="37" spans="1:8" x14ac:dyDescent="0.25">
      <c r="A37" s="22">
        <v>2015</v>
      </c>
      <c r="C37" s="10" t="s">
        <v>21</v>
      </c>
      <c r="G37" s="21" t="str">
        <f ref="G37:G55" si="1" t="shared">IF(E37&gt;0,F37/E37*100,"")</f>
        <v/>
      </c>
      <c r="H37" s="12">
        <v>41248</v>
      </c>
    </row>
    <row r="38" spans="1:8" x14ac:dyDescent="0.25">
      <c r="A38" s="22">
        <v>2015</v>
      </c>
      <c r="C38" s="10" t="s">
        <v>0</v>
      </c>
      <c r="F38" s="12"/>
      <c r="G38" s="21" t="str">
        <f si="1" t="shared"/>
        <v/>
      </c>
      <c r="H38" s="12">
        <v>3371</v>
      </c>
    </row>
    <row r="39" spans="1:8" x14ac:dyDescent="0.25">
      <c r="A39" s="22">
        <v>2015</v>
      </c>
      <c r="C39" s="10" t="s">
        <v>1</v>
      </c>
      <c r="G39" s="21" t="str">
        <f si="1" t="shared"/>
        <v/>
      </c>
      <c r="H39" s="12">
        <v>2241</v>
      </c>
    </row>
    <row r="40" spans="1:8" x14ac:dyDescent="0.25">
      <c r="A40" s="22">
        <v>2016</v>
      </c>
      <c r="B40" s="10">
        <v>1</v>
      </c>
      <c r="C40" s="10" t="s">
        <v>5</v>
      </c>
      <c r="D40" s="18">
        <v>46.3</v>
      </c>
      <c r="E40" s="12">
        <v>14541378</v>
      </c>
      <c r="F40" s="12">
        <f>1488556+155893</f>
        <v>1644449</v>
      </c>
      <c r="G40" s="21">
        <f>IF(E40&gt;0,F40/E40*100,"")</f>
        <v>11.308756295311214</v>
      </c>
    </row>
    <row r="41" spans="1:8" x14ac:dyDescent="0.25">
      <c r="A41" s="22">
        <v>2016</v>
      </c>
      <c r="B41" s="10">
        <v>2</v>
      </c>
      <c r="C41" s="10" t="s">
        <v>6</v>
      </c>
      <c r="D41" s="18">
        <v>36.200000000000003</v>
      </c>
      <c r="E41" s="12">
        <v>10632388</v>
      </c>
      <c r="F41" s="29">
        <f>1346364+246601</f>
        <v>1592965</v>
      </c>
      <c r="G41" s="21">
        <f si="1" t="shared"/>
        <v>14.982194028284146</v>
      </c>
    </row>
    <row r="42" spans="1:8" x14ac:dyDescent="0.25">
      <c r="A42" s="22">
        <v>2016</v>
      </c>
      <c r="B42" s="10">
        <v>3</v>
      </c>
      <c r="C42" s="10" t="s">
        <v>7</v>
      </c>
      <c r="D42" s="18">
        <v>40</v>
      </c>
      <c r="E42" s="12">
        <v>8145013</v>
      </c>
      <c r="F42" s="12">
        <f>466853</f>
        <v>466853</v>
      </c>
      <c r="G42" s="21">
        <f si="1" t="shared"/>
        <v>5.7317649462315163</v>
      </c>
    </row>
    <row r="43" spans="1:8" x14ac:dyDescent="0.25">
      <c r="A43" s="22">
        <v>2016</v>
      </c>
      <c r="B43" s="10">
        <v>4</v>
      </c>
      <c r="C43" s="10" t="s">
        <v>8</v>
      </c>
      <c r="D43" s="18">
        <v>36.299999999999997</v>
      </c>
      <c r="E43" s="12">
        <v>5586501</v>
      </c>
      <c r="F43" s="12">
        <f>723155</f>
        <v>723155</v>
      </c>
      <c r="G43" s="21">
        <f si="1" t="shared"/>
        <v>12.944685770216454</v>
      </c>
    </row>
    <row r="44" spans="1:8" x14ac:dyDescent="0.25">
      <c r="A44" s="22">
        <v>2016</v>
      </c>
      <c r="B44" s="10">
        <v>5</v>
      </c>
      <c r="C44" s="10" t="s">
        <v>9</v>
      </c>
      <c r="D44" s="18">
        <v>32.1</v>
      </c>
      <c r="E44" s="12">
        <v>22365233</v>
      </c>
      <c r="F44" s="12">
        <f>1130523+21690</f>
        <v>1152213</v>
      </c>
      <c r="G44" s="21">
        <f si="1" t="shared"/>
        <v>5.1518041417230034</v>
      </c>
    </row>
    <row r="45" spans="1:8" x14ac:dyDescent="0.25">
      <c r="A45" s="22">
        <v>2016</v>
      </c>
      <c r="B45" s="10">
        <v>6</v>
      </c>
      <c r="C45" s="10" t="s">
        <v>10</v>
      </c>
      <c r="D45" s="18">
        <v>37.1</v>
      </c>
      <c r="E45" s="12">
        <v>11087155</v>
      </c>
      <c r="F45" s="12">
        <f>1299882+5000</f>
        <v>1304882</v>
      </c>
      <c r="G45" s="21">
        <f si="1" t="shared"/>
        <v>11.769313227784766</v>
      </c>
    </row>
    <row r="46" spans="1:8" x14ac:dyDescent="0.25">
      <c r="A46" s="22">
        <v>2016</v>
      </c>
      <c r="B46" s="10">
        <v>7</v>
      </c>
      <c r="C46" s="10" t="s">
        <v>11</v>
      </c>
      <c r="D46" s="18">
        <v>27.6</v>
      </c>
      <c r="E46" s="12">
        <v>18461054</v>
      </c>
      <c r="F46" s="12">
        <f>723795+178789</f>
        <v>902584</v>
      </c>
      <c r="G46" s="21">
        <f si="1" t="shared"/>
        <v>4.8891249654543012</v>
      </c>
    </row>
    <row r="47" spans="1:8" x14ac:dyDescent="0.25">
      <c r="A47" s="22">
        <v>2016</v>
      </c>
      <c r="B47" s="10">
        <v>9</v>
      </c>
      <c r="C47" s="10" t="s">
        <v>12</v>
      </c>
      <c r="D47" s="18">
        <v>37.6</v>
      </c>
      <c r="E47" s="12">
        <v>20950881</v>
      </c>
      <c r="F47" s="12">
        <f>1292507+77150</f>
        <v>1369657</v>
      </c>
      <c r="G47" s="21">
        <f si="1" t="shared"/>
        <v>6.5374673265529983</v>
      </c>
    </row>
    <row r="48" spans="1:8" x14ac:dyDescent="0.25">
      <c r="A48" s="22">
        <v>2016</v>
      </c>
      <c r="B48" s="10">
        <v>10</v>
      </c>
      <c r="C48" s="10" t="s">
        <v>13</v>
      </c>
      <c r="D48" s="18">
        <v>23.9</v>
      </c>
      <c r="E48" s="12">
        <v>49102409</v>
      </c>
      <c r="F48" s="12">
        <f>3287712+334638</f>
        <v>3622350</v>
      </c>
      <c r="G48" s="21">
        <f si="1" t="shared"/>
        <v>7.3771329630690827</v>
      </c>
    </row>
    <row r="49" spans="1:8" x14ac:dyDescent="0.25">
      <c r="A49" s="22">
        <v>2016</v>
      </c>
      <c r="B49" s="10">
        <v>11</v>
      </c>
      <c r="C49" s="10" t="s">
        <v>14</v>
      </c>
      <c r="D49" s="18">
        <v>45.2</v>
      </c>
      <c r="E49" s="12">
        <v>55192904</v>
      </c>
      <c r="F49" s="12">
        <f>6452299+272470</f>
        <v>6724769</v>
      </c>
      <c r="G49" s="21">
        <f si="1" t="shared"/>
        <v>12.184118813534434</v>
      </c>
    </row>
    <row r="50" spans="1:8" x14ac:dyDescent="0.25">
      <c r="A50" s="22">
        <v>2016</v>
      </c>
      <c r="B50" s="10">
        <v>12</v>
      </c>
      <c r="C50" s="10" t="s">
        <v>15</v>
      </c>
      <c r="D50" s="18">
        <v>33</v>
      </c>
      <c r="E50" s="12">
        <v>17838595</v>
      </c>
      <c r="F50" s="12">
        <f>1379167+140224</f>
        <v>1519391</v>
      </c>
      <c r="G50" s="21">
        <f si="1" t="shared"/>
        <v>8.5174364909344025</v>
      </c>
    </row>
    <row r="51" spans="1:8" x14ac:dyDescent="0.25">
      <c r="A51" s="22">
        <v>2016</v>
      </c>
      <c r="B51" s="10">
        <v>13</v>
      </c>
      <c r="C51" s="10" t="s">
        <v>16</v>
      </c>
      <c r="D51" s="18">
        <v>21.8</v>
      </c>
      <c r="E51" s="12">
        <v>23232180</v>
      </c>
      <c r="F51" s="12">
        <f>1488779+211750</f>
        <v>1700529</v>
      </c>
      <c r="G51" s="21">
        <f si="1" t="shared"/>
        <v>7.3197134319723762</v>
      </c>
    </row>
    <row r="52" spans="1:8" x14ac:dyDescent="0.25">
      <c r="A52" s="22">
        <v>2016</v>
      </c>
      <c r="B52" s="10">
        <v>14</v>
      </c>
      <c r="C52" s="10" t="s">
        <v>17</v>
      </c>
      <c r="D52" s="18">
        <v>36</v>
      </c>
      <c r="E52" s="12">
        <v>5842971</v>
      </c>
      <c r="F52" s="12">
        <f>925021+76500</f>
        <v>1001521</v>
      </c>
      <c r="G52" s="21">
        <f si="1" t="shared"/>
        <v>17.1406121988283</v>
      </c>
    </row>
    <row r="53" spans="1:8" x14ac:dyDescent="0.25">
      <c r="A53" s="22">
        <v>2016</v>
      </c>
      <c r="B53" s="10">
        <v>15</v>
      </c>
      <c r="C53" s="10" t="s">
        <v>18</v>
      </c>
      <c r="D53" s="18">
        <v>34</v>
      </c>
      <c r="E53" s="12">
        <v>20784274</v>
      </c>
      <c r="F53" s="12">
        <f>1893142+23875</f>
        <v>1917017</v>
      </c>
      <c r="G53" s="21">
        <f si="1" t="shared"/>
        <v>9.2234013081236323</v>
      </c>
    </row>
    <row r="54" spans="1:8" x14ac:dyDescent="0.25">
      <c r="A54" s="22">
        <v>2016</v>
      </c>
      <c r="B54" s="10">
        <v>16</v>
      </c>
      <c r="C54" s="10" t="s">
        <v>19</v>
      </c>
      <c r="D54" s="18">
        <v>33.9</v>
      </c>
      <c r="E54" s="12">
        <v>9992780</v>
      </c>
      <c r="F54" s="12">
        <f>1342291</f>
        <v>1342291</v>
      </c>
      <c r="G54" s="21">
        <f si="1" t="shared"/>
        <v>13.432608343223807</v>
      </c>
    </row>
    <row r="55" spans="1:8" x14ac:dyDescent="0.25">
      <c r="A55" s="22">
        <v>2016</v>
      </c>
      <c r="C55" s="10" t="s">
        <v>34</v>
      </c>
      <c r="D55" s="18">
        <v>35.299999999999997</v>
      </c>
      <c r="E55" s="12">
        <f>IF(E40&gt;0,SUM(E40:E54),"")</f>
        <v>293755716</v>
      </c>
      <c r="F55" s="12">
        <f>IF(F40&gt;0,SUM(F40:F54),"")</f>
        <v>26984626</v>
      </c>
      <c r="G55" s="21">
        <f si="1" t="shared"/>
        <v>9.1860769102447026</v>
      </c>
    </row>
    <row r="56" spans="1:8" x14ac:dyDescent="0.25">
      <c r="A56" s="22">
        <v>2016</v>
      </c>
      <c r="C56" s="10" t="s">
        <v>21</v>
      </c>
      <c r="G56" s="21" t="str">
        <f ref="G56:G58" si="2" t="shared">IF(E56&gt;0,F56/E56*100,"")</f>
        <v/>
      </c>
      <c r="H56" s="12">
        <v>44957</v>
      </c>
    </row>
    <row r="57" spans="1:8" x14ac:dyDescent="0.25">
      <c r="A57" s="22">
        <v>2016</v>
      </c>
      <c r="C57" s="10" t="s">
        <v>0</v>
      </c>
      <c r="F57" s="12"/>
      <c r="G57" s="21" t="str">
        <f si="2" t="shared"/>
        <v/>
      </c>
      <c r="H57" s="12">
        <v>3900</v>
      </c>
    </row>
    <row r="58" spans="1:8" x14ac:dyDescent="0.25">
      <c r="A58" s="22">
        <v>2016</v>
      </c>
      <c r="C58" s="10" t="s">
        <v>1</v>
      </c>
      <c r="G58" s="21" t="str">
        <f si="2" t="shared"/>
        <v/>
      </c>
      <c r="H58" s="12">
        <v>2301</v>
      </c>
    </row>
    <row r="59" spans="1:8" x14ac:dyDescent="0.25">
      <c r="A59" s="22">
        <v>2017</v>
      </c>
      <c r="B59" s="10">
        <v>1</v>
      </c>
      <c r="C59" s="10" t="s">
        <v>5</v>
      </c>
      <c r="D59" s="18">
        <v>48.8</v>
      </c>
      <c r="E59" s="12">
        <v>14149660</v>
      </c>
      <c r="F59" s="12">
        <f>1563170+150770</f>
        <v>1713940</v>
      </c>
      <c r="G59" s="21">
        <f>IF(E59&gt;0,F59/E59*100,"")</f>
        <v>12.112941229683258</v>
      </c>
    </row>
    <row r="60" spans="1:8" x14ac:dyDescent="0.25">
      <c r="A60" s="22">
        <v>2017</v>
      </c>
      <c r="B60" s="10">
        <v>2</v>
      </c>
      <c r="C60" s="10" t="s">
        <v>6</v>
      </c>
      <c r="D60" s="18">
        <v>38.5</v>
      </c>
      <c r="E60" s="12">
        <v>11240576</v>
      </c>
      <c r="F60" s="12">
        <f>1590543+256390</f>
        <v>1846933</v>
      </c>
      <c r="G60" s="21">
        <f ref="G60:G77" si="3" t="shared">IF(E60&gt;0,F60/E60*100,"")</f>
        <v>16.430946243324186</v>
      </c>
    </row>
    <row r="61" spans="1:8" x14ac:dyDescent="0.25">
      <c r="A61" s="22">
        <v>2017</v>
      </c>
      <c r="B61" s="10">
        <v>3</v>
      </c>
      <c r="C61" s="10" t="s">
        <v>7</v>
      </c>
      <c r="D61" s="18">
        <v>39.299999999999997</v>
      </c>
      <c r="E61" s="12">
        <v>8207402</v>
      </c>
      <c r="F61" s="12">
        <f>547044+31861</f>
        <v>578905</v>
      </c>
      <c r="G61" s="21">
        <f si="3" t="shared"/>
        <v>7.0534500442405532</v>
      </c>
    </row>
    <row r="62" spans="1:8" x14ac:dyDescent="0.25">
      <c r="A62" s="22">
        <v>2017</v>
      </c>
      <c r="B62" s="10">
        <v>4</v>
      </c>
      <c r="C62" s="10" t="s">
        <v>8</v>
      </c>
      <c r="D62" s="18">
        <v>34.299999999999997</v>
      </c>
      <c r="E62" s="12">
        <v>5949628</v>
      </c>
      <c r="F62" s="12">
        <f>800210</f>
        <v>800210</v>
      </c>
      <c r="G62" s="21">
        <f si="3" t="shared"/>
        <v>13.44974845486138</v>
      </c>
    </row>
    <row r="63" spans="1:8" x14ac:dyDescent="0.25">
      <c r="A63" s="22">
        <v>2017</v>
      </c>
      <c r="B63" s="10">
        <v>5</v>
      </c>
      <c r="C63" s="10" t="s">
        <v>9</v>
      </c>
      <c r="D63" s="18">
        <v>32.9</v>
      </c>
      <c r="E63" s="12">
        <v>22735039</v>
      </c>
      <c r="F63" s="12">
        <f>1218549+14157</f>
        <v>1232706</v>
      </c>
      <c r="G63" s="21">
        <f si="3" t="shared"/>
        <v>5.422053597532865</v>
      </c>
    </row>
    <row r="64" spans="1:8" x14ac:dyDescent="0.25">
      <c r="A64" s="22">
        <v>2017</v>
      </c>
      <c r="B64" s="10">
        <v>6</v>
      </c>
      <c r="C64" s="10" t="s">
        <v>10</v>
      </c>
      <c r="D64" s="18">
        <v>39</v>
      </c>
      <c r="E64" s="12">
        <v>11300597</v>
      </c>
      <c r="F64" s="12">
        <f>1552948+3250</f>
        <v>1556198</v>
      </c>
      <c r="G64" s="21">
        <f si="3" t="shared"/>
        <v>13.770936172664152</v>
      </c>
    </row>
    <row r="65" spans="1:10" x14ac:dyDescent="0.25">
      <c r="A65" s="22">
        <v>2017</v>
      </c>
      <c r="B65" s="10">
        <v>7</v>
      </c>
      <c r="C65" s="10" t="s">
        <v>11</v>
      </c>
      <c r="D65" s="18">
        <v>31.3</v>
      </c>
      <c r="E65" s="12">
        <v>19314723</v>
      </c>
      <c r="F65" s="12">
        <f>947453+238492</f>
        <v>1185945</v>
      </c>
      <c r="G65" s="21">
        <f si="3" t="shared"/>
        <v>6.1401087657327516</v>
      </c>
    </row>
    <row r="66" spans="1:10" x14ac:dyDescent="0.25">
      <c r="A66" s="22">
        <v>2017</v>
      </c>
      <c r="B66" s="10">
        <v>9</v>
      </c>
      <c r="C66" s="10" t="s">
        <v>12</v>
      </c>
      <c r="D66" s="18">
        <v>37.9</v>
      </c>
      <c r="E66" s="12">
        <v>22479534</v>
      </c>
      <c r="F66" s="12">
        <f>1495837+81250</f>
        <v>1577087</v>
      </c>
      <c r="G66" s="21">
        <f si="3" t="shared"/>
        <v>7.0156569971601721</v>
      </c>
    </row>
    <row r="67" spans="1:10" x14ac:dyDescent="0.25">
      <c r="A67" s="22">
        <v>2017</v>
      </c>
      <c r="B67" s="10">
        <v>10</v>
      </c>
      <c r="C67" s="10" t="s">
        <v>13</v>
      </c>
      <c r="D67" s="18">
        <v>25.5</v>
      </c>
      <c r="E67" s="12">
        <v>49355306</v>
      </c>
      <c r="F67" s="12">
        <f>3272715+451500</f>
        <v>3724215</v>
      </c>
      <c r="G67" s="21">
        <f si="3" t="shared"/>
        <v>7.5457236553249203</v>
      </c>
    </row>
    <row r="68" spans="1:10" x14ac:dyDescent="0.25">
      <c r="A68" s="22">
        <v>2017</v>
      </c>
      <c r="B68" s="10">
        <v>11</v>
      </c>
      <c r="C68" s="10" t="s">
        <v>14</v>
      </c>
      <c r="D68" s="18">
        <v>47.5</v>
      </c>
      <c r="E68" s="12">
        <v>55811384</v>
      </c>
      <c r="F68" s="12">
        <f>7230206+255163</f>
        <v>7485369</v>
      </c>
      <c r="G68" s="21">
        <f si="3" t="shared"/>
        <v>13.411903564333757</v>
      </c>
    </row>
    <row r="69" spans="1:10" x14ac:dyDescent="0.25">
      <c r="A69" s="22">
        <v>2017</v>
      </c>
      <c r="B69" s="10">
        <v>12</v>
      </c>
      <c r="C69" s="10" t="s">
        <v>15</v>
      </c>
      <c r="D69" s="18">
        <v>40.200000000000003</v>
      </c>
      <c r="E69" s="12">
        <v>16711573</v>
      </c>
      <c r="F69" s="12">
        <f>1466865+129544</f>
        <v>1596409</v>
      </c>
      <c r="G69" s="21">
        <f si="3" t="shared"/>
        <v>9.5527153548023289</v>
      </c>
    </row>
    <row r="70" spans="1:10" x14ac:dyDescent="0.25">
      <c r="A70" s="22">
        <v>2017</v>
      </c>
      <c r="B70" s="10">
        <v>13</v>
      </c>
      <c r="C70" s="10" t="s">
        <v>16</v>
      </c>
      <c r="D70" s="18">
        <v>24.5</v>
      </c>
      <c r="E70" s="12">
        <v>23097686</v>
      </c>
      <c r="F70" s="12">
        <f>1682581+945000</f>
        <v>2627581</v>
      </c>
      <c r="G70" s="21">
        <f si="3" t="shared"/>
        <v>11.375949088579695</v>
      </c>
    </row>
    <row r="71" spans="1:10" x14ac:dyDescent="0.25">
      <c r="A71" s="22">
        <v>2017</v>
      </c>
      <c r="B71" s="10">
        <v>14</v>
      </c>
      <c r="C71" s="10" t="s">
        <v>17</v>
      </c>
      <c r="D71" s="18">
        <v>38.5</v>
      </c>
      <c r="E71" s="12">
        <v>5983244</v>
      </c>
      <c r="F71" s="12">
        <f>1036427+80125</f>
        <v>1116552</v>
      </c>
      <c r="G71" s="21">
        <f si="3" t="shared"/>
        <v>18.661314831887182</v>
      </c>
    </row>
    <row r="72" spans="1:10" x14ac:dyDescent="0.25">
      <c r="A72" s="22">
        <v>2017</v>
      </c>
      <c r="B72" s="10">
        <v>15</v>
      </c>
      <c r="C72" s="10" t="s">
        <v>18</v>
      </c>
      <c r="D72" s="18">
        <v>37.6</v>
      </c>
      <c r="E72" s="12">
        <v>18728254</v>
      </c>
      <c r="F72" s="12">
        <f>2081962+24445</f>
        <v>2106407</v>
      </c>
      <c r="G72" s="21">
        <f si="3" t="shared"/>
        <v>11.247215036703368</v>
      </c>
    </row>
    <row r="73" spans="1:10" x14ac:dyDescent="0.25">
      <c r="A73" s="22">
        <v>2017</v>
      </c>
      <c r="B73" s="10">
        <v>16</v>
      </c>
      <c r="C73" s="10" t="s">
        <v>19</v>
      </c>
      <c r="D73" s="18">
        <v>36</v>
      </c>
      <c r="E73" s="12">
        <v>9742188</v>
      </c>
      <c r="F73" s="12">
        <f>641608</f>
        <v>641608</v>
      </c>
      <c r="G73" s="21">
        <f si="3" t="shared"/>
        <v>6.5858716748229451</v>
      </c>
    </row>
    <row r="74" spans="1:10" x14ac:dyDescent="0.25">
      <c r="A74" s="22">
        <v>2017</v>
      </c>
      <c r="C74" s="10" t="s">
        <v>34</v>
      </c>
      <c r="D74" s="18">
        <v>37.6</v>
      </c>
      <c r="E74" s="12">
        <f>IF(E59&gt;0,SUM(E59:E73),"")</f>
        <v>294806794</v>
      </c>
      <c r="F74" s="12">
        <f>IF(F59&gt;0,SUM(F59:F73),"")</f>
        <v>29790065</v>
      </c>
      <c r="G74" s="21">
        <f si="3" t="shared"/>
        <v>10.104945206927626</v>
      </c>
      <c r="J74" s="12"/>
    </row>
    <row r="75" spans="1:10" x14ac:dyDescent="0.25">
      <c r="A75" s="22">
        <v>2017</v>
      </c>
      <c r="C75" s="10" t="s">
        <v>21</v>
      </c>
      <c r="G75" s="21" t="str">
        <f si="3" t="shared"/>
        <v/>
      </c>
      <c r="H75" s="12">
        <v>46795</v>
      </c>
    </row>
    <row r="76" spans="1:10" x14ac:dyDescent="0.25">
      <c r="A76" s="22">
        <v>2017</v>
      </c>
      <c r="C76" s="10" t="s">
        <v>0</v>
      </c>
      <c r="F76" s="12"/>
      <c r="G76" s="21" t="str">
        <f si="3" t="shared"/>
        <v/>
      </c>
      <c r="H76" s="12">
        <v>4123</v>
      </c>
    </row>
    <row r="77" spans="1:10" x14ac:dyDescent="0.25">
      <c r="A77" s="22">
        <v>2017</v>
      </c>
      <c r="C77" s="10" t="s">
        <v>1</v>
      </c>
      <c r="G77" s="21" t="str">
        <f si="3" t="shared"/>
        <v/>
      </c>
      <c r="H77" s="12">
        <v>2679</v>
      </c>
    </row>
    <row r="78" spans="1:10" x14ac:dyDescent="0.25">
      <c r="A78" s="22">
        <v>2018</v>
      </c>
      <c r="B78" s="10">
        <v>1</v>
      </c>
      <c r="C78" s="10" t="s">
        <v>5</v>
      </c>
      <c r="D78" s="18">
        <v>49</v>
      </c>
      <c r="E78" s="12">
        <v>13976234</v>
      </c>
      <c r="F78" s="12">
        <v>1616722</v>
      </c>
      <c r="G78" s="21">
        <f>IF(E78&gt;0,F78/E78*100,"")</f>
        <v>11.567651199886894</v>
      </c>
    </row>
    <row r="79" spans="1:10" x14ac:dyDescent="0.25">
      <c r="A79" s="22">
        <v>2018</v>
      </c>
      <c r="B79" s="10">
        <v>2</v>
      </c>
      <c r="C79" s="10" t="s">
        <v>6</v>
      </c>
      <c r="D79" s="18">
        <v>39.299999999999997</v>
      </c>
      <c r="E79" s="12">
        <v>11958496</v>
      </c>
      <c r="F79" s="12">
        <v>1946529</v>
      </c>
      <c r="G79" s="21">
        <f ref="G79:G111" si="4" t="shared">IF(E79&gt;0,F79/E79*100,"")</f>
        <v>16.277373007441739</v>
      </c>
    </row>
    <row r="80" spans="1:10" x14ac:dyDescent="0.25">
      <c r="A80" s="22">
        <v>2018</v>
      </c>
      <c r="B80" s="10">
        <v>3</v>
      </c>
      <c r="C80" s="10" t="s">
        <v>7</v>
      </c>
      <c r="D80" s="18">
        <v>38.5</v>
      </c>
      <c r="E80" s="12">
        <v>8335343</v>
      </c>
      <c r="F80" s="12">
        <v>900185</v>
      </c>
      <c r="G80" s="21">
        <f si="4" t="shared"/>
        <v>10.799615564710415</v>
      </c>
    </row>
    <row r="81" spans="1:8" x14ac:dyDescent="0.25">
      <c r="A81" s="22">
        <v>2018</v>
      </c>
      <c r="B81" s="10">
        <v>4</v>
      </c>
      <c r="C81" s="10" t="s">
        <v>8</v>
      </c>
      <c r="D81" s="18">
        <v>35</v>
      </c>
      <c r="E81" s="12">
        <v>6048058</v>
      </c>
      <c r="F81" s="12">
        <v>849503</v>
      </c>
      <c r="G81" s="21">
        <f si="4" t="shared"/>
        <v>14.045880512389267</v>
      </c>
    </row>
    <row r="82" spans="1:8" x14ac:dyDescent="0.25">
      <c r="A82" s="22">
        <v>2018</v>
      </c>
      <c r="B82" s="10">
        <v>5</v>
      </c>
      <c r="C82" s="10" t="s">
        <v>9</v>
      </c>
      <c r="D82" s="18">
        <v>33.6</v>
      </c>
      <c r="E82" s="12">
        <v>22443948</v>
      </c>
      <c r="F82" s="12">
        <v>1304177</v>
      </c>
      <c r="G82" s="21">
        <f si="4" t="shared"/>
        <v>5.8108181323535417</v>
      </c>
    </row>
    <row r="83" spans="1:8" x14ac:dyDescent="0.25">
      <c r="A83" s="22">
        <v>2018</v>
      </c>
      <c r="B83" s="10">
        <v>6</v>
      </c>
      <c r="C83" s="10" t="s">
        <v>10</v>
      </c>
      <c r="D83" s="18">
        <v>41.2</v>
      </c>
      <c r="E83" s="12">
        <v>11315482</v>
      </c>
      <c r="F83" s="12">
        <v>1438640</v>
      </c>
      <c r="G83" s="21">
        <f si="4" t="shared"/>
        <v>12.713908254195447</v>
      </c>
    </row>
    <row r="84" spans="1:8" x14ac:dyDescent="0.25">
      <c r="A84" s="22">
        <v>2018</v>
      </c>
      <c r="B84" s="10">
        <v>7</v>
      </c>
      <c r="C84" s="10" t="s">
        <v>11</v>
      </c>
      <c r="D84" s="18">
        <v>34.6</v>
      </c>
      <c r="E84" s="12">
        <v>19083956</v>
      </c>
      <c r="F84" s="12">
        <v>1337139</v>
      </c>
      <c r="G84" s="21">
        <f si="4" t="shared"/>
        <v>7.0066133038663478</v>
      </c>
    </row>
    <row r="85" spans="1:8" x14ac:dyDescent="0.25">
      <c r="A85" s="22">
        <v>2018</v>
      </c>
      <c r="B85" s="10">
        <v>9</v>
      </c>
      <c r="C85" s="10" t="s">
        <v>12</v>
      </c>
      <c r="D85" s="18">
        <v>37.700000000000003</v>
      </c>
      <c r="E85" s="12">
        <v>23027678</v>
      </c>
      <c r="F85" s="12">
        <v>1412816</v>
      </c>
      <c r="G85" s="21">
        <f si="4" t="shared"/>
        <v>6.1352951000965019</v>
      </c>
    </row>
    <row r="86" spans="1:8" x14ac:dyDescent="0.25">
      <c r="A86" s="22">
        <v>2018</v>
      </c>
      <c r="B86" s="10">
        <v>10</v>
      </c>
      <c r="C86" s="10" t="s">
        <v>13</v>
      </c>
      <c r="D86" s="18">
        <v>27.6</v>
      </c>
      <c r="E86" s="12">
        <v>50427791</v>
      </c>
      <c r="F86" s="12">
        <v>4036948</v>
      </c>
      <c r="G86" s="21">
        <f si="4" t="shared"/>
        <v>8.0054032110984199</v>
      </c>
    </row>
    <row r="87" spans="1:8" x14ac:dyDescent="0.25">
      <c r="A87" s="22">
        <v>2018</v>
      </c>
      <c r="B87" s="10">
        <v>11</v>
      </c>
      <c r="C87" s="10" t="s">
        <v>14</v>
      </c>
      <c r="D87" s="18">
        <v>48.2</v>
      </c>
      <c r="E87" s="12">
        <v>57945490</v>
      </c>
      <c r="F87" s="12">
        <v>8650225</v>
      </c>
      <c r="G87" s="21">
        <f si="4" t="shared"/>
        <v>14.928210978973514</v>
      </c>
    </row>
    <row r="88" spans="1:8" x14ac:dyDescent="0.25">
      <c r="A88" s="22">
        <v>2018</v>
      </c>
      <c r="B88" s="10">
        <v>12</v>
      </c>
      <c r="C88" s="10" t="s">
        <v>15</v>
      </c>
      <c r="D88" s="18">
        <v>42.4</v>
      </c>
      <c r="E88" s="12">
        <v>17355829</v>
      </c>
      <c r="F88" s="12">
        <v>1804725</v>
      </c>
      <c r="G88" s="21">
        <f si="4" t="shared"/>
        <v>10.398379702865244</v>
      </c>
    </row>
    <row r="89" spans="1:8" x14ac:dyDescent="0.25">
      <c r="A89" s="22">
        <v>2018</v>
      </c>
      <c r="B89" s="10">
        <v>13</v>
      </c>
      <c r="C89" s="10" t="s">
        <v>16</v>
      </c>
      <c r="D89" s="18">
        <v>26.7</v>
      </c>
      <c r="E89" s="12">
        <v>22382202</v>
      </c>
      <c r="F89" s="12">
        <v>2174701</v>
      </c>
      <c r="G89" s="21">
        <f si="4" t="shared"/>
        <v>9.7162066538404037</v>
      </c>
    </row>
    <row r="90" spans="1:8" x14ac:dyDescent="0.25">
      <c r="A90" s="22">
        <v>2018</v>
      </c>
      <c r="B90" s="10">
        <v>14</v>
      </c>
      <c r="C90" s="10" t="s">
        <v>17</v>
      </c>
      <c r="D90" s="18">
        <v>35.700000000000003</v>
      </c>
      <c r="E90" s="12">
        <v>6187791</v>
      </c>
      <c r="F90" s="12">
        <v>1093205</v>
      </c>
      <c r="G90" s="21">
        <f si="4" t="shared"/>
        <v>17.667128705542897</v>
      </c>
    </row>
    <row r="91" spans="1:8" x14ac:dyDescent="0.25">
      <c r="A91" s="22">
        <v>2018</v>
      </c>
      <c r="B91" s="10">
        <v>15</v>
      </c>
      <c r="C91" s="10" t="s">
        <v>18</v>
      </c>
      <c r="D91" s="18">
        <v>41</v>
      </c>
      <c r="E91" s="12">
        <v>17194737</v>
      </c>
      <c r="F91" s="12">
        <v>2344713</v>
      </c>
      <c r="G91" s="21">
        <f si="4" t="shared"/>
        <v>13.636224851825299</v>
      </c>
    </row>
    <row r="92" spans="1:8" x14ac:dyDescent="0.25">
      <c r="A92" s="22">
        <v>2018</v>
      </c>
      <c r="B92" s="10">
        <v>16</v>
      </c>
      <c r="C92" s="10" t="s">
        <v>19</v>
      </c>
      <c r="D92" s="18">
        <v>36.6</v>
      </c>
      <c r="E92" s="12">
        <v>9333526</v>
      </c>
      <c r="F92" s="12">
        <v>657105</v>
      </c>
      <c r="G92" s="21">
        <f si="4" t="shared"/>
        <v>7.0402653830931641</v>
      </c>
    </row>
    <row r="93" spans="1:8" x14ac:dyDescent="0.25">
      <c r="A93" s="22">
        <v>2018</v>
      </c>
      <c r="C93" s="10" t="s">
        <v>34</v>
      </c>
      <c r="D93" s="18">
        <v>38.9</v>
      </c>
      <c r="E93" s="12">
        <f>IF(E78&gt;0,SUM(E78:E92),"")</f>
        <v>297016561</v>
      </c>
      <c r="F93" s="12">
        <f>IF(F78&gt;0,SUM(F78:F92),"")</f>
        <v>31567333</v>
      </c>
      <c r="G93" s="21">
        <f si="4" t="shared"/>
        <v>10.628139014780391</v>
      </c>
    </row>
    <row r="94" spans="1:8" x14ac:dyDescent="0.25">
      <c r="A94" s="22">
        <v>2018</v>
      </c>
      <c r="C94" s="10" t="s">
        <v>21</v>
      </c>
      <c r="G94" s="21" t="str">
        <f si="4" t="shared"/>
        <v/>
      </c>
      <c r="H94" s="12">
        <v>50082</v>
      </c>
    </row>
    <row r="95" spans="1:8" x14ac:dyDescent="0.25">
      <c r="A95" s="22">
        <v>2018</v>
      </c>
      <c r="C95" s="10" t="s">
        <v>0</v>
      </c>
      <c r="F95" s="12"/>
      <c r="G95" s="21" t="str">
        <f si="4" t="shared"/>
        <v/>
      </c>
      <c r="H95" s="12">
        <v>107</v>
      </c>
    </row>
    <row r="96" spans="1:8" x14ac:dyDescent="0.25">
      <c r="A96" s="22">
        <v>2018</v>
      </c>
      <c r="C96" s="10" t="s">
        <v>1</v>
      </c>
      <c r="G96" s="21" t="str">
        <f si="4" t="shared"/>
        <v/>
      </c>
      <c r="H96" s="12">
        <v>1653</v>
      </c>
    </row>
    <row r="97" spans="1:7" x14ac:dyDescent="0.25">
      <c r="A97" s="22">
        <v>2019</v>
      </c>
      <c r="B97" s="10">
        <v>1</v>
      </c>
      <c r="C97" s="10" t="s">
        <v>5</v>
      </c>
      <c r="D97" s="19">
        <v>50</v>
      </c>
      <c r="E97" s="33">
        <v>14509860</v>
      </c>
      <c r="F97" s="12">
        <v>1721060</v>
      </c>
      <c r="G97" s="21">
        <f>IF(E97&gt;0,F97/E97*100,"")</f>
        <v>11.861313617085209</v>
      </c>
    </row>
    <row r="98" spans="1:7" x14ac:dyDescent="0.25">
      <c r="A98" s="22">
        <v>2019</v>
      </c>
      <c r="B98" s="10">
        <v>2</v>
      </c>
      <c r="C98" s="10" t="s">
        <v>6</v>
      </c>
      <c r="D98" s="19">
        <v>39.200000000000003</v>
      </c>
      <c r="E98" s="33">
        <v>12546460</v>
      </c>
      <c r="F98" s="12">
        <v>2232528</v>
      </c>
      <c r="G98" s="21">
        <f si="4" t="shared"/>
        <v>17.794086937670066</v>
      </c>
    </row>
    <row r="99" spans="1:7" x14ac:dyDescent="0.25">
      <c r="A99" s="22">
        <v>2019</v>
      </c>
      <c r="B99" s="10">
        <v>3</v>
      </c>
      <c r="C99" s="10" t="s">
        <v>7</v>
      </c>
      <c r="D99" s="19">
        <v>40.6</v>
      </c>
      <c r="E99" s="33">
        <v>8614814</v>
      </c>
      <c r="F99" s="12">
        <v>992641</v>
      </c>
      <c r="G99" s="21">
        <f si="4" t="shared"/>
        <v>11.522489051998104</v>
      </c>
    </row>
    <row r="100" spans="1:7" x14ac:dyDescent="0.25">
      <c r="A100" s="22">
        <v>2019</v>
      </c>
      <c r="B100" s="10">
        <v>4</v>
      </c>
      <c r="C100" s="10" t="s">
        <v>8</v>
      </c>
      <c r="D100" s="19">
        <v>38</v>
      </c>
      <c r="E100" s="33">
        <v>6223529</v>
      </c>
      <c r="F100" s="12">
        <v>1038841</v>
      </c>
      <c r="G100" s="21">
        <f si="4" t="shared"/>
        <v>16.692153278308819</v>
      </c>
    </row>
    <row r="101" spans="1:7" x14ac:dyDescent="0.25">
      <c r="A101" s="22">
        <v>2019</v>
      </c>
      <c r="B101" s="10">
        <v>5</v>
      </c>
      <c r="C101" s="10" t="s">
        <v>9</v>
      </c>
      <c r="D101" s="19">
        <v>35.200000000000003</v>
      </c>
      <c r="E101" s="33">
        <v>21622692</v>
      </c>
      <c r="F101" s="12">
        <v>1162283</v>
      </c>
      <c r="G101" s="21">
        <f si="4" t="shared"/>
        <v>5.3752927711313649</v>
      </c>
    </row>
    <row r="102" spans="1:7" x14ac:dyDescent="0.25">
      <c r="A102" s="22">
        <v>2019</v>
      </c>
      <c r="B102" s="10">
        <v>6</v>
      </c>
      <c r="C102" s="10" t="s">
        <v>10</v>
      </c>
      <c r="D102" s="19">
        <v>42.8</v>
      </c>
      <c r="E102" s="33">
        <v>11288466</v>
      </c>
      <c r="F102" s="12">
        <v>1721341</v>
      </c>
      <c r="G102" s="21">
        <f si="4" t="shared"/>
        <v>15.248670634256239</v>
      </c>
    </row>
    <row r="103" spans="1:7" x14ac:dyDescent="0.25">
      <c r="A103" s="22">
        <v>2019</v>
      </c>
      <c r="B103" s="10">
        <v>7</v>
      </c>
      <c r="C103" s="10" t="s">
        <v>11</v>
      </c>
      <c r="D103" s="19">
        <v>36.9</v>
      </c>
      <c r="E103" s="33">
        <v>19188571</v>
      </c>
      <c r="F103" s="12">
        <v>1358421</v>
      </c>
      <c r="G103" s="21">
        <f si="4" t="shared"/>
        <v>7.0793234160063303</v>
      </c>
    </row>
    <row r="104" spans="1:7" x14ac:dyDescent="0.25">
      <c r="A104" s="22">
        <v>2019</v>
      </c>
      <c r="B104" s="10">
        <v>9</v>
      </c>
      <c r="C104" s="10" t="s">
        <v>12</v>
      </c>
      <c r="D104" s="19">
        <v>38.1</v>
      </c>
      <c r="E104" s="33">
        <v>23467012</v>
      </c>
      <c r="F104" s="12">
        <v>2131264</v>
      </c>
      <c r="G104" s="21">
        <f si="4" t="shared"/>
        <v>9.0819572598335068</v>
      </c>
    </row>
    <row r="105" spans="1:7" x14ac:dyDescent="0.25">
      <c r="A105" s="22">
        <v>2019</v>
      </c>
      <c r="B105" s="10">
        <v>10</v>
      </c>
      <c r="C105" s="10" t="s">
        <v>13</v>
      </c>
      <c r="D105" s="19">
        <v>28.4</v>
      </c>
      <c r="E105" s="33">
        <v>51545384</v>
      </c>
      <c r="F105" s="12">
        <v>4386138</v>
      </c>
      <c r="G105" s="21">
        <f si="4" t="shared"/>
        <v>8.5092740797119681</v>
      </c>
    </row>
    <row r="106" spans="1:7" x14ac:dyDescent="0.25">
      <c r="A106" s="22">
        <v>2019</v>
      </c>
      <c r="B106" s="10">
        <v>11</v>
      </c>
      <c r="C106" s="10" t="s">
        <v>14</v>
      </c>
      <c r="D106" s="19">
        <v>47.2</v>
      </c>
      <c r="E106" s="33">
        <v>59312458</v>
      </c>
      <c r="F106" s="12">
        <v>8258283</v>
      </c>
      <c r="G106" s="21">
        <f si="4" t="shared"/>
        <v>13.923353168064626</v>
      </c>
    </row>
    <row r="107" spans="1:7" x14ac:dyDescent="0.25">
      <c r="A107" s="22">
        <v>2019</v>
      </c>
      <c r="B107" s="10">
        <v>12</v>
      </c>
      <c r="C107" s="10" t="s">
        <v>15</v>
      </c>
      <c r="D107" s="19">
        <v>42</v>
      </c>
      <c r="E107" s="33">
        <v>17458790</v>
      </c>
      <c r="F107" s="12">
        <v>2124132</v>
      </c>
      <c r="G107" s="21">
        <f si="4" t="shared"/>
        <v>12.166547624434454</v>
      </c>
    </row>
    <row r="108" spans="1:7" x14ac:dyDescent="0.25">
      <c r="A108" s="22">
        <v>2019</v>
      </c>
      <c r="B108" s="10">
        <v>13</v>
      </c>
      <c r="C108" s="10" t="s">
        <v>16</v>
      </c>
      <c r="D108" s="19">
        <v>26.9</v>
      </c>
      <c r="E108" s="33">
        <v>23113157</v>
      </c>
      <c r="F108" s="12">
        <v>2254131</v>
      </c>
      <c r="G108" s="21">
        <f si="4" t="shared"/>
        <v>9.7525881038232889</v>
      </c>
    </row>
    <row r="109" spans="1:7" x14ac:dyDescent="0.25">
      <c r="A109" s="22">
        <v>2019</v>
      </c>
      <c r="B109" s="10">
        <v>14</v>
      </c>
      <c r="C109" s="10" t="s">
        <v>17</v>
      </c>
      <c r="D109" s="19">
        <v>39.299999999999997</v>
      </c>
      <c r="E109" s="33">
        <v>6326229</v>
      </c>
      <c r="F109" s="12">
        <v>1199623</v>
      </c>
      <c r="G109" s="21">
        <f si="4" t="shared"/>
        <v>18.962686934032895</v>
      </c>
    </row>
    <row r="110" spans="1:7" x14ac:dyDescent="0.25">
      <c r="A110" s="22">
        <v>2019</v>
      </c>
      <c r="B110" s="10">
        <v>15</v>
      </c>
      <c r="C110" s="10" t="s">
        <v>18</v>
      </c>
      <c r="D110" s="19">
        <v>44.6</v>
      </c>
      <c r="E110" s="33">
        <v>16766158</v>
      </c>
      <c r="F110" s="12">
        <v>2711095</v>
      </c>
      <c r="G110" s="21">
        <f si="4" t="shared"/>
        <v>16.170043250218686</v>
      </c>
    </row>
    <row r="111" spans="1:7" x14ac:dyDescent="0.25">
      <c r="A111" s="22">
        <v>2019</v>
      </c>
      <c r="B111" s="10">
        <v>16</v>
      </c>
      <c r="C111" s="10" t="s">
        <v>19</v>
      </c>
      <c r="D111" s="19">
        <v>34.5</v>
      </c>
      <c r="E111" s="33">
        <v>9808095</v>
      </c>
      <c r="F111" s="12">
        <v>676965</v>
      </c>
      <c r="G111" s="21">
        <f si="4" t="shared"/>
        <v>6.9021048429893872</v>
      </c>
    </row>
    <row r="112" spans="1:7" x14ac:dyDescent="0.25">
      <c r="A112" s="22">
        <v>2019</v>
      </c>
      <c r="C112" s="10" t="s">
        <v>34</v>
      </c>
      <c r="D112" s="19">
        <v>39.299999999999997</v>
      </c>
      <c r="E112" s="12">
        <f>IF(E97&gt;0,SUM(E97:E111),"")</f>
        <v>301791675</v>
      </c>
      <c r="F112" s="12">
        <f>IF(F97&gt;0,SUM(F97:F111),"")</f>
        <v>33968746</v>
      </c>
      <c r="G112" s="21">
        <f ref="G112" si="5" t="shared">IF(E112&gt;0,F112/E112*100,"")</f>
        <v>11.255693517722118</v>
      </c>
    </row>
    <row r="113" spans="1:8" x14ac:dyDescent="0.25">
      <c r="A113" s="22">
        <v>2019</v>
      </c>
      <c r="C113" s="10" t="s">
        <v>21</v>
      </c>
      <c r="H113" s="12">
        <v>49623</v>
      </c>
    </row>
    <row r="114" spans="1:8" x14ac:dyDescent="0.25">
      <c r="A114" s="22">
        <v>2019</v>
      </c>
      <c r="C114" s="10" t="s">
        <v>0</v>
      </c>
      <c r="H114" s="12">
        <v>470</v>
      </c>
    </row>
    <row r="115" spans="1:8" x14ac:dyDescent="0.25">
      <c r="A115" s="22">
        <v>2019</v>
      </c>
      <c r="C115" s="10" t="s">
        <v>1</v>
      </c>
      <c r="H115" s="12">
        <v>1210</v>
      </c>
    </row>
    <row customFormat="1" r="116" s="39" spans="1:8" x14ac:dyDescent="0.25">
      <c r="A116" s="39">
        <v>2020</v>
      </c>
      <c r="B116" s="39">
        <v>1</v>
      </c>
      <c r="C116" s="39" t="s">
        <v>5</v>
      </c>
      <c r="D116" s="40">
        <v>49.8</v>
      </c>
      <c r="E116" s="41">
        <v>14136516</v>
      </c>
      <c r="F116" s="42">
        <v>1665732</v>
      </c>
      <c r="G116" s="43">
        <f>IF(E116&gt;0,F116/E116*100,"")</f>
        <v>11.78318618250777</v>
      </c>
    </row>
    <row customFormat="1" r="117" s="39" spans="1:8" x14ac:dyDescent="0.25">
      <c r="A117" s="39">
        <v>2020</v>
      </c>
      <c r="B117" s="39">
        <v>2</v>
      </c>
      <c r="C117" s="39" t="s">
        <v>6</v>
      </c>
      <c r="D117" s="40">
        <v>39.4</v>
      </c>
      <c r="E117" s="41">
        <v>12426716</v>
      </c>
      <c r="F117" s="42">
        <v>2072979</v>
      </c>
      <c r="G117" s="43">
        <f ref="G117:G134" si="6" t="shared">IF(E117&gt;0,F117/E117*100,"")</f>
        <v>16.681631736011347</v>
      </c>
    </row>
    <row customFormat="1" r="118" s="39" spans="1:8" x14ac:dyDescent="0.25">
      <c r="A118" s="39">
        <v>2020</v>
      </c>
      <c r="B118" s="39">
        <v>3</v>
      </c>
      <c r="C118" s="39" t="s">
        <v>7</v>
      </c>
      <c r="D118" s="40">
        <v>42</v>
      </c>
      <c r="E118" s="41">
        <v>8242307</v>
      </c>
      <c r="F118" s="42">
        <v>1017373</v>
      </c>
      <c r="G118" s="43">
        <f si="6" t="shared"/>
        <v>12.34330388324531</v>
      </c>
    </row>
    <row customFormat="1" r="119" s="39" spans="1:8" x14ac:dyDescent="0.25">
      <c r="A119" s="39">
        <v>2020</v>
      </c>
      <c r="B119" s="39">
        <v>4</v>
      </c>
      <c r="C119" s="39" t="s">
        <v>8</v>
      </c>
      <c r="D119" s="40">
        <v>39.6</v>
      </c>
      <c r="E119" s="41">
        <v>6490660</v>
      </c>
      <c r="F119" s="42">
        <v>1102550.29</v>
      </c>
      <c r="G119" s="43">
        <f si="6" t="shared"/>
        <v>16.986720764914509</v>
      </c>
    </row>
    <row customFormat="1" r="120" s="39" spans="1:8" x14ac:dyDescent="0.25">
      <c r="A120" s="39">
        <v>2020</v>
      </c>
      <c r="B120" s="39">
        <v>5</v>
      </c>
      <c r="C120" s="39" t="s">
        <v>9</v>
      </c>
      <c r="D120" s="40">
        <v>36</v>
      </c>
      <c r="E120" s="41">
        <v>20324107</v>
      </c>
      <c r="F120" s="42">
        <v>1139893</v>
      </c>
      <c r="G120" s="43">
        <f si="6" t="shared"/>
        <v>5.6085760619150449</v>
      </c>
    </row>
    <row customFormat="1" r="121" s="39" spans="1:8" x14ac:dyDescent="0.25">
      <c r="A121" s="39">
        <v>2020</v>
      </c>
      <c r="B121" s="39">
        <v>6</v>
      </c>
      <c r="C121" s="39" t="s">
        <v>10</v>
      </c>
      <c r="D121" s="40">
        <v>44.7</v>
      </c>
      <c r="E121" s="41">
        <v>11033338</v>
      </c>
      <c r="F121" s="42">
        <v>1834192</v>
      </c>
      <c r="G121" s="43">
        <f si="6" t="shared"/>
        <v>16.624089645400151</v>
      </c>
    </row>
    <row customFormat="1" r="122" s="39" spans="1:8" x14ac:dyDescent="0.25">
      <c r="A122" s="39">
        <v>2020</v>
      </c>
      <c r="B122" s="39">
        <v>7</v>
      </c>
      <c r="C122" s="39" t="s">
        <v>11</v>
      </c>
      <c r="D122" s="40">
        <v>41.1</v>
      </c>
      <c r="E122" s="41">
        <v>18020869</v>
      </c>
      <c r="F122" s="42">
        <v>1301896</v>
      </c>
      <c r="G122" s="43">
        <f si="6" t="shared"/>
        <v>7.2243796900138397</v>
      </c>
    </row>
    <row customFormat="1" r="123" s="39" spans="1:8" x14ac:dyDescent="0.25">
      <c r="A123" s="39">
        <v>2020</v>
      </c>
      <c r="B123" s="39">
        <v>9</v>
      </c>
      <c r="C123" s="39" t="s">
        <v>12</v>
      </c>
      <c r="D123" s="40">
        <v>39.1</v>
      </c>
      <c r="E123" s="41">
        <v>23373709</v>
      </c>
      <c r="F123" s="42">
        <v>2388505</v>
      </c>
      <c r="G123" s="43">
        <f si="6" t="shared"/>
        <v>10.218767590543717</v>
      </c>
    </row>
    <row customFormat="1" r="124" s="39" spans="1:8" x14ac:dyDescent="0.25">
      <c r="A124" s="39">
        <v>2020</v>
      </c>
      <c r="B124" s="39">
        <v>10</v>
      </c>
      <c r="C124" s="39" t="s">
        <v>13</v>
      </c>
      <c r="D124" s="40">
        <v>29.8</v>
      </c>
      <c r="E124" s="41">
        <v>49764218</v>
      </c>
      <c r="F124" s="42">
        <v>5010086.0999999996</v>
      </c>
      <c r="G124" s="43">
        <f si="6" t="shared"/>
        <v>10.067647601736653</v>
      </c>
    </row>
    <row customFormat="1" r="125" s="39" spans="1:8" x14ac:dyDescent="0.25">
      <c r="A125" s="39">
        <v>2020</v>
      </c>
      <c r="B125" s="39">
        <v>11</v>
      </c>
      <c r="C125" s="39" t="s">
        <v>14</v>
      </c>
      <c r="D125" s="40">
        <v>48</v>
      </c>
      <c r="E125" s="41">
        <v>57613435</v>
      </c>
      <c r="F125" s="42">
        <v>8602852</v>
      </c>
      <c r="G125" s="43">
        <f si="6" t="shared"/>
        <v>14.932024101670036</v>
      </c>
    </row>
    <row customFormat="1" r="126" s="39" spans="1:8" x14ac:dyDescent="0.25">
      <c r="A126" s="39">
        <v>2020</v>
      </c>
      <c r="B126" s="39">
        <v>12</v>
      </c>
      <c r="C126" s="39" t="s">
        <v>15</v>
      </c>
      <c r="D126" s="40">
        <v>44.1</v>
      </c>
      <c r="E126" s="41">
        <v>17330974</v>
      </c>
      <c r="F126" s="42">
        <v>2253704</v>
      </c>
      <c r="G126" s="43">
        <f si="6" t="shared"/>
        <v>13.003908493544564</v>
      </c>
    </row>
    <row customFormat="1" r="127" s="39" spans="1:8" x14ac:dyDescent="0.25">
      <c r="A127" s="39">
        <v>2020</v>
      </c>
      <c r="B127" s="39">
        <v>13</v>
      </c>
      <c r="C127" s="39" t="s">
        <v>16</v>
      </c>
      <c r="D127" s="40">
        <v>28.7</v>
      </c>
      <c r="E127" s="41">
        <v>23218577</v>
      </c>
      <c r="F127" s="42">
        <v>2607849</v>
      </c>
      <c r="G127" s="43">
        <f si="6" t="shared"/>
        <v>11.23173483026113</v>
      </c>
    </row>
    <row customFormat="1" r="128" s="39" spans="1:8" x14ac:dyDescent="0.25">
      <c r="A128" s="39">
        <v>2020</v>
      </c>
      <c r="B128" s="39">
        <v>14</v>
      </c>
      <c r="C128" s="39" t="s">
        <v>17</v>
      </c>
      <c r="D128" s="40">
        <v>44.1</v>
      </c>
      <c r="E128" s="41">
        <v>6260021</v>
      </c>
      <c r="F128" s="42">
        <v>1167066</v>
      </c>
      <c r="G128" s="43">
        <f si="6" t="shared"/>
        <v>18.643164296094213</v>
      </c>
    </row>
    <row customFormat="1" r="129" s="39" spans="1:8" x14ac:dyDescent="0.25">
      <c r="A129" s="39">
        <v>2020</v>
      </c>
      <c r="B129" s="39">
        <v>15</v>
      </c>
      <c r="C129" s="39" t="s">
        <v>18</v>
      </c>
      <c r="D129" s="40">
        <v>44.4</v>
      </c>
      <c r="E129" s="41">
        <v>15177973</v>
      </c>
      <c r="F129" s="42">
        <v>2490925</v>
      </c>
      <c r="G129" s="43">
        <f si="6" t="shared"/>
        <v>16.411447035780075</v>
      </c>
    </row>
    <row customFormat="1" r="130" s="39" spans="1:8" x14ac:dyDescent="0.25">
      <c r="A130" s="39">
        <v>2020</v>
      </c>
      <c r="B130" s="39">
        <v>16</v>
      </c>
      <c r="C130" s="39" t="s">
        <v>19</v>
      </c>
      <c r="D130" s="40">
        <v>35</v>
      </c>
      <c r="E130" s="41">
        <v>9442450</v>
      </c>
      <c r="F130" s="42">
        <v>726144</v>
      </c>
      <c r="G130" s="43">
        <f si="6" t="shared"/>
        <v>7.6902075202939919</v>
      </c>
    </row>
    <row customFormat="1" r="131" s="39" spans="1:8" x14ac:dyDescent="0.25">
      <c r="A131" s="39">
        <v>2020</v>
      </c>
      <c r="C131" s="39" t="s">
        <v>34</v>
      </c>
      <c r="D131" s="40">
        <v>40.799999999999997</v>
      </c>
      <c r="E131" s="41">
        <v>292855870</v>
      </c>
      <c r="F131" s="42">
        <f>IF(F116&gt;0,SUM(F116:F130),"")</f>
        <v>35381746.390000001</v>
      </c>
      <c r="G131" s="43">
        <f si="6" t="shared"/>
        <v>12.081624448914068</v>
      </c>
    </row>
    <row customFormat="1" r="132" s="39" spans="1:8" x14ac:dyDescent="0.25">
      <c r="A132" s="39">
        <v>2020</v>
      </c>
      <c r="C132" s="39" t="s">
        <v>21</v>
      </c>
      <c r="D132" s="44"/>
      <c r="G132" s="44"/>
      <c r="H132" s="42">
        <v>51182</v>
      </c>
    </row>
    <row customFormat="1" r="133" s="39" spans="1:8" x14ac:dyDescent="0.25">
      <c r="A133" s="39">
        <v>2020</v>
      </c>
      <c r="C133" s="39" t="s">
        <v>0</v>
      </c>
      <c r="D133" s="44"/>
      <c r="G133" s="44"/>
      <c r="H133" s="42">
        <v>26</v>
      </c>
    </row>
    <row customFormat="1" r="134" s="39" spans="1:8" x14ac:dyDescent="0.25">
      <c r="A134" s="39">
        <v>2020</v>
      </c>
      <c r="C134" s="39" t="s">
        <v>1</v>
      </c>
      <c r="D134" s="44"/>
      <c r="G134" s="44"/>
      <c r="H134" s="42">
        <v>1403</v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Company>Iowa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2014-08-25T15:52:58Z</dcterms:created>
  <dc:creator>Madison, Robin [LEGIS]</dc:creator>
  <cp:lastModifiedBy>Robinson, Ron [LEGIS]</cp:lastModifiedBy>
  <cp:lastPrinted>2022-07-19T17:20:49Z</cp:lastPrinted>
  <dcterms:modified xsi:type="dcterms:W3CDTF">2022-07-19T18:22:40Z</dcterms:modified>
</cp:coreProperties>
</file>