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windowHeight="3630" windowWidth="8355" xWindow="240" yWindow="60"/>
  </bookViews>
  <sheets>
    <sheet name="Factbook" r:id="rId1" sheetId="8" state="veryHidden"/>
    <sheet name="Data" r:id="rId2" sheetId="5"/>
    <sheet name="Factbook_Old" r:id="rId3" sheetId="1" state="veryHidden"/>
    <sheet name="Data_old" r:id="rId4" sheetId="2" state="veryHidden"/>
    <sheet name="Notes" r:id="rId5" sheetId="3" state="veryHidden"/>
  </sheets>
  <definedNames>
    <definedName localSheetId="0" name="_xlnm.Print_Area">Factbook!$A$1:$L$64</definedName>
    <definedName localSheetId="2" name="_xlnm.Print_Area">Factbook_Old!$A$1:$N$39</definedName>
  </definedNames>
  <calcPr calcId="162913"/>
</workbook>
</file>

<file path=xl/calcChain.xml><?xml version="1.0" encoding="utf-8"?>
<calcChain xmlns="http://schemas.openxmlformats.org/spreadsheetml/2006/main">
  <c i="8" l="1" r="P70"/>
  <c i="8" r="P71"/>
  <c i="8" r="P72"/>
  <c i="8" r="P73"/>
  <c i="8" r="P74"/>
  <c i="8" r="P75"/>
  <c i="8" r="P76"/>
  <c i="8" r="P77"/>
  <c i="8" r="P78"/>
  <c i="8" r="P79"/>
  <c i="8" r="P80"/>
  <c i="8" r="P81"/>
  <c i="8" r="P82"/>
  <c i="8" r="P83"/>
  <c i="8" r="P84"/>
  <c i="8" r="P85"/>
  <c i="8" r="P86"/>
  <c i="8" r="P87"/>
  <c i="8" r="P88"/>
  <c i="8" r="P89"/>
  <c i="8" r="P90"/>
  <c i="8" r="P91"/>
  <c i="8" r="P92"/>
  <c i="8" r="P69"/>
  <c i="8" r="R70"/>
  <c i="8" r="R71"/>
  <c i="8" r="R72"/>
  <c i="8" r="R73"/>
  <c i="8" r="R74"/>
  <c i="8" r="R75"/>
  <c i="8" r="R76"/>
  <c i="8" r="R77"/>
  <c i="8" r="R78"/>
  <c i="8" r="R79"/>
  <c i="8" r="R80"/>
  <c i="8" r="R81"/>
  <c i="8" r="R82"/>
  <c i="8" r="R83"/>
  <c i="8" r="R84"/>
  <c i="8" r="R85"/>
  <c i="8" r="R86"/>
  <c i="8" r="R87"/>
  <c i="8" r="R88"/>
  <c i="8" r="R89"/>
  <c i="8" r="R90"/>
  <c i="8" r="R91"/>
  <c i="8" r="R92"/>
  <c i="8" r="Q70"/>
  <c i="8" r="Q71"/>
  <c i="8" r="Q72"/>
  <c i="8" r="Q73"/>
  <c i="8" r="Q74"/>
  <c i="8" r="Q75"/>
  <c i="8" r="Q76"/>
  <c i="8" r="Q77"/>
  <c i="8" r="Q78"/>
  <c i="8" r="Q79"/>
  <c i="8" r="Q80"/>
  <c i="8" r="Q81"/>
  <c i="8" r="Q82"/>
  <c i="8" r="Q83"/>
  <c i="8" r="Q84"/>
  <c i="8" r="Q85"/>
  <c i="8" r="Q86"/>
  <c i="8" r="Q87"/>
  <c i="8" r="Q88"/>
  <c i="8" r="Q89"/>
  <c i="8" r="Q90"/>
  <c i="8" r="Q91"/>
  <c i="8" r="Q92"/>
  <c i="8" r="Q69"/>
  <c i="8" r="R69" s="1"/>
  <c i="8" r="AF26"/>
  <c i="8" r="AF25"/>
  <c i="8" r="AF24"/>
  <c i="8" r="AF23"/>
  <c i="8" r="AF22"/>
  <c i="8" r="AF21"/>
  <c i="8" r="AF20"/>
  <c i="8" r="AF19"/>
  <c i="8" r="AF18"/>
  <c i="8" r="AF17"/>
  <c i="8" r="AF16"/>
  <c i="8" r="AF15"/>
  <c i="8" r="AF14"/>
  <c i="8" r="AF13"/>
  <c i="8" r="AF12"/>
  <c i="8" r="AF11"/>
  <c i="8" r="AF10"/>
  <c i="8" r="AF9"/>
  <c i="8" r="AF8"/>
  <c i="8" r="AF7"/>
  <c i="8" r="AF6"/>
  <c i="8" r="AF5"/>
  <c i="8" r="AF4"/>
  <c i="8" r="AF3"/>
  <c i="8" r="Z26"/>
  <c i="8" r="Z25"/>
  <c i="8" r="Z24"/>
  <c i="8" r="Z23"/>
  <c i="8" r="Z22"/>
  <c i="8" r="Z21"/>
  <c i="8" r="Z20"/>
  <c i="8" r="Z19"/>
  <c i="8" r="Z18"/>
  <c i="8" r="Z17"/>
  <c i="8" r="Z16"/>
  <c i="8" r="Z15"/>
  <c i="8" r="Z14"/>
  <c i="8" r="Z13"/>
  <c i="8" r="Z12"/>
  <c i="8" r="Z11"/>
  <c i="8" r="Z10"/>
  <c i="8" r="Z9"/>
  <c i="8" r="Z8"/>
  <c i="8" r="Z7"/>
  <c i="8" r="Z6"/>
  <c i="8" r="Z5"/>
  <c i="8" r="Z4"/>
  <c i="8" r="Z3"/>
  <c i="8" r="T4"/>
  <c i="8" r="T5"/>
  <c i="8" r="T6"/>
  <c i="8" r="T7"/>
  <c i="8" r="T8"/>
  <c i="8" r="T9"/>
  <c i="8" r="T10"/>
  <c i="8" r="T11"/>
  <c i="8" r="T12"/>
  <c i="8" r="T13"/>
  <c i="8" r="T14"/>
  <c i="8" r="T15"/>
  <c i="8" r="T16"/>
  <c i="8" r="T17"/>
  <c i="8" r="T18"/>
  <c i="8" r="T19"/>
  <c i="8" r="T20"/>
  <c i="8" r="T21"/>
  <c i="8" r="T22"/>
  <c i="8" r="T23"/>
  <c i="8" r="T24"/>
  <c i="8" r="T25"/>
  <c i="8" r="T26"/>
  <c i="8" r="T3"/>
  <c i="8" l="1" r="N40"/>
  <c i="8" r="N41" s="1"/>
  <c i="8" l="1" r="O40"/>
  <c i="8" r="AB40" s="1"/>
  <c i="8" r="N42"/>
  <c i="8" r="O41"/>
  <c i="8" r="AD40"/>
  <c i="8" r="AC40"/>
  <c i="8" r="X40"/>
  <c i="8" r="Q40"/>
  <c i="8" r="W40"/>
  <c i="8" l="1" r="R40"/>
  <c i="8" r="Q3" s="1"/>
  <c i="8" r="V40"/>
  <c i="8" r="V3" s="1"/>
  <c i="8" r="O3"/>
  <c i="8" r="U3" s="1"/>
  <c i="8" r="AA3" s="1"/>
  <c i="8" r="P40"/>
  <c i="8" r="P3" s="1"/>
  <c i="8" r="AB3"/>
  <c i="8" r="W41"/>
  <c i="8" r="W4" s="1"/>
  <c i="8" r="X4" s="1"/>
  <c i="8" r="Y4" s="1"/>
  <c i="8" r="AD41"/>
  <c i="8" r="X41"/>
  <c i="8" r="AC41"/>
  <c i="8" r="AB41"/>
  <c i="8" r="O4"/>
  <c i="8" r="U4" s="1"/>
  <c i="8" r="AA4" s="1"/>
  <c i="8" r="P41"/>
  <c i="8" r="V41"/>
  <c i="8" r="V4" s="1"/>
  <c i="8" r="Q41"/>
  <c i="8" r="R41"/>
  <c i="8" r="W3"/>
  <c i="8" r="AC3"/>
  <c i="8" r="AD3" s="1"/>
  <c i="8" r="AE3" s="1"/>
  <c i="8" r="N43"/>
  <c i="8" r="O42"/>
  <c i="8" l="1" r="R3"/>
  <c i="8" r="S3" s="1"/>
  <c i="8" r="X3"/>
  <c i="8" r="Y3" s="1"/>
  <c i="8" r="Q4"/>
  <c i="8" r="AB4"/>
  <c i="8" r="AC4"/>
  <c i="8" r="AB42"/>
  <c i="8" r="X42"/>
  <c i="8" r="AD42"/>
  <c i="8" r="V42"/>
  <c i="8" r="Q42"/>
  <c i="8" r="W42"/>
  <c i="8" r="AC42"/>
  <c i="8" r="P42"/>
  <c i="8" r="O5"/>
  <c i="8" r="U5" s="1"/>
  <c i="8" r="AA5" s="1"/>
  <c i="8" r="R42"/>
  <c i="8" r="N44"/>
  <c i="8" r="O43"/>
  <c i="8" r="P4"/>
  <c i="2" r="M19"/>
  <c i="2" r="M18"/>
  <c i="2" r="L19"/>
  <c i="2" r="L18"/>
  <c i="2" r="I19"/>
  <c i="2" r="I18"/>
  <c i="2" r="H19"/>
  <c i="2" r="H18"/>
  <c i="2" r="E19"/>
  <c i="2" r="E18"/>
  <c i="2" r="D19"/>
  <c i="2" r="D18"/>
  <c i="8" l="1" r="P5"/>
  <c i="8" r="V5"/>
  <c i="8" r="AD4"/>
  <c i="8" r="AE4" s="1"/>
  <c i="8" r="W5"/>
  <c i="8" r="AC5"/>
  <c i="8" r="Q5"/>
  <c i="8" r="R5" s="1"/>
  <c i="8" r="S5" s="1"/>
  <c i="8" r="AB5"/>
  <c i="8" r="AD5" s="1"/>
  <c i="8" r="AE5" s="1"/>
  <c i="8" r="N45"/>
  <c i="8" r="O44"/>
  <c i="8" r="AC43"/>
  <c i="8" r="AB43"/>
  <c i="8" r="V43"/>
  <c i="8" r="W43"/>
  <c i="8" r="R43"/>
  <c i="8" r="O6"/>
  <c i="8" r="U6" s="1"/>
  <c i="8" r="AA6" s="1"/>
  <c i="8" r="P43"/>
  <c i="8" r="X43"/>
  <c i="8" r="Q43"/>
  <c i="8" r="Q6" s="1"/>
  <c i="8" r="AD43"/>
  <c i="8" r="X5"/>
  <c i="8" r="Y5" s="1"/>
  <c i="8" r="R4"/>
  <c i="8" r="S4" s="1"/>
  <c i="1" r="P18"/>
  <c i="1" r="Q18"/>
  <c i="1" r="Q20" s="1"/>
  <c i="1" r="P12"/>
  <c i="1" r="Q12"/>
  <c i="1" r="Q14" s="1"/>
  <c i="1" r="L3"/>
  <c i="1" r="L8" s="1"/>
  <c i="1" r="J3"/>
  <c i="1" r="J4" s="1"/>
  <c i="1" r="H3"/>
  <c i="1" r="H8" s="1"/>
  <c i="1" r="F3"/>
  <c i="1" r="F4" s="1"/>
  <c i="1" r="D3"/>
  <c i="1" r="D4" s="1"/>
  <c i="1" r="Q36"/>
  <c i="1" r="Q31"/>
  <c i="1" r="Q25"/>
  <c i="1" r="Q9"/>
  <c i="8" l="1" r="AB6"/>
  <c i="8" r="N46"/>
  <c i="8" r="O45"/>
  <c i="8" r="R6"/>
  <c i="8" r="S6" s="1"/>
  <c i="8" r="AC6"/>
  <c i="8" r="AD6" s="1"/>
  <c i="8" r="AE6" s="1"/>
  <c i="8" r="W6"/>
  <c i="8" r="P6"/>
  <c i="8" r="V6"/>
  <c i="8" r="AD44"/>
  <c i="8" r="V44"/>
  <c i="8" r="AC44"/>
  <c i="8" r="AC7" s="1"/>
  <c i="8" r="AD7" s="1"/>
  <c i="8" r="AE7" s="1"/>
  <c i="8" r="W44"/>
  <c i="8" r="W7" s="1"/>
  <c i="8" r="AB44"/>
  <c i="8" r="AB7" s="1"/>
  <c i="8" r="X44"/>
  <c i="8" r="Q44"/>
  <c i="8" r="Q7" s="1"/>
  <c i="8" r="R7" s="1"/>
  <c i="8" r="S7" s="1"/>
  <c i="8" r="O7"/>
  <c i="8" r="U7" s="1"/>
  <c i="8" r="AA7" s="1"/>
  <c i="8" r="R44"/>
  <c i="8" r="P44"/>
  <c i="8" r="P7" s="1"/>
  <c i="1" r="H12"/>
  <c i="1" r="H13"/>
  <c i="1" r="L18"/>
  <c i="1" r="L19"/>
  <c i="1" r="F12"/>
  <c i="1" r="F13"/>
  <c i="1" r="J18"/>
  <c i="1" r="J19"/>
  <c i="1" r="L12"/>
  <c i="1" r="L13"/>
  <c i="1" r="H18"/>
  <c i="1" r="H19"/>
  <c i="1" r="J12"/>
  <c i="1" r="J13"/>
  <c i="1" r="F18"/>
  <c i="1" r="F19"/>
  <c i="1" r="D13"/>
  <c i="1" r="D23"/>
  <c i="1" r="D35"/>
  <c i="1" r="J23"/>
  <c i="1" r="F23"/>
  <c i="1" r="L29"/>
  <c i="1" r="H29"/>
  <c i="1" r="J34"/>
  <c i="1" r="F34"/>
  <c i="1" r="D18"/>
  <c i="1" r="D29"/>
  <c i="1" r="L24"/>
  <c i="1" r="H24"/>
  <c i="1" r="J30"/>
  <c i="1" r="F30"/>
  <c i="1" r="L35"/>
  <c i="1" r="H35"/>
  <c i="1" r="D19"/>
  <c i="1" r="D30"/>
  <c i="1" r="D31" s="1"/>
  <c i="1" r="L23"/>
  <c i="1" r="L25" s="1"/>
  <c i="1" r="H23"/>
  <c i="1" r="H25" s="1"/>
  <c i="1" r="J29"/>
  <c i="1" r="J31" s="1"/>
  <c i="1" r="F29"/>
  <c i="1" r="L34"/>
  <c i="1" r="L36" s="1"/>
  <c i="1" r="H34"/>
  <c i="1" r="H36" s="1"/>
  <c i="1" r="D12"/>
  <c i="1" r="D24"/>
  <c i="1" r="D34"/>
  <c i="1" r="J24"/>
  <c i="1" r="F24"/>
  <c i="1" r="L30"/>
  <c i="1" r="H30"/>
  <c i="1" r="J35"/>
  <c i="1" r="F35"/>
  <c i="1" r="L4"/>
  <c i="1" r="D7"/>
  <c i="1" r="J7"/>
  <c i="1" r="F7"/>
  <c i="1" r="J8"/>
  <c i="1" r="F8"/>
  <c i="1" r="D8"/>
  <c i="1" r="H4"/>
  <c i="1" r="L7"/>
  <c i="1" r="L9" s="1"/>
  <c i="1" r="H7"/>
  <c i="1" r="H9" s="1"/>
  <c i="8" l="1" r="W45"/>
  <c i="8" r="AD45"/>
  <c i="8" r="X45"/>
  <c i="8" r="AC45"/>
  <c i="8" r="V45"/>
  <c i="8" r="O8"/>
  <c i="8" r="U8" s="1"/>
  <c i="8" r="AA8" s="1"/>
  <c i="8" r="P45"/>
  <c i="8" r="AB45"/>
  <c i="8" r="Q45"/>
  <c i="8" r="R45"/>
  <c i="8" r="V7"/>
  <c i="8" r="X7" s="1"/>
  <c i="8" r="Y7" s="1"/>
  <c i="8" r="X6"/>
  <c i="8" r="Y6" s="1"/>
  <c i="8" r="N47"/>
  <c i="8" r="O46"/>
  <c i="1" r="J14"/>
  <c i="1" r="F31"/>
  <c i="1" r="F14"/>
  <c i="1" r="F20"/>
  <c i="1" r="J20"/>
  <c i="1" r="H20"/>
  <c i="1" r="L20"/>
  <c i="1" r="D36"/>
  <c i="1" r="L14"/>
  <c i="1" r="D14"/>
  <c i="1" r="H14"/>
  <c i="1" r="D25"/>
  <c i="1" r="J36"/>
  <c i="1" r="J25"/>
  <c i="1" r="H31"/>
  <c i="1" r="D20"/>
  <c i="1" r="L31"/>
  <c i="1" r="D9"/>
  <c i="1" r="J9"/>
  <c i="1" r="F36"/>
  <c i="1" r="F25"/>
  <c i="1" r="F9"/>
  <c i="8" l="1" r="P8"/>
  <c i="8" r="Q8"/>
  <c i="8" r="R8" s="1"/>
  <c i="8" r="S8" s="1"/>
  <c i="8" r="V8"/>
  <c i="8" r="W8"/>
  <c i="8" r="X8" s="1"/>
  <c i="8" r="Y8" s="1"/>
  <c i="8" r="AB46"/>
  <c i="8" r="X46"/>
  <c i="8" r="AD46"/>
  <c i="8" r="V46"/>
  <c i="8" r="V9" s="1"/>
  <c i="8" r="AC46"/>
  <c i="8" r="AC9" s="1"/>
  <c i="8" r="Q46"/>
  <c i="8" r="P46"/>
  <c i="8" r="W46"/>
  <c i="8" r="W9" s="1"/>
  <c i="8" r="O9"/>
  <c i="8" r="U9" s="1"/>
  <c i="8" r="AA9" s="1"/>
  <c i="8" r="R46"/>
  <c i="8" r="N48"/>
  <c i="8" r="O47"/>
  <c i="8" r="AB8"/>
  <c i="8" r="AC8"/>
  <c i="8" l="1" r="AB9"/>
  <c i="8" r="AD9" s="1"/>
  <c i="8" r="AE9" s="1"/>
  <c i="8" r="X9"/>
  <c i="8" r="Y9" s="1"/>
  <c i="8" r="N49"/>
  <c i="8" r="O48"/>
  <c i="8" r="P9"/>
  <c i="8" r="AC47"/>
  <c i="8" r="AB47"/>
  <c i="8" r="V47"/>
  <c i="8" r="W47"/>
  <c i="8" r="R47"/>
  <c i="8" r="X47"/>
  <c i="8" r="O10"/>
  <c i="8" r="U10" s="1"/>
  <c i="8" r="AA10" s="1"/>
  <c i="8" r="P47"/>
  <c i="8" r="AD47"/>
  <c i="8" r="Q47"/>
  <c i="8" r="AD8"/>
  <c i="8" r="AE8" s="1"/>
  <c i="8" r="Q9"/>
  <c i="8" r="R9" s="1"/>
  <c i="8" r="S9" s="1"/>
  <c i="8" l="1" r="W10"/>
  <c i="8" r="V10"/>
  <c i="8" r="P10"/>
  <c i="8" r="AD48"/>
  <c i="8" r="V48"/>
  <c i="8" r="AC48"/>
  <c i="8" r="W48"/>
  <c i="8" r="AB48"/>
  <c i="8" r="AB11" s="1"/>
  <c i="8" r="X48"/>
  <c i="8" r="O11"/>
  <c i="8" r="U11" s="1"/>
  <c i="8" r="AA11" s="1"/>
  <c i="8" r="R48"/>
  <c i="8" r="P48"/>
  <c i="8" r="P11" s="1"/>
  <c i="8" r="Q48"/>
  <c i="8" r="Q11" s="1"/>
  <c i="8" r="AC10"/>
  <c i="8" r="Q10"/>
  <c i="8" r="R10" s="1"/>
  <c i="8" r="S10" s="1"/>
  <c i="8" r="AB10"/>
  <c i="8" r="O49"/>
  <c i="8" r="N50"/>
  <c i="8" l="1" r="AD10"/>
  <c i="8" r="AE10" s="1"/>
  <c i="8" r="AC11"/>
  <c i="8" r="AD11" s="1"/>
  <c i="8" r="AE11" s="1"/>
  <c i="8" r="R11"/>
  <c i="8" r="S11" s="1"/>
  <c i="8" r="X10"/>
  <c i="8" r="Y10" s="1"/>
  <c i="8" r="V11"/>
  <c i="8" r="N51"/>
  <c i="8" r="O50"/>
  <c i="8" r="W49"/>
  <c i="8" r="W12" s="1"/>
  <c i="8" r="AD49"/>
  <c i="8" r="X49"/>
  <c i="8" r="AC49"/>
  <c i="8" r="AC12" s="1"/>
  <c i="8" r="AD12" s="1"/>
  <c i="8" r="AE12" s="1"/>
  <c i="8" r="O12"/>
  <c i="8" r="U12" s="1"/>
  <c i="8" r="AA12" s="1"/>
  <c i="8" r="P49"/>
  <c i="8" r="AB49"/>
  <c i="8" r="AB12" s="1"/>
  <c i="8" r="R49"/>
  <c i="8" r="V49"/>
  <c i="8" r="V12" s="1"/>
  <c i="8" r="Q49"/>
  <c i="8" r="W11"/>
  <c i="8" r="X11" s="1"/>
  <c i="8" r="Y11" s="1"/>
  <c i="8" l="1" r="X12"/>
  <c i="8" r="Y12" s="1"/>
  <c i="8" r="O51"/>
  <c i="8" r="N52"/>
  <c i="8" r="AB50"/>
  <c i="8" r="AB13" s="1"/>
  <c i="8" r="X50"/>
  <c i="8" r="AD50"/>
  <c i="8" r="V50"/>
  <c i="8" r="V13" s="1"/>
  <c i="8" r="W50"/>
  <c i="8" r="W13" s="1"/>
  <c i="8" r="X13" s="1"/>
  <c i="8" r="Y13" s="1"/>
  <c i="8" r="Q50"/>
  <c i="8" r="P50"/>
  <c i="8" r="P13" s="1"/>
  <c i="8" r="AC50"/>
  <c i="8" r="O13"/>
  <c i="8" r="U13" s="1"/>
  <c i="8" r="AA13" s="1"/>
  <c i="8" r="R50"/>
  <c i="8" r="Q12"/>
  <c i="8" r="P12"/>
  <c i="8" l="1" r="AC13"/>
  <c i="8" r="R12"/>
  <c i="8" r="S12" s="1"/>
  <c i="8" r="AC51"/>
  <c i="8" r="AB51"/>
  <c i="8" r="AB14" s="1"/>
  <c i="8" r="V51"/>
  <c i="8" r="W51"/>
  <c i="8" r="AD51"/>
  <c i="8" r="R51"/>
  <c i="8" r="Q51"/>
  <c i="8" r="X51"/>
  <c i="8" r="O14"/>
  <c i="8" r="U14" s="1"/>
  <c i="8" r="AA14" s="1"/>
  <c i="8" r="P51"/>
  <c i="8" r="P14" s="1"/>
  <c i="8" r="AD13"/>
  <c i="8" r="AE13" s="1"/>
  <c i="8" r="N53"/>
  <c i="8" r="O52"/>
  <c i="8" r="Q13"/>
  <c i="8" r="R13" s="1"/>
  <c i="8" r="S13" s="1"/>
  <c i="8" l="1" r="Q14"/>
  <c i="8" r="R14" s="1"/>
  <c i="8" r="S14" s="1"/>
  <c i="8" r="V14"/>
  <c i="8" r="AD52"/>
  <c i="8" r="V52"/>
  <c i="8" r="AC52"/>
  <c i="8" r="AC15" s="1"/>
  <c i="8" r="W52"/>
  <c i="8" r="AB52"/>
  <c i="8" r="AB15" s="1"/>
  <c i="8" r="X52"/>
  <c i="8" r="Q52"/>
  <c i="8" r="O15"/>
  <c i="8" r="U15" s="1"/>
  <c i="8" r="AA15" s="1"/>
  <c i="8" r="R52"/>
  <c i="8" r="P52"/>
  <c i="8" r="AC14"/>
  <c i="8" r="AD14" s="1"/>
  <c i="8" r="AE14" s="1"/>
  <c i="8" r="N54"/>
  <c i="8" r="O53"/>
  <c i="8" r="W14"/>
  <c i="8" r="X14" s="1"/>
  <c i="8" r="Y14" s="1"/>
  <c i="8" l="1" r="W15"/>
  <c i="8" r="Q15"/>
  <c i="8" r="AD15"/>
  <c i="8" r="AE15" s="1"/>
  <c i="8" r="P15"/>
  <c i="8" r="R15" s="1"/>
  <c i="8" r="S15" s="1"/>
  <c i="8" r="N55"/>
  <c i="8" r="O54"/>
  <c i="8" r="V15"/>
  <c i="8" r="X15" s="1"/>
  <c i="8" r="Y15" s="1"/>
  <c i="8" r="W53"/>
  <c i="8" r="AD53"/>
  <c i="8" r="X53"/>
  <c i="8" r="AC53"/>
  <c i="8" r="O16"/>
  <c i="8" r="U16" s="1"/>
  <c i="8" r="AA16" s="1"/>
  <c i="8" r="P53"/>
  <c i="8" r="V53"/>
  <c i="8" r="AB53"/>
  <c i="8" r="AB16" s="1"/>
  <c i="8" r="Q53"/>
  <c i="8" r="R53"/>
  <c i="8" l="1" r="V16"/>
  <c i="8" r="AC16"/>
  <c i="8" r="AD16"/>
  <c i="8" r="AE16" s="1"/>
  <c i="8" r="AB54"/>
  <c i="8" r="X54"/>
  <c i="8" r="AD54"/>
  <c i="8" r="V54"/>
  <c i="8" r="Q54"/>
  <c i="8" r="AC54"/>
  <c i="8" r="W54"/>
  <c i="8" r="P54"/>
  <c i="8" r="O17"/>
  <c i="8" r="U17" s="1"/>
  <c i="8" r="AA17" s="1"/>
  <c i="8" r="R54"/>
  <c i="8" r="P16"/>
  <c i="8" r="Q16"/>
  <c i="8" r="W16"/>
  <c i="8" r="X16" s="1"/>
  <c i="8" r="Y16" s="1"/>
  <c i="8" r="N56"/>
  <c i="8" r="O55"/>
  <c i="8" l="1" r="W17"/>
  <c i="8" r="AC55"/>
  <c i="8" r="AB55"/>
  <c i="8" r="V55"/>
  <c i="8" r="V18" s="1"/>
  <c i="8" r="W55"/>
  <c i="8" r="X55"/>
  <c i="8" r="R55"/>
  <c i="8" r="O18"/>
  <c i="8" r="U18" s="1"/>
  <c i="8" r="AA18" s="1"/>
  <c i="8" r="P55"/>
  <c i="8" r="Q55"/>
  <c i="8" r="AD55"/>
  <c i="8" r="N57"/>
  <c i="8" r="O56"/>
  <c i="8" r="AC17"/>
  <c i="8" r="Q17"/>
  <c i="8" r="AB17"/>
  <c i="8" r="R16"/>
  <c i="8" r="S16" s="1"/>
  <c i="8" r="P17"/>
  <c i="8" r="V17"/>
  <c i="8" r="X17" s="1"/>
  <c i="8" r="Y17" s="1"/>
  <c i="8" l="1" r="Q18"/>
  <c i="8" r="P18"/>
  <c i="8" r="W18"/>
  <c i="8" r="X18" s="1"/>
  <c i="8" r="Y18" s="1"/>
  <c i="8" r="R17"/>
  <c i="8" r="S17" s="1"/>
  <c i="8" r="AB18"/>
  <c i="8" r="AD56"/>
  <c i="8" r="AC56"/>
  <c i="8" r="AC19" s="1"/>
  <c i="8" r="AB56"/>
  <c i="8" r="Q56"/>
  <c i="8" r="X56"/>
  <c i="8" r="O19"/>
  <c i="8" r="U19" s="1"/>
  <c i="8" r="AA19" s="1"/>
  <c i="8" r="R56"/>
  <c i="8" r="V56"/>
  <c i="8" r="P56"/>
  <c i="8" r="W56"/>
  <c i="8" r="W19" s="1"/>
  <c i="8" r="N58"/>
  <c i="8" r="O57"/>
  <c i="8" r="AD17"/>
  <c i="8" r="AE17" s="1"/>
  <c i="8" r="R18"/>
  <c i="8" r="S18" s="1"/>
  <c i="8" r="AC18"/>
  <c i="8" r="AD18" s="1"/>
  <c i="8" r="AE18" s="1"/>
  <c i="8" l="1" r="P19"/>
  <c i="8" r="V19"/>
  <c i="8" r="X19" s="1"/>
  <c i="8" r="Y19" s="1"/>
  <c i="8" r="Q19"/>
  <c i="8" r="R19" s="1"/>
  <c i="8" r="S19" s="1"/>
  <c i="8" r="AD57"/>
  <c i="8" r="AC57"/>
  <c i="8" r="AB57"/>
  <c i="8" r="V57"/>
  <c i="8" r="O20"/>
  <c i="8" r="U20" s="1"/>
  <c i="8" r="AA20" s="1"/>
  <c i="8" r="P57"/>
  <c i="8" r="X57"/>
  <c i="8" r="W57"/>
  <c i="8" r="W20" s="1"/>
  <c i="8" r="Q57"/>
  <c i="8" r="Q20" s="1"/>
  <c i="8" r="R57"/>
  <c i="8" r="N59"/>
  <c i="8" r="O58"/>
  <c i="8" r="AB19"/>
  <c i="8" r="AD19" s="1"/>
  <c i="8" r="AE19" s="1"/>
  <c i="8" l="1" r="V20"/>
  <c i="8" r="X20" s="1"/>
  <c i="8" r="Y20" s="1"/>
  <c i="8" r="AB58"/>
  <c i="8" r="AD58"/>
  <c i="8" r="W58"/>
  <c i="8" r="Q58"/>
  <c i="8" r="AC58"/>
  <c i="8" r="P58"/>
  <c i="8" r="X58"/>
  <c i="8" r="O21"/>
  <c i="8" r="U21" s="1"/>
  <c i="8" r="AA21" s="1"/>
  <c i="8" r="R58"/>
  <c i="8" r="V58"/>
  <c i="8" r="AB20"/>
  <c i="8" r="N60"/>
  <c i="8" r="O59"/>
  <c i="8" r="P20"/>
  <c i="8" r="R20" s="1"/>
  <c i="8" r="S20" s="1"/>
  <c i="8" r="AC20"/>
  <c i="8" l="1" r="AD20"/>
  <c i="8" r="AE20" s="1"/>
  <c i="8" r="Q21"/>
  <c i="8" r="P21"/>
  <c i="8" r="R21" s="1"/>
  <c i="8" r="S21" s="1"/>
  <c i="8" r="W21"/>
  <c i="8" r="AC59"/>
  <c i="8" r="AB59"/>
  <c i="8" r="X59"/>
  <c i="8" r="R59"/>
  <c i="8" r="AD59"/>
  <c i="8" r="P59"/>
  <c i="8" r="W59"/>
  <c i="8" r="W22" s="1"/>
  <c i="8" r="Q59"/>
  <c i="8" r="V59"/>
  <c i="8" r="O22"/>
  <c i="8" r="U22" s="1"/>
  <c i="8" r="AA22" s="1"/>
  <c i="8" r="V21"/>
  <c i="8" r="N61"/>
  <c i="8" r="O60"/>
  <c i="8" r="AC21"/>
  <c i="8" r="AB21"/>
  <c i="8" l="1" r="Q22"/>
  <c i="8" r="P22"/>
  <c i="8" r="AB22"/>
  <c i="8" r="AD21"/>
  <c i="8" r="AE21" s="1"/>
  <c i="8" r="AD60"/>
  <c i="8" r="AC60"/>
  <c i="8" r="AB60"/>
  <c i="8" r="Q60"/>
  <c i="8" r="X60"/>
  <c i="8" r="O23"/>
  <c i="8" r="U23" s="1"/>
  <c i="8" r="AA23" s="1"/>
  <c i="8" r="R60"/>
  <c i="8" r="V60"/>
  <c i="8" r="P60"/>
  <c i="8" r="W60"/>
  <c i="8" r="V22"/>
  <c i="8" r="X22" s="1"/>
  <c i="8" r="Y22" s="1"/>
  <c i="8" r="AC22"/>
  <c i="8" r="AD22" s="1"/>
  <c i="8" r="AE22" s="1"/>
  <c i="8" r="O61"/>
  <c i="8" r="N62"/>
  <c i="8" r="R22"/>
  <c i="8" r="S22" s="1"/>
  <c i="8" r="X21"/>
  <c i="8" r="Y21" s="1"/>
  <c i="8" l="1" r="P23"/>
  <c i="8" r="W23"/>
  <c i="8" r="AC23"/>
  <c i="8" r="AD61"/>
  <c i="8" r="AC61"/>
  <c i="8" r="V61"/>
  <c i="8" r="O24"/>
  <c i="8" r="U24" s="1"/>
  <c i="8" r="AA24" s="1"/>
  <c i="8" r="P61"/>
  <c i="8" r="X61"/>
  <c i="8" r="AB61"/>
  <c i="8" r="W61"/>
  <c i="8" r="Q61"/>
  <c i="8" r="R61"/>
  <c i="8" r="V23"/>
  <c i="8" r="X23" s="1"/>
  <c i="8" r="Y23" s="1"/>
  <c i="8" r="Q23"/>
  <c i="8" r="R23" s="1"/>
  <c i="8" r="S23" s="1"/>
  <c i="8" r="O62"/>
  <c i="8" r="N63"/>
  <c i="8" r="O63" s="1"/>
  <c i="8" r="AB23"/>
  <c i="8" l="1" r="AC24"/>
  <c i="8" r="W24"/>
  <c i="8" r="AD23"/>
  <c i="8" r="AE23" s="1"/>
  <c i="8" r="AB24"/>
  <c i="8" r="V24"/>
  <c i="8" r="AC63"/>
  <c i="8" r="AB63"/>
  <c i="8" r="X63"/>
  <c i="8" r="R63"/>
  <c i="8" r="O26"/>
  <c i="8" r="U26" s="1"/>
  <c i="8" r="AA26" s="1"/>
  <c i="8" r="P63"/>
  <c i="8" r="AD63"/>
  <c i="8" r="W63"/>
  <c i="8" r="Q63"/>
  <c i="8" r="V63"/>
  <c i="8" r="AD24"/>
  <c i="8" r="AE24" s="1"/>
  <c i="8" r="AB62"/>
  <c i="8" r="AD62"/>
  <c i="8" r="AC62"/>
  <c i="8" r="AC25" s="1"/>
  <c i="8" r="W62"/>
  <c i="8" r="W25" s="1"/>
  <c i="8" r="Q62"/>
  <c i="8" r="P62"/>
  <c i="8" r="X62"/>
  <c i="8" r="O25"/>
  <c i="8" r="U25" s="1"/>
  <c i="8" r="AA25" s="1"/>
  <c i="8" r="R62"/>
  <c i="8" r="V62"/>
  <c i="8" r="Q24"/>
  <c i="8" r="P24"/>
  <c i="8" l="1" r="AB25"/>
  <c i="8" r="W26"/>
  <c i="8" r="Q25"/>
  <c i="8" r="X24"/>
  <c i="8" r="Y24" s="1"/>
  <c i="8" r="R24"/>
  <c i="8" r="S24" s="1"/>
  <c i="8" r="AD25"/>
  <c i="8" r="AE25" s="1"/>
  <c i="8" r="P26"/>
  <c i="8" r="AB26"/>
  <c i="8" r="V26"/>
  <c i="8" r="V25"/>
  <c i="8" r="X25" s="1"/>
  <c i="8" r="Y25" s="1"/>
  <c i="8" r="P25"/>
  <c i="8" r="R25" s="1"/>
  <c i="8" r="S25" s="1"/>
  <c i="8" r="Q26"/>
  <c i="8" r="R26" s="1"/>
  <c i="8" r="AC26"/>
  <c i="8" l="1" r="X26"/>
  <c i="8" r="Y26" s="1"/>
  <c i="8" r="AD26"/>
  <c i="8" r="AE26" s="1"/>
  <c i="8" r="S26"/>
</calcChain>
</file>

<file path=xl/sharedStrings.xml><?xml version="1.0" encoding="utf-8"?>
<sst xmlns="http://schemas.openxmlformats.org/spreadsheetml/2006/main" count="103" uniqueCount="64">
  <si>
    <t xml:space="preserve">           Men</t>
  </si>
  <si>
    <t xml:space="preserve">           Women</t>
  </si>
  <si>
    <t>Iowa State University (ISU)</t>
  </si>
  <si>
    <t>University of Northern Iowa (UNI)</t>
  </si>
  <si>
    <t>University of Iowa (UI)</t>
  </si>
  <si>
    <t>FY 2015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</si>
  <si>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</si>
  <si>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</si>
  <si>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</si>
  <si>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</si>
  <si>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</si>
  <si>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</si>
  <si>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</si>
  <si>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</si>
  <si>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UIUndergraduateMen</t>
  </si>
  <si>
    <t>UIUnderIWomen</t>
  </si>
  <si>
    <t>UIGraduateMen</t>
  </si>
  <si>
    <t>UIGraduateWomen</t>
  </si>
  <si>
    <t>ISUUndergraduateMen</t>
  </si>
  <si>
    <t>ISUUndergraduateWomen</t>
  </si>
  <si>
    <t>ISUGraduateMen</t>
  </si>
  <si>
    <t>ISUGraduateWomen</t>
  </si>
  <si>
    <t>UNIUndergraduateMen</t>
  </si>
  <si>
    <t>UNIUndergraduateWomen</t>
  </si>
  <si>
    <t>UNIGraduateMen</t>
  </si>
  <si>
    <t>UNIGraduateWomen</t>
  </si>
  <si>
    <t>FiscalYear</t>
  </si>
  <si>
    <t>Undergraduate</t>
  </si>
  <si>
    <t xml:space="preserve">Graduate (and Professional) </t>
  </si>
  <si>
    <t>Graduate (and Professional)</t>
  </si>
  <si>
    <t>Graduate</t>
  </si>
  <si>
    <t>Board of Regents</t>
  </si>
  <si>
    <t>Number of Graduates at Iowa Regents Institutions</t>
  </si>
  <si>
    <t xml:space="preserve">           Total</t>
  </si>
  <si>
    <t>ISU_Cohort</t>
  </si>
  <si>
    <t>ISU_4_Year</t>
  </si>
  <si>
    <t>SUI_Cohort</t>
  </si>
  <si>
    <t>SUI_4_Year</t>
  </si>
  <si>
    <t>SUI_6_Year</t>
  </si>
  <si>
    <t>UNI_Cohort</t>
  </si>
  <si>
    <t>UNI_4_Year</t>
  </si>
  <si>
    <t>UNI_6_Year</t>
  </si>
  <si>
    <t>ISu_6_Year</t>
  </si>
  <si>
    <t>4-year rate</t>
  </si>
  <si>
    <t>6-year rate</t>
  </si>
  <si>
    <t>ISU</t>
  </si>
  <si>
    <t>UNI</t>
  </si>
  <si>
    <t>cohort</t>
  </si>
  <si>
    <t>year</t>
  </si>
  <si>
    <t>4 year</t>
  </si>
  <si>
    <t>6 year</t>
  </si>
  <si>
    <t># years</t>
  </si>
  <si>
    <t>data</t>
  </si>
  <si>
    <t>Numbers pulled over</t>
  </si>
  <si>
    <t>Recalculating old Rate</t>
  </si>
  <si>
    <t>Chart data Calculations</t>
  </si>
  <si>
    <t>4-yr</t>
  </si>
  <si>
    <t>6-yr</t>
  </si>
  <si>
    <t>percent</t>
  </si>
  <si>
    <t>University of Iowa</t>
  </si>
  <si>
    <t>Iowa State University</t>
  </si>
  <si>
    <t>University of Northern Iowa</t>
  </si>
  <si>
    <t>Request data from BOR in Sept-Oct.  Request cohort graduation rates by university.</t>
  </si>
  <si>
    <t>Regents Graduation Rates by Entering Year (Cohort Years 1988 - 2011)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</si>
</sst>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\ \ \ #,##0"/>
    <numFmt numFmtId="165" formatCode="0.0%"/>
    <numFmt numFmtId="166" formatCode="_(* #,##0_);_(* \(#,##0\);_(* &quot;-&quot;??_);_(@_)"/>
  </numFmts>
  <fonts count="18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9"/>
      <color theme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borderId="0" fillId="0" fontId="0" numFmtId="0"/>
    <xf applyAlignment="0" applyBorder="0" applyFill="0" applyNumberFormat="0" applyProtection="0" borderId="0" fillId="0" fontId="8" numFmtId="0"/>
    <xf applyAlignment="0" applyBorder="0" applyFill="0" applyFont="0" applyProtection="0" borderId="0" fillId="0" fontId="1" numFmtId="9"/>
    <xf borderId="0" fillId="0" fontId="10" numFmtId="0"/>
    <xf applyAlignment="0" applyBorder="0" applyFill="0" applyFont="0" applyProtection="0" borderId="0" fillId="0" fontId="10" numFmtId="9"/>
    <xf applyAlignment="0" applyBorder="0" applyFill="0" applyFont="0" applyProtection="0" borderId="0" fillId="0" fontId="1" numFmtId="43"/>
  </cellStyleXfs>
  <cellXfs count="72">
    <xf borderId="0" fillId="0" fontId="0" numFmtId="0" xfId="0"/>
    <xf applyFont="1" borderId="0" fillId="0" fontId="1" numFmtId="0" xfId="0"/>
    <xf applyFont="1" borderId="0" fillId="0" fontId="2" numFmtId="0" xfId="0"/>
    <xf applyFont="1" borderId="0" fillId="0" fontId="4" numFmtId="0" xfId="0"/>
    <xf applyFont="1" borderId="0" fillId="0" fontId="5" numFmtId="0" xfId="0"/>
    <xf applyFont="1" applyNumberFormat="1" applyProtection="1" borderId="0" fillId="0" fontId="5" numFmtId="3" xfId="0">
      <protection locked="0"/>
    </xf>
    <xf applyBorder="1" applyFont="1" borderId="0" fillId="0" fontId="5" numFmtId="0" xfId="0"/>
    <xf applyBorder="1" applyFont="1" borderId="0" fillId="0" fontId="4" numFmtId="0" xfId="0"/>
    <xf applyBorder="1" applyProtection="1" borderId="0" fillId="0" fontId="0" numFmtId="0" xfId="0">
      <protection locked="0"/>
    </xf>
    <xf applyFill="1" applyFont="1" borderId="0" fillId="0" fontId="4" numFmtId="0" xfId="0"/>
    <xf applyBorder="1" applyFill="1" applyFont="1" borderId="0" fillId="0" fontId="4" numFmtId="0" xfId="0"/>
    <xf applyAlignment="1" applyBorder="1" applyFont="1" applyProtection="1" borderId="1" fillId="0" fontId="0" numFmtId="0" xfId="0">
      <alignment horizontal="center"/>
      <protection locked="0"/>
    </xf>
    <xf applyFont="1" borderId="0" fillId="0" fontId="0" numFmtId="0" xfId="0"/>
    <xf applyFill="1" applyFont="1" applyNumberFormat="1" applyProtection="1" borderId="0" fillId="2" fontId="5" numFmtId="3" xfId="0">
      <protection locked="0"/>
    </xf>
    <xf applyBorder="1" applyFill="1" applyFont="1" applyNumberFormat="1" applyProtection="1" borderId="1" fillId="2" fontId="4" numFmtId="3" xfId="0">
      <protection locked="0"/>
    </xf>
    <xf applyBorder="1" applyFill="1" applyFont="1" applyNumberFormat="1" applyProtection="1" borderId="2" fillId="2" fontId="5" numFmtId="3" xfId="0">
      <protection locked="0"/>
    </xf>
    <xf applyFill="1" applyProtection="1" borderId="0" fillId="2" fontId="0" numFmtId="0" xfId="0">
      <protection locked="0"/>
    </xf>
    <xf applyBorder="1" applyFill="1" applyFont="1" applyNumberFormat="1" applyProtection="1" borderId="1" fillId="2" fontId="4" numFmtId="164" xfId="0">
      <protection locked="0"/>
    </xf>
    <xf applyFont="1" borderId="0" fillId="0" fontId="6" numFmtId="0" xfId="0"/>
    <xf applyAlignment="1" applyFont="1" borderId="0" fillId="0" fontId="6" numFmtId="0" xfId="0">
      <alignment wrapText="1"/>
    </xf>
    <xf applyAlignment="1" applyBorder="1" applyFont="1" applyNumberFormat="1" borderId="0" fillId="0" fontId="6" numFmtId="1" xfId="0">
      <alignment horizontal="left" vertical="top" wrapText="1"/>
    </xf>
    <xf applyNumberFormat="1" borderId="0" fillId="0" fontId="0" numFmtId="1" xfId="0"/>
    <xf applyNumberFormat="1" borderId="0" fillId="0" fontId="0" numFmtId="3" xfId="0"/>
    <xf applyFont="1" applyProtection="1" borderId="0" fillId="0" fontId="1" numFmtId="0" xfId="0">
      <protection hidden="1"/>
    </xf>
    <xf applyFont="1" applyProtection="1" borderId="0" fillId="0" fontId="5" numFmtId="0" xfId="0">
      <protection hidden="1"/>
    </xf>
    <xf applyAlignment="1" applyFont="1" applyProtection="1" borderId="0" fillId="0" fontId="5" numFmtId="0" xfId="0">
      <alignment horizontal="center"/>
      <protection hidden="1"/>
    </xf>
    <xf applyAlignment="1" applyBorder="1" applyFont="1" applyProtection="1" borderId="1" fillId="0" fontId="0" numFmtId="0" xfId="0">
      <alignment horizontal="center"/>
      <protection hidden="1"/>
    </xf>
    <xf applyBorder="1" applyProtection="1" borderId="0" fillId="0" fontId="0" numFmtId="0" xfId="0">
      <protection hidden="1"/>
    </xf>
    <xf applyProtection="1" borderId="0" fillId="0" fontId="0" numFmtId="0" xfId="0">
      <protection hidden="1"/>
    </xf>
    <xf applyFont="1" applyNumberFormat="1" applyProtection="1" borderId="0" fillId="0" fontId="5" numFmtId="3" xfId="0">
      <protection hidden="1"/>
    </xf>
    <xf applyBorder="1" applyFont="1" applyNumberFormat="1" applyProtection="1" borderId="1" fillId="0" fontId="5" numFmtId="3" xfId="0">
      <protection hidden="1"/>
    </xf>
    <xf applyBorder="1" applyFont="1" applyNumberFormat="1" applyProtection="1" borderId="2" fillId="0" fontId="5" numFmtId="3" xfId="0">
      <protection hidden="1"/>
    </xf>
    <xf applyFont="1" applyProtection="1" borderId="0" fillId="0" fontId="0" numFmtId="0" xfId="0">
      <protection hidden="1"/>
    </xf>
    <xf applyAlignment="1" applyBorder="1" applyFont="1" applyProtection="1" borderId="0" fillId="0" fontId="0" numFmtId="0" xfId="0">
      <alignment horizontal="center"/>
      <protection hidden="1"/>
    </xf>
    <xf applyBorder="1" applyFont="1" applyNumberFormat="1" applyProtection="1" borderId="0" fillId="0" fontId="5" numFmtId="3" xfId="0">
      <protection hidden="1"/>
    </xf>
    <xf applyBorder="1" applyFont="1" applyProtection="1" borderId="1" fillId="0" fontId="7" numFmtId="0" xfId="0">
      <protection hidden="1"/>
    </xf>
    <xf applyAlignment="1" borderId="0" fillId="0" fontId="8" numFmtId="0" xfId="1">
      <alignment wrapText="1"/>
    </xf>
    <xf applyAlignment="1" applyFont="1" applyProtection="1" borderId="0" fillId="0" fontId="0" numFmtId="0" xfId="0">
      <alignment horizontal="left"/>
      <protection hidden="1"/>
    </xf>
    <xf applyBorder="1" borderId="0" fillId="0" fontId="0" numFmtId="0" xfId="0"/>
    <xf applyBorder="1" applyNumberFormat="1" borderId="0" fillId="0" fontId="0" numFmtId="3" xfId="0"/>
    <xf applyBorder="1" applyFill="1" applyNumberFormat="1" borderId="0" fillId="0" fontId="0" numFmtId="3" xfId="0"/>
    <xf applyFont="1" borderId="0" fillId="0" fontId="11" numFmtId="0" xfId="3"/>
    <xf borderId="0" fillId="0" fontId="10" numFmtId="0" xfId="3"/>
    <xf applyFont="1" borderId="0" fillId="0" fontId="12" numFmtId="0" xfId="3"/>
    <xf applyFont="1" borderId="0" fillId="0" fontId="13" numFmtId="0" xfId="3"/>
    <xf applyFill="1" applyFont="1" borderId="0" fillId="3" fontId="13" numFmtId="0" xfId="3"/>
    <xf applyAlignment="1" applyFill="1" applyFont="1" borderId="0" fillId="3" fontId="14" numFmtId="0" xfId="3">
      <alignment horizontal="center"/>
    </xf>
    <xf applyFill="1" applyFont="1" applyNumberFormat="1" borderId="0" fillId="3" fontId="9" numFmtId="165" xfId="4"/>
    <xf applyFill="1" applyFont="1" applyNumberFormat="1" borderId="0" fillId="3" fontId="13" numFmtId="165" xfId="3"/>
    <xf applyFill="1" applyFont="1" borderId="0" fillId="4" fontId="13" numFmtId="0" xfId="3"/>
    <xf applyFill="1" applyFont="1" borderId="0" fillId="5" fontId="13" numFmtId="0" xfId="3"/>
    <xf applyFont="1" borderId="0" fillId="0" fontId="15" numFmtId="0" xfId="3"/>
    <xf applyFill="1" applyFont="1" applyNumberFormat="1" borderId="0" fillId="4" fontId="13" numFmtId="165" xfId="2"/>
    <xf applyAlignment="1" applyFill="1" applyFont="1" borderId="0" fillId="4" fontId="14" numFmtId="0" xfId="3">
      <alignment horizontal="center"/>
    </xf>
    <xf applyFill="1" applyFont="1" applyNumberFormat="1" borderId="0" fillId="5" fontId="13" numFmtId="165" xfId="2"/>
    <xf applyFill="1" applyFont="1" applyNumberFormat="1" borderId="0" fillId="5" fontId="9" numFmtId="49" xfId="4"/>
    <xf applyFont="1" borderId="0" fillId="0" fontId="16" numFmtId="0" xfId="3"/>
    <xf applyAlignment="1" applyFill="1" applyFont="1" borderId="0" fillId="3" fontId="15" numFmtId="0" xfId="3">
      <alignment horizontal="center"/>
    </xf>
    <xf applyAlignment="1" applyFill="1" applyFont="1" borderId="0" fillId="5" fontId="13" numFmtId="0" xfId="3">
      <alignment horizontal="center"/>
    </xf>
    <xf applyAlignment="1" applyFill="1" applyFont="1" borderId="0" fillId="5" fontId="15" numFmtId="0" xfId="3">
      <alignment horizontal="center"/>
    </xf>
    <xf applyAlignment="1" applyFill="1" applyFont="1" borderId="0" fillId="4" fontId="15" numFmtId="0" xfId="3">
      <alignment horizontal="center"/>
    </xf>
    <xf applyAlignment="1" applyFill="1" applyFont="1" borderId="0" fillId="5" fontId="14" numFmtId="0" xfId="3"/>
    <xf applyFont="1" applyNumberFormat="1" borderId="0" fillId="0" fontId="13" numFmtId="9" xfId="3"/>
    <xf applyFont="1" applyNumberFormat="1" borderId="0" fillId="0" fontId="15" numFmtId="9" xfId="3"/>
    <xf applyFont="1" applyNumberFormat="1" borderId="0" fillId="0" fontId="13" numFmtId="165" xfId="2"/>
    <xf applyFont="1" applyNumberFormat="1" borderId="0" fillId="0" fontId="13" numFmtId="166" xfId="5"/>
    <xf applyFont="1" borderId="0" fillId="0" fontId="17" numFmtId="0" xfId="3"/>
    <xf applyFill="1" applyFont="1" borderId="0" fillId="6" fontId="17" numFmtId="0" xfId="3"/>
    <xf applyFill="1" applyFont="1" borderId="0" fillId="6" fontId="13" numFmtId="0" xfId="3"/>
    <xf applyAlignment="1" applyFont="1" borderId="0" fillId="0" fontId="17" numFmtId="0" xfId="3">
      <alignment horizontal="left" vertical="top"/>
    </xf>
    <xf applyAlignment="1" applyFont="1" borderId="0" fillId="0" fontId="2" numFmtId="0" xfId="0">
      <alignment horizontal="left"/>
    </xf>
    <xf applyAlignment="1" applyFont="1" borderId="0" fillId="0" fontId="3" numFmtId="0" xfId="0">
      <alignment horizontal="left"/>
    </xf>
  </cellXfs>
  <cellStyles count="6">
    <cellStyle builtinId="3" name="Comma" xfId="5"/>
    <cellStyle builtinId="8" name="Hyperlink" xfId="1"/>
    <cellStyle builtinId="0" name="Normal" xfId="0"/>
    <cellStyle name="Normal 2" xfId="3"/>
    <cellStyle builtinId="5" name="Percent" xfId="2"/>
    <cellStyle name="Percent 2" xfId="4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Relationship Id="rId3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Relationship Id="rId3" Target="../drawings/drawing3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style3.xml" Type="http://schemas.microsoft.com/office/2011/relationships/chartStyle"/><Relationship Id="rId2" Target="colors3.xml" Type="http://schemas.microsoft.com/office/2011/relationships/chartColorStyle"/><Relationship Id="rId3" Target="../drawings/drawing4.xml" Type="http://schemas.openxmlformats.org/officeDocument/2006/relationships/chartUserShapes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66014944008291E-2"/>
          <c:y val="3.4428794992175271E-2"/>
          <c:w val="0.89174057820882613"/>
          <c:h val="0.86168151516271729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tx1">
                <a:lumMod val="85000"/>
                <a:lumOff val="15000"/>
              </a:schemeClr>
            </a:solidFill>
            <a:ln w="9525">
              <a:solidFill>
                <a:schemeClr val="bg1"/>
              </a:solidFill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B9-4557-ADFE-9E41F27A474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B9-4557-ADFE-9E41F27A47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B9-4557-ADFE-9E41F27A474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B9-4557-ADFE-9E41F27A474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B9-4557-ADFE-9E41F27A47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B9-4557-ADFE-9E41F27A474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B9-4557-ADFE-9E41F27A474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B9-4557-ADFE-9E41F27A474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B9-4557-ADFE-9E41F27A474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B9-4557-ADFE-9E41F27A474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B9-4557-ADFE-9E41F27A474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B9-4557-ADFE-9E41F27A474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B9-4557-ADFE-9E41F27A474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B9-4557-ADFE-9E41F27A474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B9-4557-ADFE-9E41F27A474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B9-4557-ADFE-9E41F27A474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1B9-4557-ADFE-9E41F27A474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B9-4557-ADFE-9E41F27A474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1B9-4557-ADFE-9E41F27A474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B9-4557-ADFE-9E41F27A4741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1B9-4557-ADFE-9E41F27A4741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B9-4557-ADFE-9E41F27A4741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1B9-4557-ADFE-9E41F27A4741}"/>
                </c:ext>
              </c:extLst>
            </c:dLbl>
            <c:dLbl>
              <c:idx val="23"/>
              <c:layout>
                <c:manualLayout>
                  <c:x val="-2.9353405672795149E-2"/>
                  <c:y val="-3.12999668144938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="ctr" anchorCtr="1" bIns="19050" lIns="38100" rIns="38100" rot="0" spcFirstLastPara="1" tIns="19050" vert="horz" vertOverflow="ellipsis" wrap="square">
                  <a:spAutoFit/>
                </a:bodyPr>
                <a:lstStyle/>
                <a:p>
                  <a:pPr>
                    <a:defRPr b="0" baseline="0" i="0" kern="1200" strike="noStrike" sz="800" u="none">
                      <a:solidFill>
                        <a:schemeClr val="bg1"/>
                      </a:solidFill>
                      <a:latin charset="0" panose="020B0604020202020204" pitchFamily="34" typeface="Arial"/>
                      <a:ea typeface="+mn-ea"/>
                      <a:cs charset="0" panose="020B0604020202020204" pitchFamily="34"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1B9-4557-ADFE-9E41F27A47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 bIns="19050" lIns="38100" rIns="38100" rot="0" spcFirstLastPara="1" tIns="19050" vert="horz" vertOverflow="ellipsis" wrap="square">
                <a:spAutoFit/>
              </a:bodyPr>
              <a:lstStyle/>
              <a:p>
                <a:pPr>
                  <a:defRPr b="0" baseline="0" i="0" kern="1200" strike="noStrike" sz="800" u="non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charset="0" panose="020B0604020202020204" pitchFamily="34" typeface="Arial"/>
                    <a:ea typeface="+mn-ea"/>
                    <a:cs charset="0" panose="020B0604020202020204" pitchFamily="34"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algn="ctr" cap="flat" cmpd="sng"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Factbook!$O$3:$O$26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Factbook!$P$3:$P$26</c:f>
              <c:numCache>
                <c:formatCode>0.0%</c:formatCode>
                <c:ptCount val="24"/>
                <c:pt idx="0">
                  <c:v>0.30443213296398891</c:v>
                </c:pt>
                <c:pt idx="1">
                  <c:v>0.30675029868578257</c:v>
                </c:pt>
                <c:pt idx="2">
                  <c:v>0.32851851851851854</c:v>
                </c:pt>
                <c:pt idx="3">
                  <c:v>0.32286340394448504</c:v>
                </c:pt>
                <c:pt idx="4">
                  <c:v>0.32336869173899069</c:v>
                </c:pt>
                <c:pt idx="5">
                  <c:v>0.34557649313318428</c:v>
                </c:pt>
                <c:pt idx="6">
                  <c:v>0.34283059770826879</c:v>
                </c:pt>
                <c:pt idx="7">
                  <c:v>0.35268630849220106</c:v>
                </c:pt>
                <c:pt idx="8">
                  <c:v>0.3784021071115013</c:v>
                </c:pt>
                <c:pt idx="9">
                  <c:v>0.37643436887769383</c:v>
                </c:pt>
                <c:pt idx="10">
                  <c:v>0.35964912280701755</c:v>
                </c:pt>
                <c:pt idx="11">
                  <c:v>0.37950360288230583</c:v>
                </c:pt>
                <c:pt idx="12">
                  <c:v>0.39539347408829173</c:v>
                </c:pt>
                <c:pt idx="13">
                  <c:v>0.39592875318066156</c:v>
                </c:pt>
                <c:pt idx="14">
                  <c:v>0.40468635587014889</c:v>
                </c:pt>
                <c:pt idx="15">
                  <c:v>0.42301980198019801</c:v>
                </c:pt>
                <c:pt idx="16">
                  <c:v>0.44173782019085889</c:v>
                </c:pt>
                <c:pt idx="17">
                  <c:v>0.46987951807228917</c:v>
                </c:pt>
                <c:pt idx="18">
                  <c:v>0.46875</c:v>
                </c:pt>
                <c:pt idx="19">
                  <c:v>0.47472372442981425</c:v>
                </c:pt>
                <c:pt idx="20">
                  <c:v>0.48254423720707795</c:v>
                </c:pt>
                <c:pt idx="21">
                  <c:v>0.51098901098901095</c:v>
                </c:pt>
                <c:pt idx="22">
                  <c:v>0.50931119587166251</c:v>
                </c:pt>
                <c:pt idx="23">
                  <c:v>0.53530340627114825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1B9-4557-ADFE-9E41F27A4741}"/>
            </c:ext>
          </c:extLst>
        </c:ser>
        <c:ser>
          <c:idx val="1"/>
          <c:order val="1"/>
          <c:spPr>
            <a:solidFill>
              <a:schemeClr val="tx1">
                <a:lumMod val="75000"/>
                <a:lumOff val="25000"/>
              </a:schemeClr>
            </a:solidFill>
            <a:ln w="9525">
              <a:solidFill>
                <a:schemeClr val="bg1"/>
              </a:solidFill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1B9-4557-ADFE-9E41F27A474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1B9-4557-ADFE-9E41F27A47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1B9-4557-ADFE-9E41F27A474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1B9-4557-ADFE-9E41F27A474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1B9-4557-ADFE-9E41F27A47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1B9-4557-ADFE-9E41F27A474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1B9-4557-ADFE-9E41F27A474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1B9-4557-ADFE-9E41F27A474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1B9-4557-ADFE-9E41F27A474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1B9-4557-ADFE-9E41F27A474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1B9-4557-ADFE-9E41F27A474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1B9-4557-ADFE-9E41F27A474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1B9-4557-ADFE-9E41F27A474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1B9-4557-ADFE-9E41F27A474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1B9-4557-ADFE-9E41F27A474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1B9-4557-ADFE-9E41F27A474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1B9-4557-ADFE-9E41F27A474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1B9-4557-ADFE-9E41F27A474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1B9-4557-ADFE-9E41F27A474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1B9-4557-ADFE-9E41F27A4741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1B9-4557-ADFE-9E41F27A4741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1B9-4557-ADFE-9E41F27A4741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1B9-4557-ADFE-9E41F27A4741}"/>
                </c:ext>
              </c:extLst>
            </c:dLbl>
            <c:dLbl>
              <c:idx val="23"/>
              <c:layout>
                <c:manualLayout>
                  <c:x val="-2.7278467328445234E-2"/>
                  <c:y val="3.129996681449257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="ctr" anchorCtr="1" bIns="19050" lIns="38100" rIns="38100" rot="0" spcFirstLastPara="1" tIns="19050" vert="horz" vertOverflow="ellipsis" wrap="square">
                  <a:spAutoFit/>
                </a:bodyPr>
                <a:lstStyle/>
                <a:p>
                  <a:pPr>
                    <a:defRPr b="0" baseline="0" i="0" kern="1200" strike="noStrike" sz="800" u="none">
                      <a:solidFill>
                        <a:schemeClr val="bg1"/>
                      </a:solidFill>
                      <a:latin charset="0" panose="020B0604020202020204" pitchFamily="34" typeface="Arial"/>
                      <a:ea typeface="+mn-ea"/>
                      <a:cs charset="0" panose="020B0604020202020204" pitchFamily="34"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31B9-4557-ADFE-9E41F27A47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 bIns="19050" lIns="38100" rIns="38100" rot="0" spcFirstLastPara="1" tIns="19050" vert="horz" vertOverflow="ellipsis" wrap="square">
                <a:spAutoFit/>
              </a:bodyPr>
              <a:lstStyle/>
              <a:p>
                <a:pPr>
                  <a:defRPr b="0" baseline="0" i="0" kern="1200" strike="noStrike" sz="8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charset="0" panose="020B0604020202020204" pitchFamily="34" typeface="Arial"/>
                    <a:ea typeface="+mn-ea"/>
                    <a:cs charset="0" panose="020B0604020202020204" pitchFamily="34"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algn="ctr" cap="flat" cmpd="sng"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Factbook!$O$3:$O$26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Factbook!$R$3:$R$26</c:f>
              <c:numCache>
                <c:formatCode>0.0%</c:formatCode>
                <c:ptCount val="24"/>
                <c:pt idx="0">
                  <c:v>0.30720221606648196</c:v>
                </c:pt>
                <c:pt idx="1">
                  <c:v>0.30227001194743125</c:v>
                </c:pt>
                <c:pt idx="2">
                  <c:v>0.29703703703703699</c:v>
                </c:pt>
                <c:pt idx="3">
                  <c:v>0.30788897005113219</c:v>
                </c:pt>
                <c:pt idx="4">
                  <c:v>0.31404693024750879</c:v>
                </c:pt>
                <c:pt idx="5">
                  <c:v>0.2820185244330885</c:v>
                </c:pt>
                <c:pt idx="6">
                  <c:v>0.29761536079281509</c:v>
                </c:pt>
                <c:pt idx="7">
                  <c:v>0.29636048526863079</c:v>
                </c:pt>
                <c:pt idx="8">
                  <c:v>0.26602282704126429</c:v>
                </c:pt>
                <c:pt idx="9">
                  <c:v>0.26924153372516096</c:v>
                </c:pt>
                <c:pt idx="10">
                  <c:v>0.30624355005159953</c:v>
                </c:pt>
                <c:pt idx="11">
                  <c:v>0.28102481985588473</c:v>
                </c:pt>
                <c:pt idx="12">
                  <c:v>0.25966547847545929</c:v>
                </c:pt>
                <c:pt idx="13">
                  <c:v>0.26284987277353689</c:v>
                </c:pt>
                <c:pt idx="14">
                  <c:v>0.25579692457896019</c:v>
                </c:pt>
                <c:pt idx="15">
                  <c:v>0.26782178217821778</c:v>
                </c:pt>
                <c:pt idx="16">
                  <c:v>0.2538925163234555</c:v>
                </c:pt>
                <c:pt idx="17">
                  <c:v>0.23834468308014661</c:v>
                </c:pt>
                <c:pt idx="18">
                  <c:v>0.22932330827067671</c:v>
                </c:pt>
                <c:pt idx="19">
                  <c:v>0.22149071243827889</c:v>
                </c:pt>
                <c:pt idx="20">
                  <c:v>0.21783835485413683</c:v>
                </c:pt>
                <c:pt idx="21">
                  <c:v>0.20979020979020979</c:v>
                </c:pt>
                <c:pt idx="22">
                  <c:v>0.20888490015705641</c:v>
                </c:pt>
                <c:pt idx="23">
                  <c:v>0.20009023234829681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31B9-4557-ADFE-9E41F27A4741}"/>
            </c:ext>
          </c:extLst>
        </c:ser>
        <c:ser>
          <c:idx val="2"/>
          <c:order val="2"/>
          <c:spPr>
            <a:solidFill>
              <a:schemeClr val="tx1">
                <a:lumMod val="50000"/>
                <a:lumOff val="50000"/>
              </a:schemeClr>
            </a:solidFill>
            <a:ln w="9525">
              <a:solidFill>
                <a:schemeClr val="bg1"/>
              </a:solidFill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31B9-4557-ADFE-9E41F27A474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31B9-4557-ADFE-9E41F27A47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31B9-4557-ADFE-9E41F27A474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31B9-4557-ADFE-9E41F27A474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31B9-4557-ADFE-9E41F27A47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31B9-4557-ADFE-9E41F27A474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31B9-4557-ADFE-9E41F27A474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31B9-4557-ADFE-9E41F27A474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31B9-4557-ADFE-9E41F27A474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31B9-4557-ADFE-9E41F27A474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31B9-4557-ADFE-9E41F27A474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31B9-4557-ADFE-9E41F27A474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31B9-4557-ADFE-9E41F27A474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31B9-4557-ADFE-9E41F27A474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31B9-4557-ADFE-9E41F27A474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31B9-4557-ADFE-9E41F27A474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31B9-4557-ADFE-9E41F27A474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31B9-4557-ADFE-9E41F27A474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31B9-4557-ADFE-9E41F27A474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31B9-4557-ADFE-9E41F27A4741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31B9-4557-ADFE-9E41F27A4741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31B9-4557-ADFE-9E41F27A4741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31B9-4557-ADFE-9E41F27A4741}"/>
                </c:ext>
              </c:extLst>
            </c:dLbl>
            <c:dLbl>
              <c:idx val="23"/>
              <c:layout>
                <c:manualLayout>
                  <c:x val="-3.122208270172934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="ctr" anchorCtr="1" bIns="19050" lIns="38100" rIns="38100" rot="0" spcFirstLastPara="1" tIns="19050" vert="horz" vertOverflow="ellipsis" wrap="square">
                  <a:spAutoFit/>
                </a:bodyPr>
                <a:lstStyle/>
                <a:p>
                  <a:pPr>
                    <a:defRPr b="0" baseline="0" i="0" kern="1200" strike="noStrike" sz="800" u="none">
                      <a:solidFill>
                        <a:schemeClr val="bg1"/>
                      </a:solidFill>
                      <a:latin charset="0" panose="020B0604020202020204" pitchFamily="34" typeface="Arial"/>
                      <a:ea typeface="+mn-ea"/>
                      <a:cs charset="0" panose="020B0604020202020204" pitchFamily="34"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31B9-4557-ADFE-9E41F27A47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 bIns="19050" lIns="38100" rIns="38100" rot="0" spcFirstLastPara="1" tIns="19050" vert="horz" vertOverflow="ellipsis" wrap="square">
                <a:spAutoFit/>
              </a:bodyPr>
              <a:lstStyle/>
              <a:p>
                <a:pPr>
                  <a:defRPr b="0" baseline="0" i="0" kern="1200" strike="noStrike" sz="8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charset="0" panose="020B0604020202020204" pitchFamily="34" typeface="Arial"/>
                    <a:ea typeface="+mn-ea"/>
                    <a:cs charset="0" panose="020B0604020202020204" pitchFamily="34"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algn="ctr" cap="flat" cmpd="sng"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Factbook!$S$3:$S$26</c:f>
              <c:numCache>
                <c:formatCode>0.0%</c:formatCode>
                <c:ptCount val="24"/>
                <c:pt idx="0">
                  <c:v>0.38836565096952907</c:v>
                </c:pt>
                <c:pt idx="1">
                  <c:v>0.39097968936678612</c:v>
                </c:pt>
                <c:pt idx="2">
                  <c:v>0.37444444444444447</c:v>
                </c:pt>
                <c:pt idx="3">
                  <c:v>0.36924762600438271</c:v>
                </c:pt>
                <c:pt idx="4">
                  <c:v>0.36258437801350046</c:v>
                </c:pt>
                <c:pt idx="5">
                  <c:v>0.37240498243372722</c:v>
                </c:pt>
                <c:pt idx="6">
                  <c:v>0.35955404149891607</c:v>
                </c:pt>
                <c:pt idx="7">
                  <c:v>0.35095320623916815</c:v>
                </c:pt>
                <c:pt idx="8">
                  <c:v>0.35557506584723436</c:v>
                </c:pt>
                <c:pt idx="9">
                  <c:v>0.35432409739714515</c:v>
                </c:pt>
                <c:pt idx="10">
                  <c:v>0.33410732714138291</c:v>
                </c:pt>
                <c:pt idx="11">
                  <c:v>0.33947157726180949</c:v>
                </c:pt>
                <c:pt idx="12">
                  <c:v>0.34494104743624898</c:v>
                </c:pt>
                <c:pt idx="13">
                  <c:v>0.34122137404580155</c:v>
                </c:pt>
                <c:pt idx="14">
                  <c:v>0.33951671955089091</c:v>
                </c:pt>
                <c:pt idx="15">
                  <c:v>0.30915841584158416</c:v>
                </c:pt>
                <c:pt idx="16">
                  <c:v>0.30436966348568556</c:v>
                </c:pt>
                <c:pt idx="17">
                  <c:v>0.29177579884756427</c:v>
                </c:pt>
                <c:pt idx="18">
                  <c:v>0.30192669172932329</c:v>
                </c:pt>
                <c:pt idx="19">
                  <c:v>0.30378556313190686</c:v>
                </c:pt>
                <c:pt idx="20">
                  <c:v>0.29961740793878522</c:v>
                </c:pt>
                <c:pt idx="21">
                  <c:v>0.27922077922077926</c:v>
                </c:pt>
                <c:pt idx="22">
                  <c:v>0.28180390397128108</c:v>
                </c:pt>
                <c:pt idx="23">
                  <c:v>0.26460636138055493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31B9-4557-ADFE-9E41F27A4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78856"/>
        <c:axId val="505080496"/>
      </c:areaChart>
      <c:catAx>
        <c:axId val="5050788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algn="ctr" cap="flat" cmpd="sng" w="9525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charset="0" panose="020B0604020202020204" pitchFamily="34" typeface="Arial"/>
                <a:ea typeface="+mn-ea"/>
                <a:cs charset="0" panose="020B0604020202020204" pitchFamily="34" typeface="Arial"/>
              </a:defRPr>
            </a:pPr>
            <a:endParaRPr lang="en-US"/>
          </a:p>
        </c:txPr>
        <c:crossAx val="5050804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05080496"/>
        <c:scaling>
          <c:orientation val="minMax"/>
          <c:max val="1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=0]&quot;-&quot;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charset="0" panose="020B0604020202020204" pitchFamily="34" typeface="Arial"/>
                <a:ea typeface="+mn-ea"/>
                <a:cs charset="0" panose="020B0604020202020204" pitchFamily="34" typeface="Arial"/>
              </a:defRPr>
            </a:pPr>
            <a:endParaRPr lang="en-US"/>
          </a:p>
        </c:txPr>
        <c:crossAx val="5050788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algn="ctr" cap="flat" cmpd="sng" w="9525">
      <a:noFill/>
      <a:round/>
    </a:ln>
    <a:effectLst/>
  </c:spPr>
  <c:txPr>
    <a:bodyPr/>
    <a:lstStyle/>
    <a:p>
      <a:pPr>
        <a:defRPr sz="900">
          <a:latin charset="0" panose="020B0604020202020204" pitchFamily="34" typeface="Arial"/>
          <a:cs charset="0" panose="020B0604020202020204" pitchFamily="34" typeface="Arial"/>
        </a:defRPr>
      </a:pPr>
      <a:endParaRPr lang="en-US"/>
    </a:p>
  </c:txPr>
  <c:printSettings>
    <c:headerFooter>
      <c:oddFooter><![CDATA[&L&8Source: Board of Regents
LSA Staff Contact: Robin Madison  (515.281.5270) &Urobin.madison@legis.iowa.gov&U
&C&G
&R&G]]></c:oddFooter>
    </c:headerFooter>
    <c:pageMargins b="0.75" footer="0.3" header="0.3" l="0.7" r="0.7" t="0.75"/>
    <c:pageSetup orientation="portrait"/>
  </c:printSettings>
  <c:userShapes r:id="rId3"/>
</c:chartSpace>
</file>

<file path=xl/charts/chart2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66014944008291E-2"/>
          <c:y val="3.4428794992175271E-2"/>
          <c:w val="0.8917405621327037"/>
          <c:h val="0.86168151516271729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51-4AE0-9B6E-3743F5D1872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51-4AE0-9B6E-3743F5D1872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51-4AE0-9B6E-3743F5D1872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51-4AE0-9B6E-3743F5D1872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51-4AE0-9B6E-3743F5D1872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51-4AE0-9B6E-3743F5D1872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51-4AE0-9B6E-3743F5D1872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51-4AE0-9B6E-3743F5D1872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51-4AE0-9B6E-3743F5D1872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51-4AE0-9B6E-3743F5D1872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51-4AE0-9B6E-3743F5D1872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51-4AE0-9B6E-3743F5D1872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51-4AE0-9B6E-3743F5D1872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51-4AE0-9B6E-3743F5D1872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51-4AE0-9B6E-3743F5D1872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51-4AE0-9B6E-3743F5D1872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51-4AE0-9B6E-3743F5D18729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51-4AE0-9B6E-3743F5D18729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751-4AE0-9B6E-3743F5D18729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751-4AE0-9B6E-3743F5D18729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751-4AE0-9B6E-3743F5D18729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751-4AE0-9B6E-3743F5D18729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751-4AE0-9B6E-3743F5D18729}"/>
                </c:ext>
              </c:extLst>
            </c:dLbl>
            <c:dLbl>
              <c:idx val="23"/>
              <c:layout>
                <c:manualLayout>
                  <c:x val="-2.9353410031666832E-2"/>
                  <c:y val="-3.12999668144938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="ctr" anchorCtr="1" bIns="19050" lIns="38100" rIns="38100" rot="0" spcFirstLastPara="1" tIns="19050" vert="horz" vertOverflow="ellipsis" wrap="square">
                  <a:spAutoFit/>
                </a:bodyPr>
                <a:lstStyle/>
                <a:p>
                  <a:pPr>
                    <a:defRPr b="0" baseline="0" i="0" kern="1200" strike="noStrike" sz="800" u="none">
                      <a:solidFill>
                        <a:schemeClr val="bg1"/>
                      </a:solidFill>
                      <a:latin charset="0" panose="020B0604020202020204" pitchFamily="34" typeface="Arial"/>
                      <a:ea typeface="+mn-ea"/>
                      <a:cs charset="0" panose="020B0604020202020204" pitchFamily="34"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751-4AE0-9B6E-3743F5D187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 bIns="19050" lIns="38100" rIns="38100" rot="0" spcFirstLastPara="1" tIns="19050" vert="horz" vertOverflow="ellipsis" wrap="square">
                <a:spAutoFit/>
              </a:bodyPr>
              <a:lstStyle/>
              <a:p>
                <a:pPr>
                  <a:defRPr b="0" baseline="0" i="0" kern="1200" strike="noStrike" sz="900" u="non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charset="0" panose="020B0604020202020204" pitchFamily="34" typeface="Arial"/>
                    <a:ea typeface="+mn-ea"/>
                    <a:cs charset="0" panose="020B0604020202020204" pitchFamily="34"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algn="ctr" cap="flat" cmpd="sng"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Factbook!$O$3:$O$26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Factbook!$V$3:$V$26</c:f>
              <c:numCache>
                <c:formatCode>0.0%</c:formatCode>
                <c:ptCount val="24"/>
                <c:pt idx="0">
                  <c:v>0.21527777777777779</c:v>
                </c:pt>
                <c:pt idx="1">
                  <c:v>0.20341242335377233</c:v>
                </c:pt>
                <c:pt idx="2">
                  <c:v>0.19003021148036253</c:v>
                </c:pt>
                <c:pt idx="3">
                  <c:v>0.2057001239157373</c:v>
                </c:pt>
                <c:pt idx="4">
                  <c:v>0.21692169216921692</c:v>
                </c:pt>
                <c:pt idx="5">
                  <c:v>0.22336065573770492</c:v>
                </c:pt>
                <c:pt idx="6">
                  <c:v>0.24030075187969924</c:v>
                </c:pt>
                <c:pt idx="7">
                  <c:v>0.2510690287110568</c:v>
                </c:pt>
                <c:pt idx="8">
                  <c:v>0.28396776882467351</c:v>
                </c:pt>
                <c:pt idx="9">
                  <c:v>0.26977788869478414</c:v>
                </c:pt>
                <c:pt idx="10">
                  <c:v>0.29236842105263156</c:v>
                </c:pt>
                <c:pt idx="11">
                  <c:v>0.313681592039801</c:v>
                </c:pt>
                <c:pt idx="12">
                  <c:v>0.31219398461179765</c:v>
                </c:pt>
                <c:pt idx="13">
                  <c:v>0.31818181818181818</c:v>
                </c:pt>
                <c:pt idx="14">
                  <c:v>0.33573314134869209</c:v>
                </c:pt>
                <c:pt idx="15">
                  <c:v>0.35336787564766842</c:v>
                </c:pt>
                <c:pt idx="16">
                  <c:v>0.36690255851932496</c:v>
                </c:pt>
                <c:pt idx="17">
                  <c:v>0.33324432576769025</c:v>
                </c:pt>
                <c:pt idx="18">
                  <c:v>0.38588056680161942</c:v>
                </c:pt>
                <c:pt idx="19">
                  <c:v>0.37581093605189991</c:v>
                </c:pt>
                <c:pt idx="20">
                  <c:v>0.39465547703180209</c:v>
                </c:pt>
                <c:pt idx="21">
                  <c:v>0.40671296296296294</c:v>
                </c:pt>
                <c:pt idx="22">
                  <c:v>0.43203883495145629</c:v>
                </c:pt>
                <c:pt idx="23">
                  <c:v>0.43619350985466854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751-4AE0-9B6E-3743F5D18729}"/>
            </c:ext>
          </c:extLst>
        </c:ser>
        <c:ser>
          <c:idx val="1"/>
          <c:order val="1"/>
          <c:spPr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chemeClr val="bg1"/>
              </a:solidFill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751-4AE0-9B6E-3743F5D1872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751-4AE0-9B6E-3743F5D1872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751-4AE0-9B6E-3743F5D1872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751-4AE0-9B6E-3743F5D1872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751-4AE0-9B6E-3743F5D1872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751-4AE0-9B6E-3743F5D1872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751-4AE0-9B6E-3743F5D1872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751-4AE0-9B6E-3743F5D1872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751-4AE0-9B6E-3743F5D1872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751-4AE0-9B6E-3743F5D1872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751-4AE0-9B6E-3743F5D1872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751-4AE0-9B6E-3743F5D1872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751-4AE0-9B6E-3743F5D1872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751-4AE0-9B6E-3743F5D1872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751-4AE0-9B6E-3743F5D1872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751-4AE0-9B6E-3743F5D1872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751-4AE0-9B6E-3743F5D18729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751-4AE0-9B6E-3743F5D18729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751-4AE0-9B6E-3743F5D18729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751-4AE0-9B6E-3743F5D18729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751-4AE0-9B6E-3743F5D18729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751-4AE0-9B6E-3743F5D18729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751-4AE0-9B6E-3743F5D18729}"/>
                </c:ext>
              </c:extLst>
            </c:dLbl>
            <c:dLbl>
              <c:idx val="23"/>
              <c:layout>
                <c:manualLayout>
                  <c:x val="-2.91643742551983E-2"/>
                  <c:y val="3.129996681449301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="ctr" anchorCtr="1" bIns="19050" lIns="38100" rIns="38100" rot="0" spcFirstLastPara="1" tIns="19050" vert="horz" vertOverflow="ellipsis" wrap="square">
                  <a:spAutoFit/>
                </a:bodyPr>
                <a:lstStyle/>
                <a:p>
                  <a:pPr>
                    <a:defRPr b="0" baseline="0" i="0" kern="1200" strike="noStrike" sz="800" u="none">
                      <a:solidFill>
                        <a:schemeClr val="bg1"/>
                      </a:solidFill>
                      <a:latin charset="0" panose="020B0604020202020204" pitchFamily="34" typeface="Arial"/>
                      <a:ea typeface="+mn-ea"/>
                      <a:cs charset="0" panose="020B0604020202020204" pitchFamily="34"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0751-4AE0-9B6E-3743F5D187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 bIns="19050" lIns="38100" rIns="38100" rot="0" spcFirstLastPara="1" tIns="19050" vert="horz" vertOverflow="ellipsis" wrap="square">
                <a:spAutoFit/>
              </a:bodyPr>
              <a:lstStyle/>
              <a:p>
                <a:pPr>
                  <a:defRPr b="0" baseline="0" i="0" kern="1200" strike="noStrike" sz="8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charset="0" panose="020B0604020202020204" pitchFamily="34" typeface="Arial"/>
                    <a:ea typeface="+mn-ea"/>
                    <a:cs charset="0" panose="020B0604020202020204" pitchFamily="34"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algn="ctr" cap="flat" cmpd="sng"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Factbook!$O$3:$O$26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Factbook!$X$3:$X$26</c:f>
              <c:numCache>
                <c:formatCode>0.0%</c:formatCode>
                <c:ptCount val="24"/>
                <c:pt idx="0">
                  <c:v>0.42067307692307687</c:v>
                </c:pt>
                <c:pt idx="1">
                  <c:v>0.41295654492135436</c:v>
                </c:pt>
                <c:pt idx="2">
                  <c:v>0.40966767371601204</c:v>
                </c:pt>
                <c:pt idx="3">
                  <c:v>0.39498141263940512</c:v>
                </c:pt>
                <c:pt idx="4">
                  <c:v>0.39363936393639359</c:v>
                </c:pt>
                <c:pt idx="5">
                  <c:v>0.38026932084309129</c:v>
                </c:pt>
                <c:pt idx="6">
                  <c:v>0.38375939849624063</c:v>
                </c:pt>
                <c:pt idx="7">
                  <c:v>0.38607208307880275</c:v>
                </c:pt>
                <c:pt idx="8">
                  <c:v>0.36871353153653791</c:v>
                </c:pt>
                <c:pt idx="9">
                  <c:v>0.3875717494384826</c:v>
                </c:pt>
                <c:pt idx="10">
                  <c:v>0.37236842105263163</c:v>
                </c:pt>
                <c:pt idx="11">
                  <c:v>0.36641791044776123</c:v>
                </c:pt>
                <c:pt idx="12">
                  <c:v>0.34576824434600134</c:v>
                </c:pt>
                <c:pt idx="13">
                  <c:v>0.33819051761635494</c:v>
                </c:pt>
                <c:pt idx="14">
                  <c:v>0.33789296856251499</c:v>
                </c:pt>
                <c:pt idx="15">
                  <c:v>0.33989637305699477</c:v>
                </c:pt>
                <c:pt idx="16">
                  <c:v>0.33532934131736525</c:v>
                </c:pt>
                <c:pt idx="17">
                  <c:v>0.34045393858477968</c:v>
                </c:pt>
                <c:pt idx="18">
                  <c:v>0.31857287449392713</c:v>
                </c:pt>
                <c:pt idx="19">
                  <c:v>0.30375347544022241</c:v>
                </c:pt>
                <c:pt idx="20">
                  <c:v>0.29461130742049474</c:v>
                </c:pt>
                <c:pt idx="21">
                  <c:v>0.30694444444444452</c:v>
                </c:pt>
                <c:pt idx="22">
                  <c:v>0.30913503971756401</c:v>
                </c:pt>
                <c:pt idx="23">
                  <c:v>0.29504280310571374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0751-4AE0-9B6E-3743F5D18729}"/>
            </c:ext>
          </c:extLst>
        </c:ser>
        <c:ser>
          <c:idx val="2"/>
          <c:order val="2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751-4AE0-9B6E-3743F5D1872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751-4AE0-9B6E-3743F5D1872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751-4AE0-9B6E-3743F5D1872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751-4AE0-9B6E-3743F5D1872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0751-4AE0-9B6E-3743F5D1872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0751-4AE0-9B6E-3743F5D1872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0751-4AE0-9B6E-3743F5D1872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0751-4AE0-9B6E-3743F5D1872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0751-4AE0-9B6E-3743F5D1872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0751-4AE0-9B6E-3743F5D1872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0751-4AE0-9B6E-3743F5D1872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0751-4AE0-9B6E-3743F5D1872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0751-4AE0-9B6E-3743F5D1872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0751-4AE0-9B6E-3743F5D1872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0751-4AE0-9B6E-3743F5D1872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0751-4AE0-9B6E-3743F5D1872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0751-4AE0-9B6E-3743F5D18729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0751-4AE0-9B6E-3743F5D18729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0751-4AE0-9B6E-3743F5D18729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0751-4AE0-9B6E-3743F5D18729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0751-4AE0-9B6E-3743F5D18729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0751-4AE0-9B6E-3743F5D18729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0751-4AE0-9B6E-3743F5D18729}"/>
                </c:ext>
              </c:extLst>
            </c:dLbl>
            <c:dLbl>
              <c:idx val="23"/>
              <c:layout>
                <c:manualLayout>
                  <c:x val="-3.122208733809264E-2"/>
                  <c:y val="-2.195057656555171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="ctr" anchorCtr="1" bIns="19050" lIns="38100" rIns="38100" rot="0" spcFirstLastPara="1" tIns="19050" vert="horz" vertOverflow="ellipsis" wrap="square">
                  <a:spAutoFit/>
                </a:bodyPr>
                <a:lstStyle/>
                <a:p>
                  <a:pPr>
                    <a:defRPr b="0" baseline="0" i="0" kern="1200" strike="noStrike" sz="800" u="none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charset="0" panose="020B0604020202020204" pitchFamily="34" typeface="Arial"/>
                      <a:ea typeface="+mn-ea"/>
                      <a:cs charset="0" panose="020B0604020202020204" pitchFamily="34"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0751-4AE0-9B6E-3743F5D187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 bIns="19050" lIns="38100" rIns="38100" rot="0" spcFirstLastPara="1" tIns="19050" vert="horz" vertOverflow="ellipsis" wrap="square">
                <a:spAutoFit/>
              </a:bodyPr>
              <a:lstStyle/>
              <a:p>
                <a:pPr>
                  <a:defRPr b="0" baseline="0" i="0" kern="1200" strike="noStrike" sz="9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charset="0" panose="020B0604020202020204" pitchFamily="34" typeface="Arial"/>
                    <a:ea typeface="+mn-ea"/>
                    <a:cs charset="0" panose="020B0604020202020204" pitchFamily="34"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algn="ctr" cap="flat" cmpd="sng"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Factbook!$Y$3:$Y$26</c:f>
              <c:numCache>
                <c:formatCode>0.0%</c:formatCode>
                <c:ptCount val="24"/>
                <c:pt idx="0">
                  <c:v>0.36404914529914534</c:v>
                </c:pt>
                <c:pt idx="1">
                  <c:v>0.38363103172487334</c:v>
                </c:pt>
                <c:pt idx="2">
                  <c:v>0.40030211480362538</c:v>
                </c:pt>
                <c:pt idx="3">
                  <c:v>0.39931846344485755</c:v>
                </c:pt>
                <c:pt idx="4">
                  <c:v>0.38943894389438954</c:v>
                </c:pt>
                <c:pt idx="5">
                  <c:v>0.3963700234192038</c:v>
                </c:pt>
                <c:pt idx="6">
                  <c:v>0.37593984962406013</c:v>
                </c:pt>
                <c:pt idx="7">
                  <c:v>0.36285888821014051</c:v>
                </c:pt>
                <c:pt idx="8">
                  <c:v>0.34731869963878853</c:v>
                </c:pt>
                <c:pt idx="9">
                  <c:v>0.34265036186673326</c:v>
                </c:pt>
                <c:pt idx="10">
                  <c:v>0.33526315789473676</c:v>
                </c:pt>
                <c:pt idx="11">
                  <c:v>0.31990049751243782</c:v>
                </c:pt>
                <c:pt idx="12">
                  <c:v>0.34203777104220107</c:v>
                </c:pt>
                <c:pt idx="13">
                  <c:v>0.34362766420182694</c:v>
                </c:pt>
                <c:pt idx="14">
                  <c:v>0.32637389008879297</c:v>
                </c:pt>
                <c:pt idx="15">
                  <c:v>0.30673575129533676</c:v>
                </c:pt>
                <c:pt idx="16">
                  <c:v>0.29776810016330979</c:v>
                </c:pt>
                <c:pt idx="17">
                  <c:v>0.32630173564753007</c:v>
                </c:pt>
                <c:pt idx="18">
                  <c:v>0.29554655870445345</c:v>
                </c:pt>
                <c:pt idx="19">
                  <c:v>0.32043558850787762</c:v>
                </c:pt>
                <c:pt idx="20">
                  <c:v>0.31073321554770311</c:v>
                </c:pt>
                <c:pt idx="21">
                  <c:v>0.28634259259259259</c:v>
                </c:pt>
                <c:pt idx="22">
                  <c:v>0.25882612533097965</c:v>
                </c:pt>
                <c:pt idx="23">
                  <c:v>0.26876368703961773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0751-4AE0-9B6E-3743F5D18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78856"/>
        <c:axId val="505080496"/>
      </c:areaChart>
      <c:catAx>
        <c:axId val="505078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charset="0" panose="020B0604020202020204" pitchFamily="34" typeface="Arial"/>
                <a:ea typeface="+mn-ea"/>
                <a:cs charset="0" panose="020B0604020202020204" pitchFamily="34" typeface="Arial"/>
              </a:defRPr>
            </a:pPr>
            <a:endParaRPr lang="en-US"/>
          </a:p>
        </c:txPr>
        <c:crossAx val="505080496"/>
        <c:crosses val="autoZero"/>
        <c:auto val="1"/>
        <c:lblAlgn val="ctr"/>
        <c:lblOffset val="100"/>
        <c:tickLblSkip val="2"/>
        <c:noMultiLvlLbl val="0"/>
      </c:catAx>
      <c:valAx>
        <c:axId val="505080496"/>
        <c:scaling>
          <c:orientation val="minMax"/>
          <c:max val="1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=0]&quot;-&quot;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charset="0" panose="020B0604020202020204" pitchFamily="34" typeface="Arial"/>
                <a:ea typeface="+mn-ea"/>
                <a:cs charset="0" panose="020B0604020202020204" pitchFamily="34" typeface="Arial"/>
              </a:defRPr>
            </a:pPr>
            <a:endParaRPr lang="en-US"/>
          </a:p>
        </c:txPr>
        <c:crossAx val="5050788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algn="ctr" cap="flat" cmpd="sng" w="9525">
      <a:noFill/>
      <a:round/>
    </a:ln>
    <a:effectLst/>
  </c:spPr>
  <c:txPr>
    <a:bodyPr/>
    <a:lstStyle/>
    <a:p>
      <a:pPr>
        <a:defRPr sz="900">
          <a:latin charset="0" panose="020B0604020202020204" pitchFamily="34" typeface="Arial"/>
          <a:cs charset="0" panose="020B0604020202020204" pitchFamily="34" typeface="Arial"/>
        </a:defRPr>
      </a:pPr>
      <a:endParaRPr lang="en-US"/>
    </a:p>
  </c:txPr>
  <c:printSettings>
    <c:headerFooter/>
    <c:pageMargins b="0.75" footer="0.3" header="0.3" l="0.7" r="0.7" t="0.75"/>
    <c:pageSetup/>
  </c:printSettings>
  <c:userShapes r:id="rId3"/>
</c:chartSpace>
</file>

<file path=xl/charts/chart3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66014944008291E-2"/>
          <c:y val="3.4428794992175271E-2"/>
          <c:w val="0.89169770917445512"/>
          <c:h val="0.86168151516271729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8E-4503-BC3C-41A1692662B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8E-4503-BC3C-41A1692662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8E-4503-BC3C-41A1692662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8E-4503-BC3C-41A1692662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8E-4503-BC3C-41A1692662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8E-4503-BC3C-41A1692662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8E-4503-BC3C-41A1692662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8E-4503-BC3C-41A1692662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8E-4503-BC3C-41A1692662B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8E-4503-BC3C-41A1692662B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8E-4503-BC3C-41A1692662B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8E-4503-BC3C-41A1692662B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8E-4503-BC3C-41A1692662B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8E-4503-BC3C-41A1692662B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8E-4503-BC3C-41A1692662B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8E-4503-BC3C-41A1692662B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8E-4503-BC3C-41A1692662B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48E-4503-BC3C-41A1692662B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48E-4503-BC3C-41A1692662B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8E-4503-BC3C-41A1692662B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48E-4503-BC3C-41A1692662B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48E-4503-BC3C-41A1692662B2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48E-4503-BC3C-41A1692662B2}"/>
                </c:ext>
              </c:extLst>
            </c:dLbl>
            <c:dLbl>
              <c:idx val="23"/>
              <c:layout>
                <c:manualLayout>
                  <c:x val="-2.9433650821975865E-2"/>
                  <c:y val="-3.129996681449301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="ctr" anchorCtr="1" bIns="19050" lIns="38100" rIns="38100" rot="0" spcFirstLastPara="1" tIns="19050" vert="horz" vertOverflow="ellipsis" wrap="square">
                  <a:spAutoFit/>
                </a:bodyPr>
                <a:lstStyle/>
                <a:p>
                  <a:pPr>
                    <a:defRPr b="0" baseline="0" i="0" kern="1200" strike="noStrike" sz="800" u="none">
                      <a:solidFill>
                        <a:schemeClr val="bg1"/>
                      </a:solidFill>
                      <a:latin charset="0" panose="020B0604020202020204" pitchFamily="34" typeface="Arial"/>
                      <a:ea typeface="+mn-ea"/>
                      <a:cs charset="0" panose="020B0604020202020204" pitchFamily="34"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48E-4503-BC3C-41A1692662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 bIns="19050" lIns="38100" rIns="38100" rot="0" spcFirstLastPara="1" tIns="19050" vert="horz" vertOverflow="ellipsis" wrap="square">
                <a:spAutoFit/>
              </a:bodyPr>
              <a:lstStyle/>
              <a:p>
                <a:pPr>
                  <a:defRPr b="0" baseline="0" i="0" kern="1200" strike="noStrike" sz="900" u="non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charset="0" panose="020B0604020202020204" pitchFamily="34" typeface="Arial"/>
                    <a:ea typeface="+mn-ea"/>
                    <a:cs charset="0" panose="020B0604020202020204" pitchFamily="34"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algn="ctr" cap="flat" cmpd="sng"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Factbook!$O$3:$O$26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Factbook!$AB$3:$AB$26</c:f>
              <c:numCache>
                <c:formatCode>0.0%</c:formatCode>
                <c:ptCount val="24"/>
                <c:pt idx="0">
                  <c:v>0.27766069546891464</c:v>
                </c:pt>
                <c:pt idx="1">
                  <c:v>0.24860193187595322</c:v>
                </c:pt>
                <c:pt idx="2">
                  <c:v>0.2433734939759036</c:v>
                </c:pt>
                <c:pt idx="3">
                  <c:v>0.24090210148641722</c:v>
                </c:pt>
                <c:pt idx="4">
                  <c:v>0.26220614828209765</c:v>
                </c:pt>
                <c:pt idx="5">
                  <c:v>0.27061427780852243</c:v>
                </c:pt>
                <c:pt idx="6">
                  <c:v>0.29040948275862066</c:v>
                </c:pt>
                <c:pt idx="7">
                  <c:v>0.30094668659691082</c:v>
                </c:pt>
                <c:pt idx="8">
                  <c:v>0.33449304174950301</c:v>
                </c:pt>
                <c:pt idx="9">
                  <c:v>0.2876498176133403</c:v>
                </c:pt>
                <c:pt idx="10">
                  <c:v>0.29515640766902118</c:v>
                </c:pt>
                <c:pt idx="11">
                  <c:v>0.3352165725047081</c:v>
                </c:pt>
                <c:pt idx="12">
                  <c:v>0.34145241317095176</c:v>
                </c:pt>
                <c:pt idx="13">
                  <c:v>0.32461240310077522</c:v>
                </c:pt>
                <c:pt idx="14">
                  <c:v>0.33644346871569702</c:v>
                </c:pt>
                <c:pt idx="15">
                  <c:v>0.35632183908045978</c:v>
                </c:pt>
                <c:pt idx="16">
                  <c:v>0.35532687651331718</c:v>
                </c:pt>
                <c:pt idx="17">
                  <c:v>0.36503248670998228</c:v>
                </c:pt>
                <c:pt idx="18">
                  <c:v>0.38479809976247031</c:v>
                </c:pt>
                <c:pt idx="19">
                  <c:v>0.36836628511966701</c:v>
                </c:pt>
                <c:pt idx="20">
                  <c:v>0.37803643724696356</c:v>
                </c:pt>
                <c:pt idx="21">
                  <c:v>0.37610850286906627</c:v>
                </c:pt>
                <c:pt idx="22">
                  <c:v>0.39245087900723891</c:v>
                </c:pt>
                <c:pt idx="23">
                  <c:v>0.39852398523985239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48E-4503-BC3C-41A1692662B2}"/>
            </c:ext>
          </c:extLst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  <a:ln w="9525">
              <a:solidFill>
                <a:schemeClr val="bg1"/>
              </a:solidFill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48E-4503-BC3C-41A1692662B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48E-4503-BC3C-41A1692662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48E-4503-BC3C-41A1692662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48E-4503-BC3C-41A1692662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48E-4503-BC3C-41A1692662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48E-4503-BC3C-41A1692662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48E-4503-BC3C-41A1692662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48E-4503-BC3C-41A1692662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48E-4503-BC3C-41A1692662B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48E-4503-BC3C-41A1692662B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48E-4503-BC3C-41A1692662B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48E-4503-BC3C-41A1692662B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48E-4503-BC3C-41A1692662B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48E-4503-BC3C-41A1692662B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48E-4503-BC3C-41A1692662B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48E-4503-BC3C-41A1692662B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48E-4503-BC3C-41A1692662B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48E-4503-BC3C-41A1692662B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48E-4503-BC3C-41A1692662B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48E-4503-BC3C-41A1692662B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48E-4503-BC3C-41A1692662B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48E-4503-BC3C-41A1692662B2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48E-4503-BC3C-41A1692662B2}"/>
                </c:ext>
              </c:extLst>
            </c:dLbl>
            <c:dLbl>
              <c:idx val="23"/>
              <c:layout>
                <c:manualLayout>
                  <c:x val="-3.1177979523097855E-2"/>
                  <c:y val="3.129996681449301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="ctr" anchorCtr="1" bIns="19050" lIns="38100" rIns="38100" rot="0" spcFirstLastPara="1" tIns="19050" vert="horz" vertOverflow="ellipsis" wrap="square">
                  <a:spAutoFit/>
                </a:bodyPr>
                <a:lstStyle/>
                <a:p>
                  <a:pPr>
                    <a:defRPr b="0" baseline="0" i="0" kern="1200" strike="noStrike" sz="800" u="none">
                      <a:solidFill>
                        <a:schemeClr val="bg1"/>
                      </a:solidFill>
                      <a:latin charset="0" panose="020B0604020202020204" pitchFamily="34" typeface="Arial"/>
                      <a:ea typeface="+mn-ea"/>
                      <a:cs charset="0" panose="020B0604020202020204" pitchFamily="34"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B48E-4503-BC3C-41A1692662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 bIns="19050" lIns="38100" rIns="38100" rot="0" spcFirstLastPara="1" tIns="19050" vert="horz" vertOverflow="ellipsis" wrap="square">
                <a:spAutoFit/>
              </a:bodyPr>
              <a:lstStyle/>
              <a:p>
                <a:pPr>
                  <a:defRPr b="0" baseline="0" i="0" kern="1200" strike="noStrike" sz="9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charset="0" panose="020B0604020202020204" pitchFamily="34" typeface="Arial"/>
                    <a:ea typeface="+mn-ea"/>
                    <a:cs charset="0" panose="020B0604020202020204" pitchFamily="34"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algn="ctr" cap="flat" cmpd="sng"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Factbook!$O$3:$O$26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Factbook!$AD$3:$AD$26</c:f>
              <c:numCache>
                <c:formatCode>0.0%</c:formatCode>
                <c:ptCount val="24"/>
                <c:pt idx="0">
                  <c:v>0.32613277133825075</c:v>
                </c:pt>
                <c:pt idx="1">
                  <c:v>0.37010676156583633</c:v>
                </c:pt>
                <c:pt idx="2">
                  <c:v>0.35084337349397599</c:v>
                </c:pt>
                <c:pt idx="3">
                  <c:v>0.362890825217837</c:v>
                </c:pt>
                <c:pt idx="4">
                  <c:v>0.35985533453887886</c:v>
                </c:pt>
                <c:pt idx="5">
                  <c:v>0.35805201992252356</c:v>
                </c:pt>
                <c:pt idx="6">
                  <c:v>0.33189655172413801</c:v>
                </c:pt>
                <c:pt idx="7">
                  <c:v>0.34130543099152966</c:v>
                </c:pt>
                <c:pt idx="8">
                  <c:v>0.33051689860834987</c:v>
                </c:pt>
                <c:pt idx="9">
                  <c:v>0.36477331943720681</c:v>
                </c:pt>
                <c:pt idx="10">
                  <c:v>0.34762865792129161</c:v>
                </c:pt>
                <c:pt idx="11">
                  <c:v>0.31450094161958569</c:v>
                </c:pt>
                <c:pt idx="12">
                  <c:v>0.33107803337843933</c:v>
                </c:pt>
                <c:pt idx="13">
                  <c:v>0.32848837209302328</c:v>
                </c:pt>
                <c:pt idx="14">
                  <c:v>0.29418221734357847</c:v>
                </c:pt>
                <c:pt idx="15">
                  <c:v>0.31264367816091954</c:v>
                </c:pt>
                <c:pt idx="16">
                  <c:v>0.32021791767554475</c:v>
                </c:pt>
                <c:pt idx="17">
                  <c:v>0.30242173656231536</c:v>
                </c:pt>
                <c:pt idx="18">
                  <c:v>0.27850356294536821</c:v>
                </c:pt>
                <c:pt idx="19">
                  <c:v>0.29656607700312171</c:v>
                </c:pt>
                <c:pt idx="20">
                  <c:v>0.26012145748987858</c:v>
                </c:pt>
                <c:pt idx="21">
                  <c:v>0.29994783515910273</c:v>
                </c:pt>
                <c:pt idx="22">
                  <c:v>0.25801447776628744</c:v>
                </c:pt>
                <c:pt idx="23">
                  <c:v>0.27464417501317867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B48E-4503-BC3C-41A1692662B2}"/>
            </c:ext>
          </c:extLst>
        </c:ser>
        <c:ser>
          <c:idx val="2"/>
          <c:order val="2"/>
          <c:spPr>
            <a:solidFill>
              <a:schemeClr val="accent4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48E-4503-BC3C-41A1692662B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48E-4503-BC3C-41A1692662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48E-4503-BC3C-41A1692662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48E-4503-BC3C-41A1692662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48E-4503-BC3C-41A1692662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48E-4503-BC3C-41A1692662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48E-4503-BC3C-41A1692662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48E-4503-BC3C-41A1692662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48E-4503-BC3C-41A1692662B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48E-4503-BC3C-41A1692662B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48E-4503-BC3C-41A1692662B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B48E-4503-BC3C-41A1692662B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B48E-4503-BC3C-41A1692662B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B48E-4503-BC3C-41A1692662B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B48E-4503-BC3C-41A1692662B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B48E-4503-BC3C-41A1692662B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B48E-4503-BC3C-41A1692662B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B48E-4503-BC3C-41A1692662B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B48E-4503-BC3C-41A1692662B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B48E-4503-BC3C-41A1692662B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B48E-4503-BC3C-41A1692662B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B48E-4503-BC3C-41A1692662B2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B48E-4503-BC3C-41A1692662B2}"/>
                </c:ext>
              </c:extLst>
            </c:dLbl>
            <c:dLbl>
              <c:idx val="23"/>
              <c:layout>
                <c:manualLayout>
                  <c:x val="-2.94164008535760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B48E-4503-BC3C-41A1692662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 bIns="19050" lIns="38100" rIns="38100" rot="0" spcFirstLastPara="1" tIns="19050" vert="horz" vertOverflow="ellipsis" wrap="square">
                <a:spAutoFit/>
              </a:bodyPr>
              <a:lstStyle/>
              <a:p>
                <a:pPr>
                  <a:defRPr b="0" baseline="0" i="0" kern="1200" strike="noStrike" sz="8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charset="0" panose="020B0604020202020204" pitchFamily="34" typeface="Arial"/>
                    <a:ea typeface="+mn-ea"/>
                    <a:cs charset="0" panose="020B0604020202020204" pitchFamily="34"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algn="ctr" cap="flat" cmpd="sng"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Factbook!$AE$3:$AE$26</c:f>
              <c:numCache>
                <c:formatCode>0.0%</c:formatCode>
                <c:ptCount val="24"/>
                <c:pt idx="0">
                  <c:v>0.39620653319283466</c:v>
                </c:pt>
                <c:pt idx="1">
                  <c:v>0.38129130655821042</c:v>
                </c:pt>
                <c:pt idx="2">
                  <c:v>0.40578313253012044</c:v>
                </c:pt>
                <c:pt idx="3">
                  <c:v>0.39620707329574578</c:v>
                </c:pt>
                <c:pt idx="4">
                  <c:v>0.37793851717902349</c:v>
                </c:pt>
                <c:pt idx="5">
                  <c:v>0.37133370226895401</c:v>
                </c:pt>
                <c:pt idx="6">
                  <c:v>0.37769396551724133</c:v>
                </c:pt>
                <c:pt idx="7">
                  <c:v>0.35774788241155953</c:v>
                </c:pt>
                <c:pt idx="8">
                  <c:v>0.33499005964214712</c:v>
                </c:pt>
                <c:pt idx="9">
                  <c:v>0.34757686294945289</c:v>
                </c:pt>
                <c:pt idx="10">
                  <c:v>0.35721493440968721</c:v>
                </c:pt>
                <c:pt idx="11">
                  <c:v>0.35028248587570626</c:v>
                </c:pt>
                <c:pt idx="12">
                  <c:v>0.32746955345060891</c:v>
                </c:pt>
                <c:pt idx="13">
                  <c:v>0.3468992248062015</c:v>
                </c:pt>
                <c:pt idx="14">
                  <c:v>0.36937431394072456</c:v>
                </c:pt>
                <c:pt idx="15">
                  <c:v>0.33103448275862069</c:v>
                </c:pt>
                <c:pt idx="16">
                  <c:v>0.32445520581113807</c:v>
                </c:pt>
                <c:pt idx="17">
                  <c:v>0.3325457767277023</c:v>
                </c:pt>
                <c:pt idx="18">
                  <c:v>0.33669833729216142</c:v>
                </c:pt>
                <c:pt idx="19">
                  <c:v>0.33506763787721122</c:v>
                </c:pt>
                <c:pt idx="20">
                  <c:v>0.36184210526315785</c:v>
                </c:pt>
                <c:pt idx="21">
                  <c:v>0.323943661971831</c:v>
                </c:pt>
                <c:pt idx="22">
                  <c:v>0.34953464322647371</c:v>
                </c:pt>
                <c:pt idx="23">
                  <c:v>0.32683183974696889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B48E-4503-BC3C-41A169266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78856"/>
        <c:axId val="505080496"/>
      </c:areaChart>
      <c:catAx>
        <c:axId val="505078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charset="0" panose="020B0604020202020204" pitchFamily="34" typeface="Arial"/>
                <a:ea typeface="+mn-ea"/>
                <a:cs charset="0" panose="020B0604020202020204" pitchFamily="34" typeface="Arial"/>
              </a:defRPr>
            </a:pPr>
            <a:endParaRPr lang="en-US"/>
          </a:p>
        </c:txPr>
        <c:crossAx val="505080496"/>
        <c:crosses val="autoZero"/>
        <c:auto val="1"/>
        <c:lblAlgn val="ctr"/>
        <c:lblOffset val="100"/>
        <c:tickLblSkip val="2"/>
        <c:noMultiLvlLbl val="0"/>
      </c:catAx>
      <c:valAx>
        <c:axId val="505080496"/>
        <c:scaling>
          <c:orientation val="minMax"/>
          <c:max val="1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=0]&quot;-&quot;;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charset="0" panose="020B0604020202020204" pitchFamily="34" typeface="Arial"/>
                <a:ea typeface="+mn-ea"/>
                <a:cs charset="0" panose="020B0604020202020204" pitchFamily="34" typeface="Arial"/>
              </a:defRPr>
            </a:pPr>
            <a:endParaRPr lang="en-US"/>
          </a:p>
        </c:txPr>
        <c:crossAx val="5050788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algn="ctr" cap="flat" cmpd="sng" w="9525">
      <a:noFill/>
      <a:round/>
    </a:ln>
    <a:effectLst/>
  </c:spPr>
  <c:txPr>
    <a:bodyPr/>
    <a:lstStyle/>
    <a:p>
      <a:pPr>
        <a:defRPr sz="900">
          <a:latin charset="0" panose="020B0604020202020204" pitchFamily="34" typeface="Arial"/>
          <a:cs charset="0" panose="020B0604020202020204" pitchFamily="34" typeface="Arial"/>
        </a:defRPr>
      </a:pPr>
      <a:endParaRPr lang="en-US"/>
    </a:p>
  </c:txPr>
  <c:printSettings>
    <c:headerFooter/>
    <c:pageMargins b="0.75" footer="0.3" header="0.3" l="0.7" r="0.7" t="0.75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_rels/vmlDrawing2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28574</xdr:colOff>
      <xdr:row>2</xdr:row>
      <xdr:rowOff>19046</xdr:rowOff>
    </xdr:from>
    <xdr:to>
      <xdr:col>12</xdr:col>
      <xdr:colOff>0</xdr:colOff>
      <xdr:row>22</xdr:row>
      <xdr:rowOff>3806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</xdr:row>
      <xdr:rowOff>9525</xdr:rowOff>
    </xdr:from>
    <xdr:to>
      <xdr:col>12</xdr:col>
      <xdr:colOff>0</xdr:colOff>
      <xdr:row>42</xdr:row>
      <xdr:rowOff>127635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44</xdr:row>
      <xdr:rowOff>19049</xdr:rowOff>
    </xdr:from>
    <xdr:to>
      <xdr:col>12</xdr:col>
      <xdr:colOff>0</xdr:colOff>
      <xdr:row>64</xdr:row>
      <xdr:rowOff>13334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0.08082</cdr:x>
      <cdr:y>0.79767</cdr:y>
    </cdr:from>
    <cdr:to>
      <cdr:x>0.41205</cdr:x>
      <cdr:y>0.8634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7435" y="2334046"/>
          <a:ext cx="2735357" cy="192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Percent Graduating in 4 years</a:t>
          </a:r>
        </a:p>
      </cdr:txBody>
    </cdr:sp>
  </cdr:relSizeAnchor>
  <cdr:relSizeAnchor xmlns:cdr="http://schemas.openxmlformats.org/drawingml/2006/chartDrawing">
    <cdr:from>
      <cdr:x>0.08244</cdr:x>
      <cdr:y>0.51997</cdr:y>
    </cdr:from>
    <cdr:to>
      <cdr:x>0.40736</cdr:x>
      <cdr:y>0.58919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804" y="1521487"/>
          <a:ext cx="2683247" cy="202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Percent Graduating in 6 years</a:t>
          </a:r>
        </a:p>
      </cdr:txBody>
    </cdr:sp>
  </cdr:relSizeAnchor>
  <cdr:relSizeAnchor xmlns:cdr="http://schemas.openxmlformats.org/drawingml/2006/chartDrawing">
    <cdr:from>
      <cdr:x>0.07818</cdr:x>
      <cdr:y>0.24353</cdr:y>
    </cdr:from>
    <cdr:to>
      <cdr:x>0.4066</cdr:x>
      <cdr:y>0.31901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45649" y="712596"/>
          <a:ext cx="2712150" cy="2208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Percent </a:t>
          </a:r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not</a:t>
          </a:r>
          <a:r>
            <a:rPr lang="en-US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Graduating in 6 years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0.08428</cdr:x>
      <cdr:y>0.75535</cdr:y>
    </cdr:from>
    <cdr:to>
      <cdr:x>0.41551</cdr:x>
      <cdr:y>0.82108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4860" y="2251951"/>
          <a:ext cx="2337830" cy="195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Percent Graduating in 4 years</a:t>
          </a:r>
        </a:p>
      </cdr:txBody>
    </cdr:sp>
  </cdr:relSizeAnchor>
  <cdr:relSizeAnchor xmlns:cdr="http://schemas.openxmlformats.org/drawingml/2006/chartDrawing">
    <cdr:from>
      <cdr:x>0.08244</cdr:x>
      <cdr:y>0.59563</cdr:y>
    </cdr:from>
    <cdr:to>
      <cdr:x>0.40736</cdr:x>
      <cdr:y>0.67529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01495" y="1579468"/>
          <a:ext cx="2370665" cy="211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Percent Graduating in 6 years</a:t>
          </a:r>
        </a:p>
      </cdr:txBody>
    </cdr:sp>
  </cdr:relSizeAnchor>
  <cdr:relSizeAnchor xmlns:cdr="http://schemas.openxmlformats.org/drawingml/2006/chartDrawing">
    <cdr:from>
      <cdr:x>0.08395</cdr:x>
      <cdr:y>0.24784</cdr:y>
    </cdr:from>
    <cdr:to>
      <cdr:x>0.41237</cdr:x>
      <cdr:y>0.32864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2512" y="657225"/>
          <a:ext cx="2396201" cy="214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Percent </a:t>
          </a:r>
          <a:r>
            <a:rPr lang="en-US" sz="9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not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Graduating in 6 years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0.08428</cdr:x>
      <cdr:y>0.80221</cdr:y>
    </cdr:from>
    <cdr:to>
      <cdr:x>0.41551</cdr:x>
      <cdr:y>0.86794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4117" y="2119637"/>
          <a:ext cx="2413549" cy="173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Percent Graduating in 4 years</a:t>
          </a:r>
        </a:p>
      </cdr:txBody>
    </cdr:sp>
  </cdr:relSizeAnchor>
  <cdr:relSizeAnchor xmlns:cdr="http://schemas.openxmlformats.org/drawingml/2006/chartDrawing">
    <cdr:from>
      <cdr:x>0.08244</cdr:x>
      <cdr:y>0.56732</cdr:y>
    </cdr:from>
    <cdr:to>
      <cdr:x>0.40736</cdr:x>
      <cdr:y>0.64528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00709" y="1498997"/>
          <a:ext cx="2367571" cy="205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Percent Graduating in 6 years</a:t>
          </a:r>
        </a:p>
      </cdr:txBody>
    </cdr:sp>
  </cdr:relSizeAnchor>
  <cdr:relSizeAnchor xmlns:cdr="http://schemas.openxmlformats.org/drawingml/2006/chartDrawing">
    <cdr:from>
      <cdr:x>0.08395</cdr:x>
      <cdr:y>0.25771</cdr:y>
    </cdr:from>
    <cdr:to>
      <cdr:x>0.41237</cdr:x>
      <cdr:y>0.33165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1712" y="680932"/>
          <a:ext cx="2393074" cy="195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Percent </a:t>
          </a:r>
          <a:r>
            <a:rPr lang="en-US" sz="9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not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Graduating in 6 years</a:t>
          </a:r>
        </a:p>
      </cdr:txBody>
    </cdr:sp>
  </cdr:relSizeAnchor>
</c:userShapes>
</file>

<file path=xl/drawings/drawing5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289560</xdr:colOff>
      <xdr:row>45</xdr:row>
      <xdr:rowOff>114300</xdr:rowOff>
    </xdr:from>
    <xdr:to>
      <xdr:col>7</xdr:col>
      <xdr:colOff>457200</xdr:colOff>
      <xdr:row>46</xdr:row>
      <xdr:rowOff>99060</xdr:rowOff>
    </xdr:to>
    <xdr:sp macro="" textlink="">
      <xdr:nvSpPr>
        <xdr:cNvPr id="2354" name="Text 6"/>
        <xdr:cNvSpPr txBox="1">
          <a:spLocks noChangeArrowheads="1"/>
        </xdr:cNvSpPr>
      </xdr:nvSpPr>
      <xdr:spPr bwMode="auto">
        <a:xfrm>
          <a:off x="4434840" y="6804660"/>
          <a:ext cx="167640" cy="129540"/>
        </a:xfrm>
        <a:prstGeom prst="rect">
          <a:avLst/>
        </a:prstGeom>
        <a:solidFill>
          <a:srgbClr xmlns:a14="http://schemas.microsoft.com/office/drawing/2010/main" xmlns:mc="http://schemas.openxmlformats.org/markup-compatibility/2006" a14:legacySpreadsheetColorIndex="9" mc:Ignorable="a14"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5.xml" Type="http://schemas.openxmlformats.org/officeDocument/2006/relationships/drawing"/><Relationship Id="rId3" Target="../drawings/vmlDrawing2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1"/>
    <pageSetUpPr fitToPage="1"/>
  </sheetPr>
  <dimension ref="A1:AL108"/>
  <sheetViews>
    <sheetView tabSelected="1" topLeftCell="A40" view="pageLayout" workbookViewId="0" zoomScaleNormal="100" zoomScaleSheetLayoutView="100">
      <selection activeCell="H69" sqref="H69"/>
    </sheetView>
  </sheetViews>
  <sheetFormatPr defaultColWidth="9.140625" defaultRowHeight="15" x14ac:dyDescent="0.25"/>
  <cols>
    <col min="1" max="8" style="42" width="9.140625" collapsed="false"/>
    <col min="9" max="9" customWidth="true" style="42" width="8.5703125" collapsed="false"/>
    <col min="10" max="10" customWidth="true" style="42" width="7.85546875" collapsed="false"/>
    <col min="11" max="11" customWidth="true" style="42" width="7.5703125" collapsed="false"/>
    <col min="12" max="12" customWidth="true" style="42" width="9.140625" collapsed="false"/>
    <col min="13" max="13" bestFit="true" customWidth="true" style="44" width="9.28515625" collapsed="false"/>
    <col min="14" max="14" bestFit="true" customWidth="true" style="44" width="5.7109375" collapsed="false"/>
    <col min="15" max="15" bestFit="true" customWidth="true" style="44" width="5.0" collapsed="false"/>
    <col min="16" max="16" bestFit="true" customWidth="true" style="44" width="8.28515625" collapsed="false"/>
    <col min="17" max="17" bestFit="true" customWidth="true" style="44" width="8.5703125" collapsed="false"/>
    <col min="18" max="18" bestFit="true" customWidth="true" style="44" width="8.42578125" collapsed="false"/>
    <col min="19" max="19" bestFit="true" customWidth="true" style="44" width="5.7109375" collapsed="false"/>
    <col min="20" max="20" customWidth="true" style="62" width="5.7109375" collapsed="false"/>
    <col min="21" max="21" bestFit="true" customWidth="true" style="44" width="4.42578125" collapsed="false"/>
    <col min="22" max="23" bestFit="true" customWidth="true" style="44" width="8.140625" collapsed="false"/>
    <col min="24" max="24" bestFit="true" customWidth="true" style="44" width="8.42578125" collapsed="false"/>
    <col min="25" max="25" customWidth="true" style="44" width="8.28515625" collapsed="false"/>
    <col min="26" max="26" customWidth="true" style="62" width="5.7109375" collapsed="false"/>
    <col min="27" max="27" bestFit="true" customWidth="true" style="44" width="8.85546875" collapsed="false"/>
    <col min="28" max="30" bestFit="true" customWidth="true" style="44" width="8.7109375" collapsed="false"/>
    <col min="31" max="31" bestFit="true" customWidth="true" style="44" width="5.140625" collapsed="false"/>
    <col min="32" max="32" customWidth="true" style="62" width="5.7109375" collapsed="false"/>
    <col min="33" max="33" style="44" width="9.140625" collapsed="false"/>
    <col min="34" max="16384" style="42" width="9.140625" collapsed="false"/>
  </cols>
  <sheetData>
    <row ht="18" r="1" spans="1:32" x14ac:dyDescent="0.25">
      <c r="A1" s="41" t="s">
        <v>63</v>
      </c>
      <c r="O1" s="67" t="s">
        <v>55</v>
      </c>
      <c r="P1" s="68"/>
      <c r="Q1" s="68"/>
      <c r="R1" s="68"/>
      <c r="S1" s="68"/>
      <c r="U1" s="49" t="s">
        <v>45</v>
      </c>
      <c r="V1" s="49"/>
      <c r="W1" s="49"/>
      <c r="X1" s="49"/>
      <c r="Y1" s="49"/>
      <c r="AA1" s="50" t="s">
        <v>46</v>
      </c>
      <c r="AB1" s="50"/>
      <c r="AC1" s="50"/>
      <c r="AD1" s="50"/>
      <c r="AE1" s="50"/>
    </row>
    <row ht="15.75" r="2" spans="1:32" x14ac:dyDescent="0.25">
      <c r="A2" s="56" t="s">
        <v>59</v>
      </c>
      <c r="O2" s="45"/>
      <c r="P2" s="46" t="s">
        <v>43</v>
      </c>
      <c r="Q2" s="57" t="s">
        <v>52</v>
      </c>
      <c r="R2" s="46" t="s">
        <v>44</v>
      </c>
      <c r="S2" s="46"/>
      <c r="T2" s="63"/>
      <c r="U2" s="49"/>
      <c r="V2" s="53" t="s">
        <v>43</v>
      </c>
      <c r="W2" s="60" t="s">
        <v>52</v>
      </c>
      <c r="X2" s="53" t="s">
        <v>44</v>
      </c>
      <c r="Y2" s="49"/>
      <c r="Z2" s="63"/>
      <c r="AA2" s="50"/>
      <c r="AB2" s="61" t="s">
        <v>43</v>
      </c>
      <c r="AC2" s="59" t="s">
        <v>52</v>
      </c>
      <c r="AD2" s="61" t="s">
        <v>44</v>
      </c>
      <c r="AE2" s="58"/>
      <c r="AF2" s="63"/>
    </row>
    <row customHeight="1" ht="11.1" r="3" spans="1:32" x14ac:dyDescent="0.25">
      <c r="O3" s="45">
        <f>O40</f>
        <v>1988</v>
      </c>
      <c r="P3" s="47">
        <f>P40/R40</f>
        <v>0.30443213296398891</v>
      </c>
      <c r="Q3" s="47">
        <f>Q40/R40</f>
        <v>0.61163434903047087</v>
      </c>
      <c r="R3" s="48">
        <f ref="R3:R26" si="0" t="shared">Q3-P3</f>
        <v>0.30720221606648196</v>
      </c>
      <c r="S3" s="48">
        <f ref="S3:S26" si="1" t="shared">1-R3-P3</f>
        <v>0.38836565096952907</v>
      </c>
      <c r="T3" s="63">
        <f>P3+R3+S3</f>
        <v>1</v>
      </c>
      <c r="U3" s="49">
        <f>O3</f>
        <v>1988</v>
      </c>
      <c r="V3" s="52">
        <f>V40/X40</f>
        <v>0.21527777777777779</v>
      </c>
      <c r="W3" s="52">
        <f>W40/X40</f>
        <v>0.63595085470085466</v>
      </c>
      <c r="X3" s="52">
        <f ref="X3:X26" si="2" t="shared">W3-V3</f>
        <v>0.42067307692307687</v>
      </c>
      <c r="Y3" s="52">
        <f ref="Y3:Y26" si="3" t="shared">1-X3-V3</f>
        <v>0.36404914529914534</v>
      </c>
      <c r="Z3" s="63">
        <f>V3+X3+Y3</f>
        <v>1</v>
      </c>
      <c r="AA3" s="55">
        <f>U3</f>
        <v>1988</v>
      </c>
      <c r="AB3" s="54">
        <f>AB40/AD40</f>
        <v>0.27766069546891464</v>
      </c>
      <c r="AC3" s="54">
        <f>AC40/AD40</f>
        <v>0.60379346680716539</v>
      </c>
      <c r="AD3" s="54">
        <f ref="AD3:AD26" si="4" t="shared">AC3-AB3</f>
        <v>0.32613277133825075</v>
      </c>
      <c r="AE3" s="54">
        <f ref="AE3:AE26" si="5" t="shared">1-AD3-AB3</f>
        <v>0.39620653319283466</v>
      </c>
      <c r="AF3" s="63">
        <f>AB3+AD3+AE3</f>
        <v>1</v>
      </c>
    </row>
    <row customHeight="1" ht="11.1" r="4" spans="1:32" x14ac:dyDescent="0.25">
      <c r="O4" s="45">
        <f ref="O4:O26" si="6" t="shared">O41</f>
        <v>1989</v>
      </c>
      <c r="P4" s="47">
        <f ref="P4:P26" si="7" t="shared">P41/R41</f>
        <v>0.30675029868578257</v>
      </c>
      <c r="Q4" s="47">
        <f ref="Q4:Q26" si="8" t="shared">Q41/R41</f>
        <v>0.60902031063321382</v>
      </c>
      <c r="R4" s="48">
        <f si="0" t="shared"/>
        <v>0.30227001194743125</v>
      </c>
      <c r="S4" s="48">
        <f si="1" t="shared"/>
        <v>0.39097968936678612</v>
      </c>
      <c r="T4" s="63">
        <f ref="T4:T26" si="9" t="shared">P4+R4+S4</f>
        <v>1</v>
      </c>
      <c r="U4" s="49">
        <f ref="U4:U26" si="10" t="shared">O4</f>
        <v>1989</v>
      </c>
      <c r="V4" s="52">
        <f ref="V4:V26" si="11" t="shared">V41/X41</f>
        <v>0.20341242335377233</v>
      </c>
      <c r="W4" s="52">
        <f ref="W4:W26" si="12" t="shared">W41/X41</f>
        <v>0.61636896827512666</v>
      </c>
      <c r="X4" s="52">
        <f si="2" t="shared"/>
        <v>0.41295654492135436</v>
      </c>
      <c r="Y4" s="52">
        <f si="3" t="shared"/>
        <v>0.38363103172487334</v>
      </c>
      <c r="Z4" s="63">
        <f ref="Z4:Z26" si="13" t="shared">V4+X4+Y4</f>
        <v>1</v>
      </c>
      <c r="AA4" s="55">
        <f ref="AA4:AA26" si="14" t="shared">U4</f>
        <v>1989</v>
      </c>
      <c r="AB4" s="54">
        <f ref="AB4:AB26" si="15" t="shared">AB41/AD41</f>
        <v>0.24860193187595322</v>
      </c>
      <c r="AC4" s="54">
        <f ref="AC4:AC26" si="16" t="shared">AC41/AD41</f>
        <v>0.61870869344178958</v>
      </c>
      <c r="AD4" s="54">
        <f si="4" t="shared"/>
        <v>0.37010676156583633</v>
      </c>
      <c r="AE4" s="54">
        <f si="5" t="shared"/>
        <v>0.38129130655821042</v>
      </c>
      <c r="AF4" s="63">
        <f ref="AF4:AF26" si="17" t="shared">AB4+AD4+AE4</f>
        <v>1</v>
      </c>
    </row>
    <row customHeight="1" ht="11.1" r="5" spans="1:32" x14ac:dyDescent="0.25">
      <c r="O5" s="45">
        <f si="6" t="shared"/>
        <v>1990</v>
      </c>
      <c r="P5" s="47">
        <f si="7" t="shared"/>
        <v>0.32851851851851854</v>
      </c>
      <c r="Q5" s="47">
        <f si="8" t="shared"/>
        <v>0.62555555555555553</v>
      </c>
      <c r="R5" s="48">
        <f si="0" t="shared"/>
        <v>0.29703703703703699</v>
      </c>
      <c r="S5" s="48">
        <f si="1" t="shared"/>
        <v>0.37444444444444447</v>
      </c>
      <c r="T5" s="63">
        <f si="9" t="shared"/>
        <v>1</v>
      </c>
      <c r="U5" s="49">
        <f si="10" t="shared"/>
        <v>1990</v>
      </c>
      <c r="V5" s="52">
        <f si="11" t="shared"/>
        <v>0.19003021148036253</v>
      </c>
      <c r="W5" s="52">
        <f si="12" t="shared"/>
        <v>0.59969788519637457</v>
      </c>
      <c r="X5" s="52">
        <f si="2" t="shared"/>
        <v>0.40966767371601204</v>
      </c>
      <c r="Y5" s="52">
        <f si="3" t="shared"/>
        <v>0.40030211480362538</v>
      </c>
      <c r="Z5" s="63">
        <f si="13" t="shared"/>
        <v>1</v>
      </c>
      <c r="AA5" s="55">
        <f si="14" t="shared"/>
        <v>1990</v>
      </c>
      <c r="AB5" s="54">
        <f si="15" t="shared"/>
        <v>0.2433734939759036</v>
      </c>
      <c r="AC5" s="54">
        <f si="16" t="shared"/>
        <v>0.59421686746987956</v>
      </c>
      <c r="AD5" s="54">
        <f si="4" t="shared"/>
        <v>0.35084337349397599</v>
      </c>
      <c r="AE5" s="54">
        <f si="5" t="shared"/>
        <v>0.40578313253012044</v>
      </c>
      <c r="AF5" s="63">
        <f si="17" t="shared"/>
        <v>1</v>
      </c>
    </row>
    <row customHeight="1" ht="11.1" r="6" spans="1:32" x14ac:dyDescent="0.25">
      <c r="O6" s="45">
        <f si="6" t="shared"/>
        <v>1991</v>
      </c>
      <c r="P6" s="47">
        <f si="7" t="shared"/>
        <v>0.32286340394448504</v>
      </c>
      <c r="Q6" s="47">
        <f si="8" t="shared"/>
        <v>0.63075237399561723</v>
      </c>
      <c r="R6" s="48">
        <f si="0" t="shared"/>
        <v>0.30788897005113219</v>
      </c>
      <c r="S6" s="48">
        <f si="1" t="shared"/>
        <v>0.36924762600438271</v>
      </c>
      <c r="T6" s="63">
        <f si="9" t="shared"/>
        <v>1</v>
      </c>
      <c r="U6" s="49">
        <f si="10" t="shared"/>
        <v>1991</v>
      </c>
      <c r="V6" s="52">
        <f si="11" t="shared"/>
        <v>0.2057001239157373</v>
      </c>
      <c r="W6" s="52">
        <f si="12" t="shared"/>
        <v>0.60068153655514245</v>
      </c>
      <c r="X6" s="52">
        <f si="2" t="shared"/>
        <v>0.39498141263940512</v>
      </c>
      <c r="Y6" s="52">
        <f si="3" t="shared"/>
        <v>0.39931846344485755</v>
      </c>
      <c r="Z6" s="63">
        <f si="13" t="shared"/>
        <v>1</v>
      </c>
      <c r="AA6" s="55">
        <f si="14" t="shared"/>
        <v>1991</v>
      </c>
      <c r="AB6" s="54">
        <f si="15" t="shared"/>
        <v>0.24090210148641722</v>
      </c>
      <c r="AC6" s="54">
        <f si="16" t="shared"/>
        <v>0.60379292670425422</v>
      </c>
      <c r="AD6" s="54">
        <f si="4" t="shared"/>
        <v>0.362890825217837</v>
      </c>
      <c r="AE6" s="54">
        <f si="5" t="shared"/>
        <v>0.39620707329574578</v>
      </c>
      <c r="AF6" s="63">
        <f si="17" t="shared"/>
        <v>1</v>
      </c>
    </row>
    <row customHeight="1" ht="11.1" r="7" spans="1:32" x14ac:dyDescent="0.25">
      <c r="O7" s="45">
        <f si="6" t="shared"/>
        <v>1992</v>
      </c>
      <c r="P7" s="47">
        <f si="7" t="shared"/>
        <v>0.32336869173899069</v>
      </c>
      <c r="Q7" s="47">
        <f si="8" t="shared"/>
        <v>0.63741562198649948</v>
      </c>
      <c r="R7" s="48">
        <f si="0" t="shared"/>
        <v>0.31404693024750879</v>
      </c>
      <c r="S7" s="48">
        <f si="1" t="shared"/>
        <v>0.36258437801350046</v>
      </c>
      <c r="T7" s="63">
        <f si="9" t="shared"/>
        <v>1</v>
      </c>
      <c r="U7" s="49">
        <f si="10" t="shared"/>
        <v>1992</v>
      </c>
      <c r="V7" s="52">
        <f si="11" t="shared"/>
        <v>0.21692169216921692</v>
      </c>
      <c r="W7" s="52">
        <f si="12" t="shared"/>
        <v>0.61056105610561051</v>
      </c>
      <c r="X7" s="52">
        <f si="2" t="shared"/>
        <v>0.39363936393639359</v>
      </c>
      <c r="Y7" s="52">
        <f si="3" t="shared"/>
        <v>0.38943894389438954</v>
      </c>
      <c r="Z7" s="63">
        <f si="13" t="shared"/>
        <v>1</v>
      </c>
      <c r="AA7" s="55">
        <f si="14" t="shared"/>
        <v>1992</v>
      </c>
      <c r="AB7" s="54">
        <f si="15" t="shared"/>
        <v>0.26220614828209765</v>
      </c>
      <c r="AC7" s="54">
        <f si="16" t="shared"/>
        <v>0.62206148282097651</v>
      </c>
      <c r="AD7" s="54">
        <f si="4" t="shared"/>
        <v>0.35985533453887886</v>
      </c>
      <c r="AE7" s="54">
        <f si="5" t="shared"/>
        <v>0.37793851717902349</v>
      </c>
      <c r="AF7" s="63">
        <f si="17" t="shared"/>
        <v>1</v>
      </c>
    </row>
    <row customHeight="1" ht="11.1" r="8" spans="1:32" x14ac:dyDescent="0.25">
      <c r="O8" s="45">
        <f si="6" t="shared"/>
        <v>1993</v>
      </c>
      <c r="P8" s="47">
        <f si="7" t="shared"/>
        <v>0.34557649313318428</v>
      </c>
      <c r="Q8" s="47">
        <f si="8" t="shared"/>
        <v>0.62759501756627278</v>
      </c>
      <c r="R8" s="48">
        <f si="0" t="shared"/>
        <v>0.2820185244330885</v>
      </c>
      <c r="S8" s="48">
        <f si="1" t="shared"/>
        <v>0.37240498243372722</v>
      </c>
      <c r="T8" s="63">
        <f si="9" t="shared"/>
        <v>1</v>
      </c>
      <c r="U8" s="49">
        <f si="10" t="shared"/>
        <v>1993</v>
      </c>
      <c r="V8" s="52">
        <f si="11" t="shared"/>
        <v>0.22336065573770492</v>
      </c>
      <c r="W8" s="52">
        <f si="12" t="shared"/>
        <v>0.6036299765807962</v>
      </c>
      <c r="X8" s="52">
        <f si="2" t="shared"/>
        <v>0.38026932084309129</v>
      </c>
      <c r="Y8" s="52">
        <f si="3" t="shared"/>
        <v>0.3963700234192038</v>
      </c>
      <c r="Z8" s="63">
        <f si="13" t="shared"/>
        <v>1</v>
      </c>
      <c r="AA8" s="55">
        <f si="14" t="shared"/>
        <v>1993</v>
      </c>
      <c r="AB8" s="54">
        <f si="15" t="shared"/>
        <v>0.27061427780852243</v>
      </c>
      <c r="AC8" s="54">
        <f si="16" t="shared"/>
        <v>0.62866629773104599</v>
      </c>
      <c r="AD8" s="54">
        <f si="4" t="shared"/>
        <v>0.35805201992252356</v>
      </c>
      <c r="AE8" s="54">
        <f si="5" t="shared"/>
        <v>0.37133370226895401</v>
      </c>
      <c r="AF8" s="63">
        <f si="17" t="shared"/>
        <v>1</v>
      </c>
    </row>
    <row customHeight="1" ht="11.1" r="9" spans="1:32" x14ac:dyDescent="0.25">
      <c r="O9" s="45">
        <f si="6" t="shared"/>
        <v>1994</v>
      </c>
      <c r="P9" s="47">
        <f si="7" t="shared"/>
        <v>0.34283059770826879</v>
      </c>
      <c r="Q9" s="47">
        <f si="8" t="shared"/>
        <v>0.64044595850108388</v>
      </c>
      <c r="R9" s="48">
        <f si="0" t="shared"/>
        <v>0.29761536079281509</v>
      </c>
      <c r="S9" s="48">
        <f si="1" t="shared"/>
        <v>0.35955404149891607</v>
      </c>
      <c r="T9" s="63">
        <f si="9" t="shared"/>
        <v>1</v>
      </c>
      <c r="U9" s="49">
        <f si="10" t="shared"/>
        <v>1994</v>
      </c>
      <c r="V9" s="52">
        <f si="11" t="shared"/>
        <v>0.24030075187969924</v>
      </c>
      <c r="W9" s="52">
        <f si="12" t="shared"/>
        <v>0.62406015037593987</v>
      </c>
      <c r="X9" s="52">
        <f si="2" t="shared"/>
        <v>0.38375939849624063</v>
      </c>
      <c r="Y9" s="52">
        <f si="3" t="shared"/>
        <v>0.37593984962406013</v>
      </c>
      <c r="Z9" s="63">
        <f si="13" t="shared"/>
        <v>1</v>
      </c>
      <c r="AA9" s="55">
        <f si="14" t="shared"/>
        <v>1994</v>
      </c>
      <c r="AB9" s="54">
        <f si="15" t="shared"/>
        <v>0.29040948275862066</v>
      </c>
      <c r="AC9" s="54">
        <f si="16" t="shared"/>
        <v>0.62230603448275867</v>
      </c>
      <c r="AD9" s="54">
        <f si="4" t="shared"/>
        <v>0.33189655172413801</v>
      </c>
      <c r="AE9" s="54">
        <f si="5" t="shared"/>
        <v>0.37769396551724133</v>
      </c>
      <c r="AF9" s="63">
        <f si="17" t="shared"/>
        <v>1</v>
      </c>
    </row>
    <row customHeight="1" ht="11.1" r="10" spans="1:32" x14ac:dyDescent="0.25">
      <c r="O10" s="45">
        <f si="6" t="shared"/>
        <v>1995</v>
      </c>
      <c r="P10" s="47">
        <f si="7" t="shared"/>
        <v>0.35268630849220106</v>
      </c>
      <c r="Q10" s="47">
        <f si="8" t="shared"/>
        <v>0.64904679376083185</v>
      </c>
      <c r="R10" s="48">
        <f si="0" t="shared"/>
        <v>0.29636048526863079</v>
      </c>
      <c r="S10" s="48">
        <f si="1" t="shared"/>
        <v>0.35095320623916815</v>
      </c>
      <c r="T10" s="63">
        <f si="9" t="shared"/>
        <v>1</v>
      </c>
      <c r="U10" s="49">
        <f si="10" t="shared"/>
        <v>1995</v>
      </c>
      <c r="V10" s="52">
        <f si="11" t="shared"/>
        <v>0.2510690287110568</v>
      </c>
      <c r="W10" s="52">
        <f si="12" t="shared"/>
        <v>0.63714111178985955</v>
      </c>
      <c r="X10" s="52">
        <f si="2" t="shared"/>
        <v>0.38607208307880275</v>
      </c>
      <c r="Y10" s="52">
        <f si="3" t="shared"/>
        <v>0.36285888821014051</v>
      </c>
      <c r="Z10" s="63">
        <f si="13" t="shared"/>
        <v>1</v>
      </c>
      <c r="AA10" s="55">
        <f si="14" t="shared"/>
        <v>1995</v>
      </c>
      <c r="AB10" s="54">
        <f si="15" t="shared"/>
        <v>0.30094668659691082</v>
      </c>
      <c r="AC10" s="54">
        <f si="16" t="shared"/>
        <v>0.64225211758844047</v>
      </c>
      <c r="AD10" s="54">
        <f si="4" t="shared"/>
        <v>0.34130543099152966</v>
      </c>
      <c r="AE10" s="54">
        <f si="5" t="shared"/>
        <v>0.35774788241155953</v>
      </c>
      <c r="AF10" s="63">
        <f si="17" t="shared"/>
        <v>1</v>
      </c>
    </row>
    <row customHeight="1" ht="11.1" r="11" spans="1:32" x14ac:dyDescent="0.25">
      <c r="O11" s="45">
        <f si="6" t="shared"/>
        <v>1996</v>
      </c>
      <c r="P11" s="47">
        <f si="7" t="shared"/>
        <v>0.3784021071115013</v>
      </c>
      <c r="Q11" s="47">
        <f si="8" t="shared"/>
        <v>0.64442493415276558</v>
      </c>
      <c r="R11" s="48">
        <f si="0" t="shared"/>
        <v>0.26602282704126429</v>
      </c>
      <c r="S11" s="48">
        <f si="1" t="shared"/>
        <v>0.35557506584723436</v>
      </c>
      <c r="T11" s="63">
        <f si="9" t="shared"/>
        <v>1</v>
      </c>
      <c r="U11" s="49">
        <f si="10" t="shared"/>
        <v>1996</v>
      </c>
      <c r="V11" s="52">
        <f si="11" t="shared"/>
        <v>0.28396776882467351</v>
      </c>
      <c r="W11" s="52">
        <f si="12" t="shared"/>
        <v>0.65268130036121141</v>
      </c>
      <c r="X11" s="52">
        <f si="2" t="shared"/>
        <v>0.36871353153653791</v>
      </c>
      <c r="Y11" s="52">
        <f si="3" t="shared"/>
        <v>0.34731869963878853</v>
      </c>
      <c r="Z11" s="63">
        <f si="13" t="shared"/>
        <v>1</v>
      </c>
      <c r="AA11" s="55">
        <f si="14" t="shared"/>
        <v>1996</v>
      </c>
      <c r="AB11" s="54">
        <f si="15" t="shared"/>
        <v>0.33449304174950301</v>
      </c>
      <c r="AC11" s="54">
        <f si="16" t="shared"/>
        <v>0.66500994035785288</v>
      </c>
      <c r="AD11" s="54">
        <f si="4" t="shared"/>
        <v>0.33051689860834987</v>
      </c>
      <c r="AE11" s="54">
        <f si="5" t="shared"/>
        <v>0.33499005964214712</v>
      </c>
      <c r="AF11" s="63">
        <f si="17" t="shared"/>
        <v>1</v>
      </c>
    </row>
    <row customHeight="1" ht="11.1" r="12" spans="1:32" x14ac:dyDescent="0.25">
      <c r="O12" s="45">
        <f si="6" t="shared"/>
        <v>1997</v>
      </c>
      <c r="P12" s="47">
        <f si="7" t="shared"/>
        <v>0.37643436887769383</v>
      </c>
      <c r="Q12" s="47">
        <f si="8" t="shared"/>
        <v>0.64567590260285479</v>
      </c>
      <c r="R12" s="48">
        <f si="0" t="shared"/>
        <v>0.26924153372516096</v>
      </c>
      <c r="S12" s="48">
        <f si="1" t="shared"/>
        <v>0.35432409739714515</v>
      </c>
      <c r="T12" s="63">
        <f si="9" t="shared"/>
        <v>1</v>
      </c>
      <c r="U12" s="49">
        <f si="10" t="shared"/>
        <v>1997</v>
      </c>
      <c r="V12" s="52">
        <f si="11" t="shared"/>
        <v>0.26977788869478414</v>
      </c>
      <c r="W12" s="52">
        <f si="12" t="shared"/>
        <v>0.65734963813326674</v>
      </c>
      <c r="X12" s="52">
        <f si="2" t="shared"/>
        <v>0.3875717494384826</v>
      </c>
      <c r="Y12" s="52">
        <f si="3" t="shared"/>
        <v>0.34265036186673326</v>
      </c>
      <c r="Z12" s="63">
        <f si="13" t="shared"/>
        <v>1</v>
      </c>
      <c r="AA12" s="55">
        <f si="14" t="shared"/>
        <v>1997</v>
      </c>
      <c r="AB12" s="54">
        <f si="15" t="shared"/>
        <v>0.2876498176133403</v>
      </c>
      <c r="AC12" s="54">
        <f si="16" t="shared"/>
        <v>0.65242313705054711</v>
      </c>
      <c r="AD12" s="54">
        <f si="4" t="shared"/>
        <v>0.36477331943720681</v>
      </c>
      <c r="AE12" s="54">
        <f si="5" t="shared"/>
        <v>0.34757686294945289</v>
      </c>
      <c r="AF12" s="63">
        <f si="17" t="shared"/>
        <v>1</v>
      </c>
    </row>
    <row customHeight="1" ht="11.1" r="13" spans="1:32" x14ac:dyDescent="0.25">
      <c r="O13" s="45">
        <f si="6" t="shared"/>
        <v>1998</v>
      </c>
      <c r="P13" s="47">
        <f si="7" t="shared"/>
        <v>0.35964912280701755</v>
      </c>
      <c r="Q13" s="47">
        <f si="8" t="shared"/>
        <v>0.66589267285861709</v>
      </c>
      <c r="R13" s="48">
        <f si="0" t="shared"/>
        <v>0.30624355005159953</v>
      </c>
      <c r="S13" s="48">
        <f si="1" t="shared"/>
        <v>0.33410732714138291</v>
      </c>
      <c r="T13" s="63">
        <f si="9" t="shared"/>
        <v>1</v>
      </c>
      <c r="U13" s="49">
        <f si="10" t="shared"/>
        <v>1998</v>
      </c>
      <c r="V13" s="52">
        <f si="11" t="shared"/>
        <v>0.29236842105263156</v>
      </c>
      <c r="W13" s="52">
        <f si="12" t="shared"/>
        <v>0.66473684210526318</v>
      </c>
      <c r="X13" s="52">
        <f si="2" t="shared"/>
        <v>0.37236842105263163</v>
      </c>
      <c r="Y13" s="52">
        <f si="3" t="shared"/>
        <v>0.33526315789473676</v>
      </c>
      <c r="Z13" s="63">
        <f si="13" t="shared"/>
        <v>1</v>
      </c>
      <c r="AA13" s="55">
        <f si="14" t="shared"/>
        <v>1998</v>
      </c>
      <c r="AB13" s="54">
        <f si="15" t="shared"/>
        <v>0.29515640766902118</v>
      </c>
      <c r="AC13" s="54">
        <f si="16" t="shared"/>
        <v>0.64278506559031279</v>
      </c>
      <c r="AD13" s="54">
        <f si="4" t="shared"/>
        <v>0.34762865792129161</v>
      </c>
      <c r="AE13" s="54">
        <f si="5" t="shared"/>
        <v>0.35721493440968721</v>
      </c>
      <c r="AF13" s="63">
        <f si="17" t="shared"/>
        <v>1</v>
      </c>
    </row>
    <row customHeight="1" ht="11.1" r="14" spans="1:32" x14ac:dyDescent="0.25">
      <c r="O14" s="45">
        <f si="6" t="shared"/>
        <v>1999</v>
      </c>
      <c r="P14" s="47">
        <f si="7" t="shared"/>
        <v>0.37950360288230583</v>
      </c>
      <c r="Q14" s="47">
        <f si="8" t="shared"/>
        <v>0.66052842273819057</v>
      </c>
      <c r="R14" s="48">
        <f si="0" t="shared"/>
        <v>0.28102481985588473</v>
      </c>
      <c r="S14" s="48">
        <f si="1" t="shared"/>
        <v>0.33947157726180949</v>
      </c>
      <c r="T14" s="63">
        <f si="9" t="shared"/>
        <v>1</v>
      </c>
      <c r="U14" s="49">
        <f si="10" t="shared"/>
        <v>1999</v>
      </c>
      <c r="V14" s="52">
        <f si="11" t="shared"/>
        <v>0.313681592039801</v>
      </c>
      <c r="W14" s="52">
        <f si="12" t="shared"/>
        <v>0.68009950248756224</v>
      </c>
      <c r="X14" s="52">
        <f si="2" t="shared"/>
        <v>0.36641791044776123</v>
      </c>
      <c r="Y14" s="52">
        <f si="3" t="shared"/>
        <v>0.31990049751243782</v>
      </c>
      <c r="Z14" s="63">
        <f si="13" t="shared"/>
        <v>1</v>
      </c>
      <c r="AA14" s="55">
        <f si="14" t="shared"/>
        <v>1999</v>
      </c>
      <c r="AB14" s="54">
        <f si="15" t="shared"/>
        <v>0.3352165725047081</v>
      </c>
      <c r="AC14" s="54">
        <f si="16" t="shared"/>
        <v>0.64971751412429379</v>
      </c>
      <c r="AD14" s="54">
        <f si="4" t="shared"/>
        <v>0.31450094161958569</v>
      </c>
      <c r="AE14" s="54">
        <f si="5" t="shared"/>
        <v>0.35028248587570626</v>
      </c>
      <c r="AF14" s="63">
        <f si="17" t="shared"/>
        <v>1</v>
      </c>
    </row>
    <row customHeight="1" ht="11.1" r="15" spans="1:32" x14ac:dyDescent="0.25">
      <c r="O15" s="45">
        <f si="6" t="shared"/>
        <v>2000</v>
      </c>
      <c r="P15" s="47">
        <f si="7" t="shared"/>
        <v>0.39539347408829173</v>
      </c>
      <c r="Q15" s="47">
        <f si="8" t="shared"/>
        <v>0.65505895256375102</v>
      </c>
      <c r="R15" s="48">
        <f si="0" t="shared"/>
        <v>0.25966547847545929</v>
      </c>
      <c r="S15" s="48">
        <f si="1" t="shared"/>
        <v>0.34494104743624898</v>
      </c>
      <c r="T15" s="63">
        <f si="9" t="shared"/>
        <v>1</v>
      </c>
      <c r="U15" s="49">
        <f si="10" t="shared"/>
        <v>2000</v>
      </c>
      <c r="V15" s="52">
        <f si="11" t="shared"/>
        <v>0.31219398461179765</v>
      </c>
      <c r="W15" s="52">
        <f si="12" t="shared"/>
        <v>0.65796222895779899</v>
      </c>
      <c r="X15" s="52">
        <f si="2" t="shared"/>
        <v>0.34576824434600134</v>
      </c>
      <c r="Y15" s="52">
        <f si="3" t="shared"/>
        <v>0.34203777104220107</v>
      </c>
      <c r="Z15" s="63">
        <f si="13" t="shared"/>
        <v>1</v>
      </c>
      <c r="AA15" s="55">
        <f si="14" t="shared"/>
        <v>2000</v>
      </c>
      <c r="AB15" s="54">
        <f si="15" t="shared"/>
        <v>0.34145241317095176</v>
      </c>
      <c r="AC15" s="54">
        <f si="16" t="shared"/>
        <v>0.67253044654939109</v>
      </c>
      <c r="AD15" s="54">
        <f si="4" t="shared"/>
        <v>0.33107803337843933</v>
      </c>
      <c r="AE15" s="54">
        <f si="5" t="shared"/>
        <v>0.32746955345060891</v>
      </c>
      <c r="AF15" s="63">
        <f si="17" t="shared"/>
        <v>1</v>
      </c>
    </row>
    <row customHeight="1" ht="11.1" r="16" spans="1:32" x14ac:dyDescent="0.25">
      <c r="O16" s="45">
        <f si="6" t="shared"/>
        <v>2001</v>
      </c>
      <c r="P16" s="47">
        <f si="7" t="shared"/>
        <v>0.39592875318066156</v>
      </c>
      <c r="Q16" s="47">
        <f si="8" t="shared"/>
        <v>0.65877862595419845</v>
      </c>
      <c r="R16" s="48">
        <f si="0" t="shared"/>
        <v>0.26284987277353689</v>
      </c>
      <c r="S16" s="48">
        <f si="1" t="shared"/>
        <v>0.34122137404580155</v>
      </c>
      <c r="T16" s="63">
        <f si="9" t="shared"/>
        <v>1</v>
      </c>
      <c r="U16" s="49">
        <f si="10" t="shared"/>
        <v>2001</v>
      </c>
      <c r="V16" s="52">
        <f si="11" t="shared"/>
        <v>0.31818181818181818</v>
      </c>
      <c r="W16" s="52">
        <f si="12" t="shared"/>
        <v>0.65637233579817311</v>
      </c>
      <c r="X16" s="52">
        <f si="2" t="shared"/>
        <v>0.33819051761635494</v>
      </c>
      <c r="Y16" s="52">
        <f si="3" t="shared"/>
        <v>0.34362766420182694</v>
      </c>
      <c r="Z16" s="63">
        <f si="13" t="shared"/>
        <v>1</v>
      </c>
      <c r="AA16" s="55">
        <f si="14" t="shared"/>
        <v>2001</v>
      </c>
      <c r="AB16" s="54">
        <f si="15" t="shared"/>
        <v>0.32461240310077522</v>
      </c>
      <c r="AC16" s="54">
        <f si="16" t="shared"/>
        <v>0.6531007751937985</v>
      </c>
      <c r="AD16" s="54">
        <f si="4" t="shared"/>
        <v>0.32848837209302328</v>
      </c>
      <c r="AE16" s="54">
        <f si="5" t="shared"/>
        <v>0.3468992248062015</v>
      </c>
      <c r="AF16" s="63">
        <f si="17" t="shared"/>
        <v>1</v>
      </c>
    </row>
    <row customHeight="1" ht="11.1" r="17" spans="1:37" x14ac:dyDescent="0.25">
      <c r="O17" s="45">
        <f si="6" t="shared"/>
        <v>2002</v>
      </c>
      <c r="P17" s="47">
        <f si="7" t="shared"/>
        <v>0.40468635587014889</v>
      </c>
      <c r="Q17" s="47">
        <f si="8" t="shared"/>
        <v>0.66048328044910909</v>
      </c>
      <c r="R17" s="48">
        <f si="0" t="shared"/>
        <v>0.25579692457896019</v>
      </c>
      <c r="S17" s="48">
        <f si="1" t="shared"/>
        <v>0.33951671955089091</v>
      </c>
      <c r="T17" s="63">
        <f si="9" t="shared"/>
        <v>1</v>
      </c>
      <c r="U17" s="49">
        <f si="10" t="shared"/>
        <v>2002</v>
      </c>
      <c r="V17" s="52">
        <f si="11" t="shared"/>
        <v>0.33573314134869209</v>
      </c>
      <c r="W17" s="52">
        <f si="12" t="shared"/>
        <v>0.67362610991120708</v>
      </c>
      <c r="X17" s="52">
        <f si="2" t="shared"/>
        <v>0.33789296856251499</v>
      </c>
      <c r="Y17" s="52">
        <f si="3" t="shared"/>
        <v>0.32637389008879297</v>
      </c>
      <c r="Z17" s="63">
        <f si="13" t="shared"/>
        <v>1</v>
      </c>
      <c r="AA17" s="55">
        <f si="14" t="shared"/>
        <v>2002</v>
      </c>
      <c r="AB17" s="54">
        <f si="15" t="shared"/>
        <v>0.33644346871569702</v>
      </c>
      <c r="AC17" s="54">
        <f si="16" t="shared"/>
        <v>0.63062568605927549</v>
      </c>
      <c r="AD17" s="54">
        <f si="4" t="shared"/>
        <v>0.29418221734357847</v>
      </c>
      <c r="AE17" s="54">
        <f si="5" t="shared"/>
        <v>0.36937431394072456</v>
      </c>
      <c r="AF17" s="63">
        <f si="17" t="shared"/>
        <v>1</v>
      </c>
    </row>
    <row customHeight="1" ht="11.1" r="18" spans="1:37" x14ac:dyDescent="0.25">
      <c r="O18" s="45">
        <f si="6" t="shared"/>
        <v>2003</v>
      </c>
      <c r="P18" s="47">
        <f si="7" t="shared"/>
        <v>0.42301980198019801</v>
      </c>
      <c r="Q18" s="47">
        <f si="8" t="shared"/>
        <v>0.69084158415841579</v>
      </c>
      <c r="R18" s="48">
        <f si="0" t="shared"/>
        <v>0.26782178217821778</v>
      </c>
      <c r="S18" s="48">
        <f si="1" t="shared"/>
        <v>0.30915841584158416</v>
      </c>
      <c r="T18" s="63">
        <f si="9" t="shared"/>
        <v>1</v>
      </c>
      <c r="U18" s="49">
        <f si="10" t="shared"/>
        <v>2003</v>
      </c>
      <c r="V18" s="52">
        <f si="11" t="shared"/>
        <v>0.35336787564766842</v>
      </c>
      <c r="W18" s="52">
        <f si="12" t="shared"/>
        <v>0.69326424870466319</v>
      </c>
      <c r="X18" s="52">
        <f si="2" t="shared"/>
        <v>0.33989637305699477</v>
      </c>
      <c r="Y18" s="52">
        <f si="3" t="shared"/>
        <v>0.30673575129533676</v>
      </c>
      <c r="Z18" s="63">
        <f si="13" t="shared"/>
        <v>1</v>
      </c>
      <c r="AA18" s="55">
        <f si="14" t="shared"/>
        <v>2003</v>
      </c>
      <c r="AB18" s="54">
        <f si="15" t="shared"/>
        <v>0.35632183908045978</v>
      </c>
      <c r="AC18" s="54">
        <f si="16" t="shared"/>
        <v>0.66896551724137931</v>
      </c>
      <c r="AD18" s="54">
        <f si="4" t="shared"/>
        <v>0.31264367816091954</v>
      </c>
      <c r="AE18" s="54">
        <f si="5" t="shared"/>
        <v>0.33103448275862069</v>
      </c>
      <c r="AF18" s="63">
        <f si="17" t="shared"/>
        <v>1</v>
      </c>
    </row>
    <row customHeight="1" ht="11.1" r="19" spans="1:37" x14ac:dyDescent="0.25">
      <c r="O19" s="45">
        <f si="6" t="shared"/>
        <v>2004</v>
      </c>
      <c r="P19" s="47">
        <f si="7" t="shared"/>
        <v>0.44173782019085889</v>
      </c>
      <c r="Q19" s="47">
        <f si="8" t="shared"/>
        <v>0.69563033651431438</v>
      </c>
      <c r="R19" s="48">
        <f si="0" t="shared"/>
        <v>0.2538925163234555</v>
      </c>
      <c r="S19" s="48">
        <f si="1" t="shared"/>
        <v>0.30436966348568556</v>
      </c>
      <c r="T19" s="63">
        <f si="9" t="shared"/>
        <v>1</v>
      </c>
      <c r="U19" s="49">
        <f si="10" t="shared"/>
        <v>2004</v>
      </c>
      <c r="V19" s="52">
        <f si="11" t="shared"/>
        <v>0.36690255851932496</v>
      </c>
      <c r="W19" s="52">
        <f si="12" t="shared"/>
        <v>0.70223189983669021</v>
      </c>
      <c r="X19" s="52">
        <f si="2" t="shared"/>
        <v>0.33532934131736525</v>
      </c>
      <c r="Y19" s="52">
        <f si="3" t="shared"/>
        <v>0.29776810016330979</v>
      </c>
      <c r="Z19" s="63">
        <f si="13" t="shared"/>
        <v>1</v>
      </c>
      <c r="AA19" s="55">
        <f si="14" t="shared"/>
        <v>2004</v>
      </c>
      <c r="AB19" s="54">
        <f si="15" t="shared"/>
        <v>0.35532687651331718</v>
      </c>
      <c r="AC19" s="54">
        <f si="16" t="shared"/>
        <v>0.67554479418886193</v>
      </c>
      <c r="AD19" s="54">
        <f si="4" t="shared"/>
        <v>0.32021791767554475</v>
      </c>
      <c r="AE19" s="54">
        <f si="5" t="shared"/>
        <v>0.32445520581113807</v>
      </c>
      <c r="AF19" s="63">
        <f si="17" t="shared"/>
        <v>1</v>
      </c>
    </row>
    <row customHeight="1" ht="11.1" r="20" spans="1:37" x14ac:dyDescent="0.25">
      <c r="O20" s="45">
        <f si="6" t="shared"/>
        <v>2005</v>
      </c>
      <c r="P20" s="47">
        <f si="7" t="shared"/>
        <v>0.46987951807228917</v>
      </c>
      <c r="Q20" s="47">
        <f si="8" t="shared"/>
        <v>0.70822420115243578</v>
      </c>
      <c r="R20" s="48">
        <f si="0" t="shared"/>
        <v>0.23834468308014661</v>
      </c>
      <c r="S20" s="48">
        <f si="1" t="shared"/>
        <v>0.29177579884756427</v>
      </c>
      <c r="T20" s="63">
        <f si="9" t="shared"/>
        <v>1</v>
      </c>
      <c r="U20" s="49">
        <f si="10" t="shared"/>
        <v>2005</v>
      </c>
      <c r="V20" s="52">
        <f si="11" t="shared"/>
        <v>0.33324432576769025</v>
      </c>
      <c r="W20" s="52">
        <f si="12" t="shared"/>
        <v>0.67369826435246993</v>
      </c>
      <c r="X20" s="52">
        <f si="2" t="shared"/>
        <v>0.34045393858477968</v>
      </c>
      <c r="Y20" s="52">
        <f si="3" t="shared"/>
        <v>0.32630173564753007</v>
      </c>
      <c r="Z20" s="63">
        <f si="13" t="shared"/>
        <v>1</v>
      </c>
      <c r="AA20" s="55">
        <f si="14" t="shared"/>
        <v>2005</v>
      </c>
      <c r="AB20" s="54">
        <f si="15" t="shared"/>
        <v>0.36503248670998228</v>
      </c>
      <c r="AC20" s="54">
        <f si="16" t="shared"/>
        <v>0.66745422327229764</v>
      </c>
      <c r="AD20" s="54">
        <f si="4" t="shared"/>
        <v>0.30242173656231536</v>
      </c>
      <c r="AE20" s="54">
        <f si="5" t="shared"/>
        <v>0.3325457767277023</v>
      </c>
      <c r="AF20" s="63">
        <f si="17" t="shared"/>
        <v>1</v>
      </c>
    </row>
    <row customHeight="1" ht="11.1" r="21" spans="1:37" x14ac:dyDescent="0.25">
      <c r="O21" s="45">
        <f si="6" t="shared"/>
        <v>2006</v>
      </c>
      <c r="P21" s="47">
        <f si="7" t="shared"/>
        <v>0.46875</v>
      </c>
      <c r="Q21" s="47">
        <f si="8" t="shared"/>
        <v>0.69807330827067671</v>
      </c>
      <c r="R21" s="48">
        <f si="0" t="shared"/>
        <v>0.22932330827067671</v>
      </c>
      <c r="S21" s="48">
        <f si="1" t="shared"/>
        <v>0.30192669172932329</v>
      </c>
      <c r="T21" s="63">
        <f si="9" t="shared"/>
        <v>1</v>
      </c>
      <c r="U21" s="49">
        <f si="10" t="shared"/>
        <v>2006</v>
      </c>
      <c r="V21" s="52">
        <f si="11" t="shared"/>
        <v>0.38588056680161942</v>
      </c>
      <c r="W21" s="52">
        <f si="12" t="shared"/>
        <v>0.70445344129554655</v>
      </c>
      <c r="X21" s="52">
        <f si="2" t="shared"/>
        <v>0.31857287449392713</v>
      </c>
      <c r="Y21" s="52">
        <f si="3" t="shared"/>
        <v>0.29554655870445345</v>
      </c>
      <c r="Z21" s="63">
        <f si="13" t="shared"/>
        <v>1</v>
      </c>
      <c r="AA21" s="55">
        <f si="14" t="shared"/>
        <v>2006</v>
      </c>
      <c r="AB21" s="54">
        <f si="15" t="shared"/>
        <v>0.38479809976247031</v>
      </c>
      <c r="AC21" s="54">
        <f si="16" t="shared"/>
        <v>0.66330166270783852</v>
      </c>
      <c r="AD21" s="54">
        <f si="4" t="shared"/>
        <v>0.27850356294536821</v>
      </c>
      <c r="AE21" s="54">
        <f si="5" t="shared"/>
        <v>0.33669833729216142</v>
      </c>
      <c r="AF21" s="63">
        <f si="17" t="shared"/>
        <v>1</v>
      </c>
    </row>
    <row customHeight="1" ht="11.1" r="22" spans="1:37" x14ac:dyDescent="0.25">
      <c r="O22" s="45">
        <f si="6" t="shared"/>
        <v>2007</v>
      </c>
      <c r="P22" s="47">
        <f si="7" t="shared"/>
        <v>0.47472372442981425</v>
      </c>
      <c r="Q22" s="47">
        <f si="8" t="shared"/>
        <v>0.69621443686809314</v>
      </c>
      <c r="R22" s="48">
        <f si="0" t="shared"/>
        <v>0.22149071243827889</v>
      </c>
      <c r="S22" s="48">
        <f si="1" t="shared"/>
        <v>0.30378556313190686</v>
      </c>
      <c r="T22" s="63">
        <f si="9" t="shared"/>
        <v>1</v>
      </c>
      <c r="U22" s="49">
        <f si="10" t="shared"/>
        <v>2007</v>
      </c>
      <c r="V22" s="52">
        <f si="11" t="shared"/>
        <v>0.37581093605189991</v>
      </c>
      <c r="W22" s="52">
        <f si="12" t="shared"/>
        <v>0.67956441149212232</v>
      </c>
      <c r="X22" s="52">
        <f si="2" t="shared"/>
        <v>0.30375347544022241</v>
      </c>
      <c r="Y22" s="52">
        <f si="3" t="shared"/>
        <v>0.32043558850787762</v>
      </c>
      <c r="Z22" s="63">
        <f si="13" t="shared"/>
        <v>1</v>
      </c>
      <c r="AA22" s="55">
        <f si="14" t="shared"/>
        <v>2007</v>
      </c>
      <c r="AB22" s="54">
        <f si="15" t="shared"/>
        <v>0.36836628511966701</v>
      </c>
      <c r="AC22" s="54">
        <f si="16" t="shared"/>
        <v>0.66493236212278872</v>
      </c>
      <c r="AD22" s="54">
        <f si="4" t="shared"/>
        <v>0.29656607700312171</v>
      </c>
      <c r="AE22" s="54">
        <f si="5" t="shared"/>
        <v>0.33506763787721122</v>
      </c>
      <c r="AF22" s="63">
        <f si="17" t="shared"/>
        <v>1</v>
      </c>
    </row>
    <row ht="15.75" r="23" spans="1:37" x14ac:dyDescent="0.25">
      <c r="A23" s="56" t="s">
        <v>60</v>
      </c>
      <c r="O23" s="45">
        <f si="6" t="shared"/>
        <v>2008</v>
      </c>
      <c r="P23" s="47">
        <f si="7" t="shared"/>
        <v>0.48254423720707795</v>
      </c>
      <c r="Q23" s="47">
        <f si="8" t="shared"/>
        <v>0.70038259206121478</v>
      </c>
      <c r="R23" s="48">
        <f si="0" t="shared"/>
        <v>0.21783835485413683</v>
      </c>
      <c r="S23" s="48">
        <f si="1" t="shared"/>
        <v>0.29961740793878522</v>
      </c>
      <c r="T23" s="63">
        <f si="9" t="shared"/>
        <v>1</v>
      </c>
      <c r="U23" s="49">
        <f si="10" t="shared"/>
        <v>2008</v>
      </c>
      <c r="V23" s="52">
        <f si="11" t="shared"/>
        <v>0.39465547703180209</v>
      </c>
      <c r="W23" s="52">
        <f si="12" t="shared"/>
        <v>0.68926678445229683</v>
      </c>
      <c r="X23" s="52">
        <f si="2" t="shared"/>
        <v>0.29461130742049474</v>
      </c>
      <c r="Y23" s="52">
        <f si="3" t="shared"/>
        <v>0.31073321554770311</v>
      </c>
      <c r="Z23" s="63">
        <f si="13" t="shared"/>
        <v>1</v>
      </c>
      <c r="AA23" s="55">
        <f si="14" t="shared"/>
        <v>2008</v>
      </c>
      <c r="AB23" s="54">
        <f si="15" t="shared"/>
        <v>0.37803643724696356</v>
      </c>
      <c r="AC23" s="54">
        <f si="16" t="shared"/>
        <v>0.63815789473684215</v>
      </c>
      <c r="AD23" s="54">
        <f si="4" t="shared"/>
        <v>0.26012145748987858</v>
      </c>
      <c r="AE23" s="54">
        <f si="5" t="shared"/>
        <v>0.36184210526315785</v>
      </c>
      <c r="AF23" s="63">
        <f si="17" t="shared"/>
        <v>1</v>
      </c>
    </row>
    <row customHeight="1" ht="11.1" r="24" spans="1:37" x14ac:dyDescent="0.25">
      <c r="O24" s="45">
        <f si="6" t="shared"/>
        <v>2009</v>
      </c>
      <c r="P24" s="47">
        <f si="7" t="shared"/>
        <v>0.51098901098901095</v>
      </c>
      <c r="Q24" s="47">
        <f si="8" t="shared"/>
        <v>0.72077922077922074</v>
      </c>
      <c r="R24" s="48">
        <f si="0" t="shared"/>
        <v>0.20979020979020979</v>
      </c>
      <c r="S24" s="48">
        <f si="1" t="shared"/>
        <v>0.27922077922077926</v>
      </c>
      <c r="T24" s="63">
        <f si="9" t="shared"/>
        <v>1</v>
      </c>
      <c r="U24" s="49">
        <f si="10" t="shared"/>
        <v>2009</v>
      </c>
      <c r="V24" s="52">
        <f si="11" t="shared"/>
        <v>0.40671296296296294</v>
      </c>
      <c r="W24" s="52">
        <f si="12" t="shared"/>
        <v>0.71365740740740746</v>
      </c>
      <c r="X24" s="52">
        <f si="2" t="shared"/>
        <v>0.30694444444444452</v>
      </c>
      <c r="Y24" s="52">
        <f si="3" t="shared"/>
        <v>0.28634259259259259</v>
      </c>
      <c r="Z24" s="63">
        <f si="13" t="shared"/>
        <v>1</v>
      </c>
      <c r="AA24" s="55">
        <f si="14" t="shared"/>
        <v>2009</v>
      </c>
      <c r="AB24" s="54">
        <f si="15" t="shared"/>
        <v>0.37610850286906627</v>
      </c>
      <c r="AC24" s="54">
        <f si="16" t="shared"/>
        <v>0.676056338028169</v>
      </c>
      <c r="AD24" s="54">
        <f si="4" t="shared"/>
        <v>0.29994783515910273</v>
      </c>
      <c r="AE24" s="54">
        <f si="5" t="shared"/>
        <v>0.323943661971831</v>
      </c>
      <c r="AF24" s="63">
        <f si="17" t="shared"/>
        <v>1</v>
      </c>
    </row>
    <row customHeight="1" ht="11.1" r="25" spans="1:37" x14ac:dyDescent="0.25">
      <c r="O25" s="45">
        <f si="6" t="shared"/>
        <v>2010</v>
      </c>
      <c r="P25" s="47">
        <f si="7" t="shared"/>
        <v>0.50931119587166251</v>
      </c>
      <c r="Q25" s="47">
        <f si="8" t="shared"/>
        <v>0.71819609602871892</v>
      </c>
      <c r="R25" s="48">
        <f si="0" t="shared"/>
        <v>0.20888490015705641</v>
      </c>
      <c r="S25" s="48">
        <f si="1" t="shared"/>
        <v>0.28180390397128108</v>
      </c>
      <c r="T25" s="63">
        <f si="9" t="shared"/>
        <v>1</v>
      </c>
      <c r="U25" s="49">
        <f si="10" t="shared"/>
        <v>2010</v>
      </c>
      <c r="V25" s="52">
        <f si="11" t="shared"/>
        <v>0.43203883495145629</v>
      </c>
      <c r="W25" s="52">
        <f si="12" t="shared"/>
        <v>0.74117387466902029</v>
      </c>
      <c r="X25" s="52">
        <f si="2" t="shared"/>
        <v>0.30913503971756401</v>
      </c>
      <c r="Y25" s="52">
        <f si="3" t="shared"/>
        <v>0.25882612533097965</v>
      </c>
      <c r="Z25" s="63">
        <f si="13" t="shared"/>
        <v>1</v>
      </c>
      <c r="AA25" s="55">
        <f si="14" t="shared"/>
        <v>2010</v>
      </c>
      <c r="AB25" s="54">
        <f si="15" t="shared"/>
        <v>0.39245087900723891</v>
      </c>
      <c r="AC25" s="54">
        <f si="16" t="shared"/>
        <v>0.65046535677352635</v>
      </c>
      <c r="AD25" s="54">
        <f si="4" t="shared"/>
        <v>0.25801447776628744</v>
      </c>
      <c r="AE25" s="54">
        <f si="5" t="shared"/>
        <v>0.34953464322647371</v>
      </c>
      <c r="AF25" s="63">
        <f si="17" t="shared"/>
        <v>1</v>
      </c>
    </row>
    <row customHeight="1" ht="11.1" r="26" spans="1:37" x14ac:dyDescent="0.25">
      <c r="O26" s="45">
        <f si="6" t="shared"/>
        <v>2011</v>
      </c>
      <c r="P26" s="47">
        <f si="7" t="shared"/>
        <v>0.53530340627114825</v>
      </c>
      <c r="Q26" s="47">
        <f si="8" t="shared"/>
        <v>0.73539363861944507</v>
      </c>
      <c r="R26" s="48">
        <f si="0" t="shared"/>
        <v>0.20009023234829681</v>
      </c>
      <c r="S26" s="48">
        <f si="1" t="shared"/>
        <v>0.26460636138055493</v>
      </c>
      <c r="T26" s="63">
        <f si="9" t="shared"/>
        <v>1</v>
      </c>
      <c r="U26" s="49">
        <f si="10" t="shared"/>
        <v>2011</v>
      </c>
      <c r="V26" s="52">
        <f si="11" t="shared"/>
        <v>0.43619350985466854</v>
      </c>
      <c r="W26" s="52">
        <f si="12" t="shared"/>
        <v>0.73123631296038227</v>
      </c>
      <c r="X26" s="52">
        <f si="2" t="shared"/>
        <v>0.29504280310571374</v>
      </c>
      <c r="Y26" s="52">
        <f si="3" t="shared"/>
        <v>0.26876368703961773</v>
      </c>
      <c r="Z26" s="63">
        <f si="13" t="shared"/>
        <v>1</v>
      </c>
      <c r="AA26" s="55">
        <f si="14" t="shared"/>
        <v>2011</v>
      </c>
      <c r="AB26" s="54">
        <f si="15" t="shared"/>
        <v>0.39852398523985239</v>
      </c>
      <c r="AC26" s="54">
        <f si="16" t="shared"/>
        <v>0.67316816025303106</v>
      </c>
      <c r="AD26" s="54">
        <f si="4" t="shared"/>
        <v>0.27464417501317867</v>
      </c>
      <c r="AE26" s="54">
        <f si="5" t="shared"/>
        <v>0.32683183974696889</v>
      </c>
      <c r="AF26" s="63">
        <f si="17" t="shared"/>
        <v>1</v>
      </c>
    </row>
    <row customHeight="1" ht="11.1" r="27" spans="1:37" x14ac:dyDescent="0.25">
      <c r="T27" s="63"/>
      <c r="Z27" s="63"/>
      <c r="AF27" s="63"/>
    </row>
    <row customHeight="1" ht="11.1" r="28" spans="1:37" x14ac:dyDescent="0.25">
      <c r="T28" s="63"/>
      <c r="Z28" s="63"/>
      <c r="AF28" s="63"/>
      <c r="AH28" s="43"/>
      <c r="AI28" s="43"/>
      <c r="AJ28" s="43"/>
      <c r="AK28" s="43"/>
    </row>
    <row customHeight="1" ht="11.1" r="29" spans="1:37" x14ac:dyDescent="0.25">
      <c r="T29" s="63"/>
      <c r="Z29" s="63"/>
      <c r="AF29" s="63"/>
      <c r="AH29" s="43"/>
      <c r="AI29" s="43"/>
      <c r="AJ29" s="43"/>
      <c r="AK29" s="43"/>
    </row>
    <row customHeight="1" ht="11.1" r="30" spans="1:37" x14ac:dyDescent="0.25">
      <c r="T30" s="63"/>
      <c r="Z30" s="63"/>
      <c r="AF30" s="63"/>
      <c r="AH30" s="43"/>
      <c r="AI30" s="43"/>
      <c r="AJ30" s="43"/>
      <c r="AK30" s="43"/>
    </row>
    <row customHeight="1" ht="11.1" r="31" spans="1:37" x14ac:dyDescent="0.25">
      <c r="T31" s="63"/>
      <c r="Z31" s="63"/>
      <c r="AF31" s="63"/>
      <c r="AH31" s="43"/>
      <c r="AI31" s="43"/>
      <c r="AJ31" s="43"/>
      <c r="AK31" s="43"/>
    </row>
    <row customHeight="1" ht="11.1" r="32" spans="1:37" x14ac:dyDescent="0.25">
      <c r="T32" s="63"/>
      <c r="Z32" s="63"/>
      <c r="AF32" s="63"/>
      <c r="AH32" s="43"/>
      <c r="AI32" s="43"/>
      <c r="AJ32" s="43"/>
      <c r="AK32" s="43"/>
    </row>
    <row customHeight="1" ht="11.1" r="33" spans="1:37" x14ac:dyDescent="0.25">
      <c r="AH33" s="43"/>
      <c r="AI33" s="43"/>
      <c r="AJ33" s="43"/>
      <c r="AK33" s="43"/>
    </row>
    <row customHeight="1" ht="11.1" r="34" spans="1:37" x14ac:dyDescent="0.25">
      <c r="AH34" s="43"/>
      <c r="AI34" s="43"/>
      <c r="AJ34" s="43"/>
      <c r="AK34" s="43"/>
    </row>
    <row customHeight="1" ht="11.1" r="35" spans="1:37" x14ac:dyDescent="0.25">
      <c r="AH35" s="43"/>
      <c r="AI35" s="43"/>
      <c r="AJ35" s="43"/>
      <c r="AK35" s="43"/>
    </row>
    <row customHeight="1" ht="11.1" r="36" spans="1:37" x14ac:dyDescent="0.25">
      <c r="N36" s="69" t="s">
        <v>53</v>
      </c>
      <c r="O36" s="69"/>
      <c r="P36" s="69"/>
      <c r="Q36" s="69"/>
      <c r="AH36" s="43"/>
      <c r="AI36" s="43"/>
      <c r="AJ36" s="43"/>
      <c r="AK36" s="43"/>
    </row>
    <row customHeight="1" ht="11.1" r="37" spans="1:37" x14ac:dyDescent="0.25">
      <c r="N37" s="69"/>
      <c r="O37" s="69"/>
      <c r="P37" s="69"/>
      <c r="Q37" s="69"/>
      <c r="AH37" s="43"/>
      <c r="AI37" s="43"/>
      <c r="AJ37" s="43"/>
      <c r="AK37" s="43"/>
    </row>
    <row customHeight="1" ht="11.1" r="38" spans="1:37" x14ac:dyDescent="0.25">
      <c r="P38" s="51" t="s">
        <v>37</v>
      </c>
      <c r="Q38" s="51" t="s">
        <v>38</v>
      </c>
      <c r="R38" s="51" t="s">
        <v>36</v>
      </c>
      <c r="S38" s="51"/>
      <c r="T38" s="63"/>
      <c r="U38" s="51"/>
      <c r="V38" s="51" t="s">
        <v>35</v>
      </c>
      <c r="W38" s="51" t="s">
        <v>42</v>
      </c>
      <c r="X38" s="51" t="s">
        <v>34</v>
      </c>
      <c r="Y38" s="51"/>
      <c r="Z38" s="63"/>
      <c r="AA38" s="51"/>
      <c r="AB38" s="51" t="s">
        <v>40</v>
      </c>
      <c r="AC38" s="51" t="s">
        <v>41</v>
      </c>
      <c r="AD38" s="51" t="s">
        <v>39</v>
      </c>
      <c r="AF38" s="63"/>
      <c r="AH38" s="43"/>
      <c r="AI38" s="43"/>
      <c r="AJ38" s="43"/>
      <c r="AK38" s="43"/>
    </row>
    <row customHeight="1" ht="11.1" r="39" spans="1:37" x14ac:dyDescent="0.25">
      <c r="N39" s="44" t="s">
        <v>51</v>
      </c>
      <c r="O39" s="44" t="s">
        <v>48</v>
      </c>
      <c r="P39" s="44" t="s">
        <v>49</v>
      </c>
      <c r="Q39" s="44" t="s">
        <v>50</v>
      </c>
      <c r="R39" s="44" t="s">
        <v>47</v>
      </c>
      <c r="V39" s="44" t="s">
        <v>49</v>
      </c>
      <c r="W39" s="44" t="s">
        <v>50</v>
      </c>
      <c r="X39" s="44" t="s">
        <v>47</v>
      </c>
      <c r="AB39" s="44" t="s">
        <v>49</v>
      </c>
      <c r="AC39" s="44" t="s">
        <v>50</v>
      </c>
      <c r="AD39" s="44" t="s">
        <v>47</v>
      </c>
      <c r="AH39" s="43"/>
      <c r="AI39" s="43"/>
      <c r="AJ39" s="43"/>
      <c r="AK39" s="43"/>
    </row>
    <row customHeight="1" ht="11.1" r="40" spans="1:37" x14ac:dyDescent="0.25">
      <c r="N40" s="44">
        <f>COUNT(Data!A:A)</f>
        <v>24</v>
      </c>
      <c r="O40" s="44">
        <f>LARGE(Data!A:A,Factbook!N40)</f>
        <v>1988</v>
      </c>
      <c r="P40" s="44">
        <f>INDEX(Data!$A:$J,MATCH(Factbook!$O40,Data!$A:$A,0),MATCH(Factbook!P$38,Data!$A$1:$J$1,0))</f>
        <v>1099</v>
      </c>
      <c r="Q40" s="44">
        <f>INDEX(Data!$A:$J,MATCH(Factbook!$O40,Data!$A:$A,0),MATCH(Factbook!Q$38,Data!$A$1:$J$1,0))</f>
        <v>2208</v>
      </c>
      <c r="R40" s="44">
        <f>INDEX(Data!$A:$J,MATCH(Factbook!$O40,Data!$A:$A,0),MATCH(Factbook!R$38,Data!$A$1:$J$1,0))</f>
        <v>3610</v>
      </c>
      <c r="V40" s="44">
        <f>INDEX(Data!$A:$J,MATCH(Factbook!$O40,Data!$A:$A,0),MATCH(Factbook!V$38,Data!$A$1:$J$1,0))</f>
        <v>806</v>
      </c>
      <c r="W40" s="44">
        <f>INDEX(Data!$A:$J,MATCH(Factbook!$O40,Data!$A:$A,0),MATCH(Factbook!W$38,Data!$A$1:$J$1,0))</f>
        <v>2381</v>
      </c>
      <c r="X40" s="44">
        <f>INDEX(Data!$A:$J,MATCH(Factbook!$O40,Data!$A:$A,0),MATCH(Factbook!X$38,Data!$A$1:$J$1,0))</f>
        <v>3744</v>
      </c>
      <c r="AB40" s="44">
        <f>INDEX(Data!$A:$J,MATCH(Factbook!$O40,Data!$A:$A,0),MATCH(Factbook!AB$38,Data!$A$1:$J$1,0))</f>
        <v>527</v>
      </c>
      <c r="AC40" s="44">
        <f>INDEX(Data!$A:$J,MATCH(Factbook!$O40,Data!$A:$A,0),MATCH(Factbook!AC$38,Data!$A$1:$J$1,0))</f>
        <v>1146</v>
      </c>
      <c r="AD40" s="44">
        <f>INDEX(Data!$A:$J,MATCH(Factbook!$O40,Data!$A:$A,0),MATCH(Factbook!AD$38,Data!$A$1:$J$1,0))</f>
        <v>1898</v>
      </c>
      <c r="AH40" s="43"/>
      <c r="AI40" s="43"/>
      <c r="AJ40" s="43"/>
      <c r="AK40" s="43"/>
    </row>
    <row customHeight="1" ht="11.1" r="41" spans="1:37" x14ac:dyDescent="0.25">
      <c r="N41" s="44">
        <f>N40-1</f>
        <v>23</v>
      </c>
      <c r="O41" s="44">
        <f>LARGE(Data!A:A,Factbook!N41)</f>
        <v>1989</v>
      </c>
      <c r="P41" s="44">
        <f>INDEX(Data!$A:$J,MATCH(Factbook!$O41,Data!$A:$A,0),MATCH(Factbook!P$38,Data!$A$1:$J$1,0))</f>
        <v>1027</v>
      </c>
      <c r="Q41" s="44">
        <f>INDEX(Data!$A:$J,MATCH(Factbook!$O41,Data!$A:$A,0),MATCH(Factbook!Q$38,Data!$A$1:$J$1,0))</f>
        <v>2039</v>
      </c>
      <c r="R41" s="44">
        <f>INDEX(Data!$A:$J,MATCH(Factbook!$O41,Data!$A:$A,0),MATCH(Factbook!R$38,Data!$A$1:$J$1,0))</f>
        <v>3348</v>
      </c>
      <c r="V41" s="44">
        <f>INDEX(Data!$A:$J,MATCH(Factbook!$O41,Data!$A:$A,0),MATCH(Factbook!V$38,Data!$A$1:$J$1,0))</f>
        <v>763</v>
      </c>
      <c r="W41" s="44">
        <f>INDEX(Data!$A:$J,MATCH(Factbook!$O41,Data!$A:$A,0),MATCH(Factbook!W$38,Data!$A$1:$J$1,0))</f>
        <v>2312</v>
      </c>
      <c r="X41" s="44">
        <f>INDEX(Data!$A:$J,MATCH(Factbook!$O41,Data!$A:$A,0),MATCH(Factbook!X$38,Data!$A$1:$J$1,0))</f>
        <v>3751</v>
      </c>
      <c r="AB41" s="44">
        <f>INDEX(Data!$A:$J,MATCH(Factbook!$O41,Data!$A:$A,0),MATCH(Factbook!AB$38,Data!$A$1:$J$1,0))</f>
        <v>489</v>
      </c>
      <c r="AC41" s="44">
        <f>INDEX(Data!$A:$J,MATCH(Factbook!$O41,Data!$A:$A,0),MATCH(Factbook!AC$38,Data!$A$1:$J$1,0))</f>
        <v>1217</v>
      </c>
      <c r="AD41" s="44">
        <f>INDEX(Data!$A:$J,MATCH(Factbook!$O41,Data!$A:$A,0),MATCH(Factbook!AD$38,Data!$A$1:$J$1,0))</f>
        <v>1967</v>
      </c>
      <c r="AH41" s="43"/>
      <c r="AI41" s="43"/>
      <c r="AJ41" s="43"/>
      <c r="AK41" s="43"/>
    </row>
    <row customHeight="1" ht="11.1" r="42" spans="1:37" x14ac:dyDescent="0.25">
      <c r="N42" s="44">
        <f ref="N42:N63" si="18" t="shared">N41-1</f>
        <v>22</v>
      </c>
      <c r="O42" s="44">
        <f>LARGE(Data!A:A,Factbook!N42)</f>
        <v>1990</v>
      </c>
      <c r="P42" s="44">
        <f>INDEX(Data!$A:$J,MATCH(Factbook!$O42,Data!$A:$A,0),MATCH(Factbook!P$38,Data!$A$1:$J$1,0))</f>
        <v>887</v>
      </c>
      <c r="Q42" s="44">
        <f>INDEX(Data!$A:$J,MATCH(Factbook!$O42,Data!$A:$A,0),MATCH(Factbook!Q$38,Data!$A$1:$J$1,0))</f>
        <v>1689</v>
      </c>
      <c r="R42" s="44">
        <f>INDEX(Data!$A:$J,MATCH(Factbook!$O42,Data!$A:$A,0),MATCH(Factbook!R$38,Data!$A$1:$J$1,0))</f>
        <v>2700</v>
      </c>
      <c r="V42" s="44">
        <f>INDEX(Data!$A:$J,MATCH(Factbook!$O42,Data!$A:$A,0),MATCH(Factbook!V$38,Data!$A$1:$J$1,0))</f>
        <v>629</v>
      </c>
      <c r="W42" s="44">
        <f>INDEX(Data!$A:$J,MATCH(Factbook!$O42,Data!$A:$A,0),MATCH(Factbook!W$38,Data!$A$1:$J$1,0))</f>
        <v>1985</v>
      </c>
      <c r="X42" s="44">
        <f>INDEX(Data!$A:$J,MATCH(Factbook!$O42,Data!$A:$A,0),MATCH(Factbook!X$38,Data!$A$1:$J$1,0))</f>
        <v>3310</v>
      </c>
      <c r="AB42" s="44">
        <f>INDEX(Data!$A:$J,MATCH(Factbook!$O42,Data!$A:$A,0),MATCH(Factbook!AB$38,Data!$A$1:$J$1,0))</f>
        <v>505</v>
      </c>
      <c r="AC42" s="44">
        <f>INDEX(Data!$A:$J,MATCH(Factbook!$O42,Data!$A:$A,0),MATCH(Factbook!AC$38,Data!$A$1:$J$1,0))</f>
        <v>1233</v>
      </c>
      <c r="AD42" s="44">
        <f>INDEX(Data!$A:$J,MATCH(Factbook!$O42,Data!$A:$A,0),MATCH(Factbook!AD$38,Data!$A$1:$J$1,0))</f>
        <v>2075</v>
      </c>
      <c r="AH42" s="43"/>
      <c r="AI42" s="43"/>
      <c r="AJ42" s="43"/>
      <c r="AK42" s="43"/>
    </row>
    <row customHeight="1" ht="11.1" r="43" spans="1:37" x14ac:dyDescent="0.25">
      <c r="N43" s="44">
        <f si="18" t="shared"/>
        <v>21</v>
      </c>
      <c r="O43" s="44">
        <f>LARGE(Data!A:A,Factbook!N43)</f>
        <v>1991</v>
      </c>
      <c r="P43" s="44">
        <f>INDEX(Data!$A:$J,MATCH(Factbook!$O43,Data!$A:$A,0),MATCH(Factbook!P$38,Data!$A$1:$J$1,0))</f>
        <v>884</v>
      </c>
      <c r="Q43" s="44">
        <f>INDEX(Data!$A:$J,MATCH(Factbook!$O43,Data!$A:$A,0),MATCH(Factbook!Q$38,Data!$A$1:$J$1,0))</f>
        <v>1727</v>
      </c>
      <c r="R43" s="44">
        <f>INDEX(Data!$A:$J,MATCH(Factbook!$O43,Data!$A:$A,0),MATCH(Factbook!R$38,Data!$A$1:$J$1,0))</f>
        <v>2738</v>
      </c>
      <c r="V43" s="44">
        <f>INDEX(Data!$A:$J,MATCH(Factbook!$O43,Data!$A:$A,0),MATCH(Factbook!V$38,Data!$A$1:$J$1,0))</f>
        <v>664</v>
      </c>
      <c r="W43" s="44">
        <f>INDEX(Data!$A:$J,MATCH(Factbook!$O43,Data!$A:$A,0),MATCH(Factbook!W$38,Data!$A$1:$J$1,0))</f>
        <v>1939</v>
      </c>
      <c r="X43" s="44">
        <f>INDEX(Data!$A:$J,MATCH(Factbook!$O43,Data!$A:$A,0),MATCH(Factbook!X$38,Data!$A$1:$J$1,0))</f>
        <v>3228</v>
      </c>
      <c r="AB43" s="44">
        <f>INDEX(Data!$A:$J,MATCH(Factbook!$O43,Data!$A:$A,0),MATCH(Factbook!AB$38,Data!$A$1:$J$1,0))</f>
        <v>470</v>
      </c>
      <c r="AC43" s="44">
        <f>INDEX(Data!$A:$J,MATCH(Factbook!$O43,Data!$A:$A,0),MATCH(Factbook!AC$38,Data!$A$1:$J$1,0))</f>
        <v>1178</v>
      </c>
      <c r="AD43" s="44">
        <f>INDEX(Data!$A:$J,MATCH(Factbook!$O43,Data!$A:$A,0),MATCH(Factbook!AD$38,Data!$A$1:$J$1,0))</f>
        <v>1951</v>
      </c>
      <c r="AH43" s="43"/>
      <c r="AI43" s="43"/>
      <c r="AJ43" s="43"/>
      <c r="AK43" s="43"/>
    </row>
    <row ht="15.75" r="44" spans="1:37" x14ac:dyDescent="0.25">
      <c r="A44" s="56" t="s">
        <v>61</v>
      </c>
      <c r="N44" s="44">
        <f si="18" t="shared"/>
        <v>20</v>
      </c>
      <c r="O44" s="44">
        <f>LARGE(Data!A:A,Factbook!N44)</f>
        <v>1992</v>
      </c>
      <c r="P44" s="44">
        <f>INDEX(Data!$A:$J,MATCH(Factbook!$O44,Data!$A:$A,0),MATCH(Factbook!P$38,Data!$A$1:$J$1,0))</f>
        <v>1006</v>
      </c>
      <c r="Q44" s="44">
        <f>INDEX(Data!$A:$J,MATCH(Factbook!$O44,Data!$A:$A,0),MATCH(Factbook!Q$38,Data!$A$1:$J$1,0))</f>
        <v>1983</v>
      </c>
      <c r="R44" s="44">
        <f>INDEX(Data!$A:$J,MATCH(Factbook!$O44,Data!$A:$A,0),MATCH(Factbook!R$38,Data!$A$1:$J$1,0))</f>
        <v>3111</v>
      </c>
      <c r="V44" s="44">
        <f>INDEX(Data!$A:$J,MATCH(Factbook!$O44,Data!$A:$A,0),MATCH(Factbook!V$38,Data!$A$1:$J$1,0))</f>
        <v>723</v>
      </c>
      <c r="W44" s="44">
        <f>INDEX(Data!$A:$J,MATCH(Factbook!$O44,Data!$A:$A,0),MATCH(Factbook!W$38,Data!$A$1:$J$1,0))</f>
        <v>2035</v>
      </c>
      <c r="X44" s="44">
        <f>INDEX(Data!$A:$J,MATCH(Factbook!$O44,Data!$A:$A,0),MATCH(Factbook!X$38,Data!$A$1:$J$1,0))</f>
        <v>3333</v>
      </c>
      <c r="AB44" s="44">
        <f>INDEX(Data!$A:$J,MATCH(Factbook!$O44,Data!$A:$A,0),MATCH(Factbook!AB$38,Data!$A$1:$J$1,0))</f>
        <v>435</v>
      </c>
      <c r="AC44" s="44">
        <f>INDEX(Data!$A:$J,MATCH(Factbook!$O44,Data!$A:$A,0),MATCH(Factbook!AC$38,Data!$A$1:$J$1,0))</f>
        <v>1032</v>
      </c>
      <c r="AD44" s="44">
        <f>INDEX(Data!$A:$J,MATCH(Factbook!$O44,Data!$A:$A,0),MATCH(Factbook!AD$38,Data!$A$1:$J$1,0))</f>
        <v>1659</v>
      </c>
      <c r="AH44" s="43"/>
      <c r="AI44" s="43"/>
      <c r="AJ44" s="43"/>
      <c r="AK44" s="43"/>
    </row>
    <row customHeight="1" ht="11.1" r="45" spans="1:37" x14ac:dyDescent="0.25">
      <c r="N45" s="44">
        <f si="18" t="shared"/>
        <v>19</v>
      </c>
      <c r="O45" s="44">
        <f>LARGE(Data!A:A,Factbook!N45)</f>
        <v>1993</v>
      </c>
      <c r="P45" s="44">
        <f>INDEX(Data!$A:$J,MATCH(Factbook!$O45,Data!$A:$A,0),MATCH(Factbook!P$38,Data!$A$1:$J$1,0))</f>
        <v>1082</v>
      </c>
      <c r="Q45" s="44">
        <f>INDEX(Data!$A:$J,MATCH(Factbook!$O45,Data!$A:$A,0),MATCH(Factbook!Q$38,Data!$A$1:$J$1,0))</f>
        <v>1965</v>
      </c>
      <c r="R45" s="44">
        <f>INDEX(Data!$A:$J,MATCH(Factbook!$O45,Data!$A:$A,0),MATCH(Factbook!R$38,Data!$A$1:$J$1,0))</f>
        <v>3131</v>
      </c>
      <c r="V45" s="44">
        <f>INDEX(Data!$A:$J,MATCH(Factbook!$O45,Data!$A:$A,0),MATCH(Factbook!V$38,Data!$A$1:$J$1,0))</f>
        <v>763</v>
      </c>
      <c r="W45" s="44">
        <f>INDEX(Data!$A:$J,MATCH(Factbook!$O45,Data!$A:$A,0),MATCH(Factbook!W$38,Data!$A$1:$J$1,0))</f>
        <v>2062</v>
      </c>
      <c r="X45" s="44">
        <f>INDEX(Data!$A:$J,MATCH(Factbook!$O45,Data!$A:$A,0),MATCH(Factbook!X$38,Data!$A$1:$J$1,0))</f>
        <v>3416</v>
      </c>
      <c r="AB45" s="44">
        <f>INDEX(Data!$A:$J,MATCH(Factbook!$O45,Data!$A:$A,0),MATCH(Factbook!AB$38,Data!$A$1:$J$1,0))</f>
        <v>489</v>
      </c>
      <c r="AC45" s="44">
        <f>INDEX(Data!$A:$J,MATCH(Factbook!$O45,Data!$A:$A,0),MATCH(Factbook!AC$38,Data!$A$1:$J$1,0))</f>
        <v>1136</v>
      </c>
      <c r="AD45" s="44">
        <f>INDEX(Data!$A:$J,MATCH(Factbook!$O45,Data!$A:$A,0),MATCH(Factbook!AD$38,Data!$A$1:$J$1,0))</f>
        <v>1807</v>
      </c>
      <c r="AH45" s="43"/>
      <c r="AI45" s="43"/>
      <c r="AJ45" s="43"/>
      <c r="AK45" s="43"/>
    </row>
    <row customHeight="1" ht="11.1" r="46" spans="1:37" x14ac:dyDescent="0.25">
      <c r="N46" s="44">
        <f si="18" t="shared"/>
        <v>18</v>
      </c>
      <c r="O46" s="44">
        <f>LARGE(Data!A:A,Factbook!N46)</f>
        <v>1994</v>
      </c>
      <c r="P46" s="44">
        <f>INDEX(Data!$A:$J,MATCH(Factbook!$O46,Data!$A:$A,0),MATCH(Factbook!P$38,Data!$A$1:$J$1,0))</f>
        <v>1107</v>
      </c>
      <c r="Q46" s="44">
        <f>INDEX(Data!$A:$J,MATCH(Factbook!$O46,Data!$A:$A,0),MATCH(Factbook!Q$38,Data!$A$1:$J$1,0))</f>
        <v>2068</v>
      </c>
      <c r="R46" s="44">
        <f>INDEX(Data!$A:$J,MATCH(Factbook!$O46,Data!$A:$A,0),MATCH(Factbook!R$38,Data!$A$1:$J$1,0))</f>
        <v>3229</v>
      </c>
      <c r="V46" s="44">
        <f>INDEX(Data!$A:$J,MATCH(Factbook!$O46,Data!$A:$A,0),MATCH(Factbook!V$38,Data!$A$1:$J$1,0))</f>
        <v>799</v>
      </c>
      <c r="W46" s="44">
        <f>INDEX(Data!$A:$J,MATCH(Factbook!$O46,Data!$A:$A,0),MATCH(Factbook!W$38,Data!$A$1:$J$1,0))</f>
        <v>2075</v>
      </c>
      <c r="X46" s="44">
        <f>INDEX(Data!$A:$J,MATCH(Factbook!$O46,Data!$A:$A,0),MATCH(Factbook!X$38,Data!$A$1:$J$1,0))</f>
        <v>3325</v>
      </c>
      <c r="AB46" s="44">
        <f>INDEX(Data!$A:$J,MATCH(Factbook!$O46,Data!$A:$A,0),MATCH(Factbook!AB$38,Data!$A$1:$J$1,0))</f>
        <v>539</v>
      </c>
      <c r="AC46" s="44">
        <f>INDEX(Data!$A:$J,MATCH(Factbook!$O46,Data!$A:$A,0),MATCH(Factbook!AC$38,Data!$A$1:$J$1,0))</f>
        <v>1155</v>
      </c>
      <c r="AD46" s="44">
        <f>INDEX(Data!$A:$J,MATCH(Factbook!$O46,Data!$A:$A,0),MATCH(Factbook!AD$38,Data!$A$1:$J$1,0))</f>
        <v>1856</v>
      </c>
      <c r="AH46" s="43"/>
      <c r="AI46" s="43"/>
      <c r="AJ46" s="43"/>
      <c r="AK46" s="43"/>
    </row>
    <row customHeight="1" ht="11.1" r="47" spans="1:37" x14ac:dyDescent="0.25">
      <c r="N47" s="44">
        <f si="18" t="shared"/>
        <v>17</v>
      </c>
      <c r="O47" s="44">
        <f>LARGE(Data!A:A,Factbook!N47)</f>
        <v>1995</v>
      </c>
      <c r="P47" s="44">
        <f>INDEX(Data!$A:$J,MATCH(Factbook!$O47,Data!$A:$A,0),MATCH(Factbook!P$38,Data!$A$1:$J$1,0))</f>
        <v>1221</v>
      </c>
      <c r="Q47" s="44">
        <f>INDEX(Data!$A:$J,MATCH(Factbook!$O47,Data!$A:$A,0),MATCH(Factbook!Q$38,Data!$A$1:$J$1,0))</f>
        <v>2247</v>
      </c>
      <c r="R47" s="44">
        <f>INDEX(Data!$A:$J,MATCH(Factbook!$O47,Data!$A:$A,0),MATCH(Factbook!R$38,Data!$A$1:$J$1,0))</f>
        <v>3462</v>
      </c>
      <c r="V47" s="44">
        <f>INDEX(Data!$A:$J,MATCH(Factbook!$O47,Data!$A:$A,0),MATCH(Factbook!V$38,Data!$A$1:$J$1,0))</f>
        <v>822</v>
      </c>
      <c r="W47" s="44">
        <f>INDEX(Data!$A:$J,MATCH(Factbook!$O47,Data!$A:$A,0),MATCH(Factbook!W$38,Data!$A$1:$J$1,0))</f>
        <v>2086</v>
      </c>
      <c r="X47" s="44">
        <f>INDEX(Data!$A:$J,MATCH(Factbook!$O47,Data!$A:$A,0),MATCH(Factbook!X$38,Data!$A$1:$J$1,0))</f>
        <v>3274</v>
      </c>
      <c r="AB47" s="44">
        <f>INDEX(Data!$A:$J,MATCH(Factbook!$O47,Data!$A:$A,0),MATCH(Factbook!AB$38,Data!$A$1:$J$1,0))</f>
        <v>604</v>
      </c>
      <c r="AC47" s="44">
        <f>INDEX(Data!$A:$J,MATCH(Factbook!$O47,Data!$A:$A,0),MATCH(Factbook!AC$38,Data!$A$1:$J$1,0))</f>
        <v>1289</v>
      </c>
      <c r="AD47" s="44">
        <f>INDEX(Data!$A:$J,MATCH(Factbook!$O47,Data!$A:$A,0),MATCH(Factbook!AD$38,Data!$A$1:$J$1,0))</f>
        <v>2007</v>
      </c>
      <c r="AH47" s="43"/>
      <c r="AI47" s="43"/>
      <c r="AJ47" s="43"/>
      <c r="AK47" s="43"/>
    </row>
    <row customHeight="1" ht="11.1" r="48" spans="1:37" x14ac:dyDescent="0.25">
      <c r="N48" s="44">
        <f si="18" t="shared"/>
        <v>16</v>
      </c>
      <c r="O48" s="44">
        <f>LARGE(Data!A:A,Factbook!N48)</f>
        <v>1996</v>
      </c>
      <c r="P48" s="44">
        <f>INDEX(Data!$A:$J,MATCH(Factbook!$O48,Data!$A:$A,0),MATCH(Factbook!P$38,Data!$A$1:$J$1,0))</f>
        <v>1293</v>
      </c>
      <c r="Q48" s="44">
        <f>INDEX(Data!$A:$J,MATCH(Factbook!$O48,Data!$A:$A,0),MATCH(Factbook!Q$38,Data!$A$1:$J$1,0))</f>
        <v>2202</v>
      </c>
      <c r="R48" s="44">
        <f>INDEX(Data!$A:$J,MATCH(Factbook!$O48,Data!$A:$A,0),MATCH(Factbook!R$38,Data!$A$1:$J$1,0))</f>
        <v>3417</v>
      </c>
      <c r="V48" s="44">
        <f>INDEX(Data!$A:$J,MATCH(Factbook!$O48,Data!$A:$A,0),MATCH(Factbook!V$38,Data!$A$1:$J$1,0))</f>
        <v>1022</v>
      </c>
      <c r="W48" s="44">
        <f>INDEX(Data!$A:$J,MATCH(Factbook!$O48,Data!$A:$A,0),MATCH(Factbook!W$38,Data!$A$1:$J$1,0))</f>
        <v>2349</v>
      </c>
      <c r="X48" s="44">
        <f>INDEX(Data!$A:$J,MATCH(Factbook!$O48,Data!$A:$A,0),MATCH(Factbook!X$38,Data!$A$1:$J$1,0))</f>
        <v>3599</v>
      </c>
      <c r="AB48" s="44">
        <f>INDEX(Data!$A:$J,MATCH(Factbook!$O48,Data!$A:$A,0),MATCH(Factbook!AB$38,Data!$A$1:$J$1,0))</f>
        <v>673</v>
      </c>
      <c r="AC48" s="44">
        <f>INDEX(Data!$A:$J,MATCH(Factbook!$O48,Data!$A:$A,0),MATCH(Factbook!AC$38,Data!$A$1:$J$1,0))</f>
        <v>1338</v>
      </c>
      <c r="AD48" s="44">
        <f>INDEX(Data!$A:$J,MATCH(Factbook!$O48,Data!$A:$A,0),MATCH(Factbook!AD$38,Data!$A$1:$J$1,0))</f>
        <v>2012</v>
      </c>
      <c r="AH48" s="43"/>
      <c r="AI48" s="43"/>
      <c r="AJ48" s="43"/>
      <c r="AK48" s="43"/>
    </row>
    <row customHeight="1" ht="11.1" r="49" spans="14:37" x14ac:dyDescent="0.25">
      <c r="N49" s="44">
        <f si="18" t="shared"/>
        <v>15</v>
      </c>
      <c r="O49" s="44">
        <f>LARGE(Data!A:A,Factbook!N49)</f>
        <v>1997</v>
      </c>
      <c r="P49" s="44">
        <f>INDEX(Data!$A:$J,MATCH(Factbook!$O49,Data!$A:$A,0),MATCH(Factbook!P$38,Data!$A$1:$J$1,0))</f>
        <v>1345</v>
      </c>
      <c r="Q49" s="44">
        <f>INDEX(Data!$A:$J,MATCH(Factbook!$O49,Data!$A:$A,0),MATCH(Factbook!Q$38,Data!$A$1:$J$1,0))</f>
        <v>2307</v>
      </c>
      <c r="R49" s="44">
        <f>INDEX(Data!$A:$J,MATCH(Factbook!$O49,Data!$A:$A,0),MATCH(Factbook!R$38,Data!$A$1:$J$1,0))</f>
        <v>3573</v>
      </c>
      <c r="V49" s="44">
        <f>INDEX(Data!$A:$J,MATCH(Factbook!$O49,Data!$A:$A,0),MATCH(Factbook!V$38,Data!$A$1:$J$1,0))</f>
        <v>1081</v>
      </c>
      <c r="W49" s="44">
        <f>INDEX(Data!$A:$J,MATCH(Factbook!$O49,Data!$A:$A,0),MATCH(Factbook!W$38,Data!$A$1:$J$1,0))</f>
        <v>2634</v>
      </c>
      <c r="X49" s="44">
        <f>INDEX(Data!$A:$J,MATCH(Factbook!$O49,Data!$A:$A,0),MATCH(Factbook!X$38,Data!$A$1:$J$1,0))</f>
        <v>4007</v>
      </c>
      <c r="AB49" s="44">
        <f>INDEX(Data!$A:$J,MATCH(Factbook!$O49,Data!$A:$A,0),MATCH(Factbook!AB$38,Data!$A$1:$J$1,0))</f>
        <v>552</v>
      </c>
      <c r="AC49" s="44">
        <f>INDEX(Data!$A:$J,MATCH(Factbook!$O49,Data!$A:$A,0),MATCH(Factbook!AC$38,Data!$A$1:$J$1,0))</f>
        <v>1252</v>
      </c>
      <c r="AD49" s="44">
        <f>INDEX(Data!$A:$J,MATCH(Factbook!$O49,Data!$A:$A,0),MATCH(Factbook!AD$38,Data!$A$1:$J$1,0))</f>
        <v>1919</v>
      </c>
      <c r="AH49" s="43"/>
      <c r="AI49" s="43"/>
      <c r="AJ49" s="43"/>
      <c r="AK49" s="43"/>
    </row>
    <row customHeight="1" ht="11.1" r="50" spans="14:37" x14ac:dyDescent="0.25">
      <c r="N50" s="44">
        <f si="18" t="shared"/>
        <v>14</v>
      </c>
      <c r="O50" s="44">
        <f>LARGE(Data!A:A,Factbook!N50)</f>
        <v>1998</v>
      </c>
      <c r="P50" s="44">
        <f>INDEX(Data!$A:$J,MATCH(Factbook!$O50,Data!$A:$A,0),MATCH(Factbook!P$38,Data!$A$1:$J$1,0))</f>
        <v>1394</v>
      </c>
      <c r="Q50" s="44">
        <f>INDEX(Data!$A:$J,MATCH(Factbook!$O50,Data!$A:$A,0),MATCH(Factbook!Q$38,Data!$A$1:$J$1,0))</f>
        <v>2581</v>
      </c>
      <c r="R50" s="44">
        <f>INDEX(Data!$A:$J,MATCH(Factbook!$O50,Data!$A:$A,0),MATCH(Factbook!R$38,Data!$A$1:$J$1,0))</f>
        <v>3876</v>
      </c>
      <c r="V50" s="44">
        <f>INDEX(Data!$A:$J,MATCH(Factbook!$O50,Data!$A:$A,0),MATCH(Factbook!V$38,Data!$A$1:$J$1,0))</f>
        <v>1111</v>
      </c>
      <c r="W50" s="44">
        <f>INDEX(Data!$A:$J,MATCH(Factbook!$O50,Data!$A:$A,0),MATCH(Factbook!W$38,Data!$A$1:$J$1,0))</f>
        <v>2526</v>
      </c>
      <c r="X50" s="44">
        <f>INDEX(Data!$A:$J,MATCH(Factbook!$O50,Data!$A:$A,0),MATCH(Factbook!X$38,Data!$A$1:$J$1,0))</f>
        <v>3800</v>
      </c>
      <c r="AB50" s="44">
        <f>INDEX(Data!$A:$J,MATCH(Factbook!$O50,Data!$A:$A,0),MATCH(Factbook!AB$38,Data!$A$1:$J$1,0))</f>
        <v>585</v>
      </c>
      <c r="AC50" s="44">
        <f>INDEX(Data!$A:$J,MATCH(Factbook!$O50,Data!$A:$A,0),MATCH(Factbook!AC$38,Data!$A$1:$J$1,0))</f>
        <v>1274</v>
      </c>
      <c r="AD50" s="44">
        <f>INDEX(Data!$A:$J,MATCH(Factbook!$O50,Data!$A:$A,0),MATCH(Factbook!AD$38,Data!$A$1:$J$1,0))</f>
        <v>1982</v>
      </c>
      <c r="AH50" s="43"/>
      <c r="AI50" s="43"/>
      <c r="AJ50" s="43"/>
      <c r="AK50" s="43"/>
    </row>
    <row customHeight="1" ht="11.1" r="51" spans="14:37" x14ac:dyDescent="0.25">
      <c r="N51" s="44">
        <f si="18" t="shared"/>
        <v>13</v>
      </c>
      <c r="O51" s="44">
        <f>LARGE(Data!A:A,Factbook!N51)</f>
        <v>1999</v>
      </c>
      <c r="P51" s="44">
        <f>INDEX(Data!$A:$J,MATCH(Factbook!$O51,Data!$A:$A,0),MATCH(Factbook!P$38,Data!$A$1:$J$1,0))</f>
        <v>1422</v>
      </c>
      <c r="Q51" s="44">
        <f>INDEX(Data!$A:$J,MATCH(Factbook!$O51,Data!$A:$A,0),MATCH(Factbook!Q$38,Data!$A$1:$J$1,0))</f>
        <v>2475</v>
      </c>
      <c r="R51" s="44">
        <f>INDEX(Data!$A:$J,MATCH(Factbook!$O51,Data!$A:$A,0),MATCH(Factbook!R$38,Data!$A$1:$J$1,0))</f>
        <v>3747</v>
      </c>
      <c r="V51" s="44">
        <f>INDEX(Data!$A:$J,MATCH(Factbook!$O51,Data!$A:$A,0),MATCH(Factbook!V$38,Data!$A$1:$J$1,0))</f>
        <v>1261</v>
      </c>
      <c r="W51" s="44">
        <f>INDEX(Data!$A:$J,MATCH(Factbook!$O51,Data!$A:$A,0),MATCH(Factbook!W$38,Data!$A$1:$J$1,0))</f>
        <v>2734</v>
      </c>
      <c r="X51" s="44">
        <f>INDEX(Data!$A:$J,MATCH(Factbook!$O51,Data!$A:$A,0),MATCH(Factbook!X$38,Data!$A$1:$J$1,0))</f>
        <v>4020</v>
      </c>
      <c r="AB51" s="44">
        <f>INDEX(Data!$A:$J,MATCH(Factbook!$O51,Data!$A:$A,0),MATCH(Factbook!AB$38,Data!$A$1:$J$1,0))</f>
        <v>712</v>
      </c>
      <c r="AC51" s="44">
        <f>INDEX(Data!$A:$J,MATCH(Factbook!$O51,Data!$A:$A,0),MATCH(Factbook!AC$38,Data!$A$1:$J$1,0))</f>
        <v>1380</v>
      </c>
      <c r="AD51" s="44">
        <f>INDEX(Data!$A:$J,MATCH(Factbook!$O51,Data!$A:$A,0),MATCH(Factbook!AD$38,Data!$A$1:$J$1,0))</f>
        <v>2124</v>
      </c>
      <c r="AH51" s="43"/>
      <c r="AI51" s="43"/>
      <c r="AJ51" s="43"/>
      <c r="AK51" s="43"/>
    </row>
    <row customHeight="1" ht="11.1" r="52" spans="14:37" x14ac:dyDescent="0.25">
      <c r="N52" s="44">
        <f si="18" t="shared"/>
        <v>12</v>
      </c>
      <c r="O52" s="44">
        <f>LARGE(Data!A:A,Factbook!N52)</f>
        <v>2000</v>
      </c>
      <c r="P52" s="44">
        <f>INDEX(Data!$A:$J,MATCH(Factbook!$O52,Data!$A:$A,0),MATCH(Factbook!P$38,Data!$A$1:$J$1,0))</f>
        <v>1442</v>
      </c>
      <c r="Q52" s="44">
        <f>INDEX(Data!$A:$J,MATCH(Factbook!$O52,Data!$A:$A,0),MATCH(Factbook!Q$38,Data!$A$1:$J$1,0))</f>
        <v>2389</v>
      </c>
      <c r="R52" s="44">
        <f>INDEX(Data!$A:$J,MATCH(Factbook!$O52,Data!$A:$A,0),MATCH(Factbook!R$38,Data!$A$1:$J$1,0))</f>
        <v>3647</v>
      </c>
      <c r="V52" s="44">
        <f>INDEX(Data!$A:$J,MATCH(Factbook!$O52,Data!$A:$A,0),MATCH(Factbook!V$38,Data!$A$1:$J$1,0))</f>
        <v>1339</v>
      </c>
      <c r="W52" s="44">
        <f>INDEX(Data!$A:$J,MATCH(Factbook!$O52,Data!$A:$A,0),MATCH(Factbook!W$38,Data!$A$1:$J$1,0))</f>
        <v>2822</v>
      </c>
      <c r="X52" s="44">
        <f>INDEX(Data!$A:$J,MATCH(Factbook!$O52,Data!$A:$A,0),MATCH(Factbook!X$38,Data!$A$1:$J$1,0))</f>
        <v>4289</v>
      </c>
      <c r="AB52" s="44">
        <f>INDEX(Data!$A:$J,MATCH(Factbook!$O52,Data!$A:$A,0),MATCH(Factbook!AB$38,Data!$A$1:$J$1,0))</f>
        <v>757</v>
      </c>
      <c r="AC52" s="44">
        <f>INDEX(Data!$A:$J,MATCH(Factbook!$O52,Data!$A:$A,0),MATCH(Factbook!AC$38,Data!$A$1:$J$1,0))</f>
        <v>1491</v>
      </c>
      <c r="AD52" s="44">
        <f>INDEX(Data!$A:$J,MATCH(Factbook!$O52,Data!$A:$A,0),MATCH(Factbook!AD$38,Data!$A$1:$J$1,0))</f>
        <v>2217</v>
      </c>
      <c r="AH52" s="43"/>
      <c r="AI52" s="43"/>
      <c r="AJ52" s="43"/>
      <c r="AK52" s="43"/>
    </row>
    <row customHeight="1" ht="11.1" r="53" spans="14:37" x14ac:dyDescent="0.25">
      <c r="N53" s="44">
        <f si="18" t="shared"/>
        <v>11</v>
      </c>
      <c r="O53" s="44">
        <f>LARGE(Data!A:A,Factbook!N53)</f>
        <v>2001</v>
      </c>
      <c r="P53" s="44">
        <f>INDEX(Data!$A:$J,MATCH(Factbook!$O53,Data!$A:$A,0),MATCH(Factbook!P$38,Data!$A$1:$J$1,0))</f>
        <v>1556</v>
      </c>
      <c r="Q53" s="44">
        <f>INDEX(Data!$A:$J,MATCH(Factbook!$O53,Data!$A:$A,0),MATCH(Factbook!Q$38,Data!$A$1:$J$1,0))</f>
        <v>2589</v>
      </c>
      <c r="R53" s="44">
        <f>INDEX(Data!$A:$J,MATCH(Factbook!$O53,Data!$A:$A,0),MATCH(Factbook!R$38,Data!$A$1:$J$1,0))</f>
        <v>3930</v>
      </c>
      <c r="V53" s="44">
        <f>INDEX(Data!$A:$J,MATCH(Factbook!$O53,Data!$A:$A,0),MATCH(Factbook!V$38,Data!$A$1:$J$1,0))</f>
        <v>1463</v>
      </c>
      <c r="W53" s="44">
        <f>INDEX(Data!$A:$J,MATCH(Factbook!$O53,Data!$A:$A,0),MATCH(Factbook!W$38,Data!$A$1:$J$1,0))</f>
        <v>3018</v>
      </c>
      <c r="X53" s="44">
        <f>INDEX(Data!$A:$J,MATCH(Factbook!$O53,Data!$A:$A,0),MATCH(Factbook!X$38,Data!$A$1:$J$1,0))</f>
        <v>4598</v>
      </c>
      <c r="AB53" s="44">
        <f>INDEX(Data!$A:$J,MATCH(Factbook!$O53,Data!$A:$A,0),MATCH(Factbook!AB$38,Data!$A$1:$J$1,0))</f>
        <v>670</v>
      </c>
      <c r="AC53" s="44">
        <f>INDEX(Data!$A:$J,MATCH(Factbook!$O53,Data!$A:$A,0),MATCH(Factbook!AC$38,Data!$A$1:$J$1,0))</f>
        <v>1348</v>
      </c>
      <c r="AD53" s="44">
        <f>INDEX(Data!$A:$J,MATCH(Factbook!$O53,Data!$A:$A,0),MATCH(Factbook!AD$38,Data!$A$1:$J$1,0))</f>
        <v>2064</v>
      </c>
      <c r="AH53" s="43"/>
      <c r="AI53" s="43"/>
      <c r="AJ53" s="43"/>
      <c r="AK53" s="43"/>
    </row>
    <row customHeight="1" ht="11.1" r="54" spans="14:37" x14ac:dyDescent="0.25">
      <c r="N54" s="44">
        <f si="18" t="shared"/>
        <v>10</v>
      </c>
      <c r="O54" s="44">
        <f>LARGE(Data!A:A,Factbook!N54)</f>
        <v>2002</v>
      </c>
      <c r="P54" s="44">
        <f>INDEX(Data!$A:$J,MATCH(Factbook!$O54,Data!$A:$A,0),MATCH(Factbook!P$38,Data!$A$1:$J$1,0))</f>
        <v>1658</v>
      </c>
      <c r="Q54" s="44">
        <f>INDEX(Data!$A:$J,MATCH(Factbook!$O54,Data!$A:$A,0),MATCH(Factbook!Q$38,Data!$A$1:$J$1,0))</f>
        <v>2706</v>
      </c>
      <c r="R54" s="44">
        <f>INDEX(Data!$A:$J,MATCH(Factbook!$O54,Data!$A:$A,0),MATCH(Factbook!R$38,Data!$A$1:$J$1,0))</f>
        <v>4097</v>
      </c>
      <c r="V54" s="44">
        <f>INDEX(Data!$A:$J,MATCH(Factbook!$O54,Data!$A:$A,0),MATCH(Factbook!V$38,Data!$A$1:$J$1,0))</f>
        <v>1399</v>
      </c>
      <c r="W54" s="44">
        <f>INDEX(Data!$A:$J,MATCH(Factbook!$O54,Data!$A:$A,0),MATCH(Factbook!W$38,Data!$A$1:$J$1,0))</f>
        <v>2807</v>
      </c>
      <c r="X54" s="44">
        <f>INDEX(Data!$A:$J,MATCH(Factbook!$O54,Data!$A:$A,0),MATCH(Factbook!X$38,Data!$A$1:$J$1,0))</f>
        <v>4167</v>
      </c>
      <c r="AB54" s="44">
        <f>INDEX(Data!$A:$J,MATCH(Factbook!$O54,Data!$A:$A,0),MATCH(Factbook!AB$38,Data!$A$1:$J$1,0))</f>
        <v>613</v>
      </c>
      <c r="AC54" s="44">
        <f>INDEX(Data!$A:$J,MATCH(Factbook!$O54,Data!$A:$A,0),MATCH(Factbook!AC$38,Data!$A$1:$J$1,0))</f>
        <v>1149</v>
      </c>
      <c r="AD54" s="44">
        <f>INDEX(Data!$A:$J,MATCH(Factbook!$O54,Data!$A:$A,0),MATCH(Factbook!AD$38,Data!$A$1:$J$1,0))</f>
        <v>1822</v>
      </c>
      <c r="AH54" s="43"/>
      <c r="AI54" s="43"/>
      <c r="AJ54" s="43"/>
      <c r="AK54" s="43"/>
    </row>
    <row customHeight="1" ht="11.1" r="55" spans="14:37" x14ac:dyDescent="0.25">
      <c r="N55" s="44">
        <f si="18" t="shared"/>
        <v>9</v>
      </c>
      <c r="O55" s="44">
        <f>LARGE(Data!A:A,Factbook!N55)</f>
        <v>2003</v>
      </c>
      <c r="P55" s="44">
        <f>INDEX(Data!$A:$J,MATCH(Factbook!$O55,Data!$A:$A,0),MATCH(Factbook!P$38,Data!$A$1:$J$1,0))</f>
        <v>1709</v>
      </c>
      <c r="Q55" s="44">
        <f>INDEX(Data!$A:$J,MATCH(Factbook!$O55,Data!$A:$A,0),MATCH(Factbook!Q$38,Data!$A$1:$J$1,0))</f>
        <v>2791</v>
      </c>
      <c r="R55" s="44">
        <f>INDEX(Data!$A:$J,MATCH(Factbook!$O55,Data!$A:$A,0),MATCH(Factbook!R$38,Data!$A$1:$J$1,0))</f>
        <v>4040</v>
      </c>
      <c r="V55" s="44">
        <f>INDEX(Data!$A:$J,MATCH(Factbook!$O55,Data!$A:$A,0),MATCH(Factbook!V$38,Data!$A$1:$J$1,0))</f>
        <v>1364</v>
      </c>
      <c r="W55" s="44">
        <f>INDEX(Data!$A:$J,MATCH(Factbook!$O55,Data!$A:$A,0),MATCH(Factbook!W$38,Data!$A$1:$J$1,0))</f>
        <v>2676</v>
      </c>
      <c r="X55" s="44">
        <f>INDEX(Data!$A:$J,MATCH(Factbook!$O55,Data!$A:$A,0),MATCH(Factbook!X$38,Data!$A$1:$J$1,0))</f>
        <v>3860</v>
      </c>
      <c r="AB55" s="44">
        <f>INDEX(Data!$A:$J,MATCH(Factbook!$O55,Data!$A:$A,0),MATCH(Factbook!AB$38,Data!$A$1:$J$1,0))</f>
        <v>620</v>
      </c>
      <c r="AC55" s="44">
        <f>INDEX(Data!$A:$J,MATCH(Factbook!$O55,Data!$A:$A,0),MATCH(Factbook!AC$38,Data!$A$1:$J$1,0))</f>
        <v>1164</v>
      </c>
      <c r="AD55" s="44">
        <f>INDEX(Data!$A:$J,MATCH(Factbook!$O55,Data!$A:$A,0),MATCH(Factbook!AD$38,Data!$A$1:$J$1,0))</f>
        <v>1740</v>
      </c>
      <c r="AH55" s="43"/>
      <c r="AI55" s="43"/>
      <c r="AJ55" s="43"/>
      <c r="AK55" s="43"/>
    </row>
    <row customHeight="1" ht="11.1" r="56" spans="14:37" x14ac:dyDescent="0.25">
      <c r="N56" s="44">
        <f si="18" t="shared"/>
        <v>8</v>
      </c>
      <c r="O56" s="44">
        <f>LARGE(Data!A:A,Factbook!N56)</f>
        <v>2004</v>
      </c>
      <c r="P56" s="44">
        <f>INDEX(Data!$A:$J,MATCH(Factbook!$O56,Data!$A:$A,0),MATCH(Factbook!P$38,Data!$A$1:$J$1,0))</f>
        <v>1759</v>
      </c>
      <c r="Q56" s="44">
        <f>INDEX(Data!$A:$J,MATCH(Factbook!$O56,Data!$A:$A,0),MATCH(Factbook!Q$38,Data!$A$1:$J$1,0))</f>
        <v>2770</v>
      </c>
      <c r="R56" s="44">
        <f>INDEX(Data!$A:$J,MATCH(Factbook!$O56,Data!$A:$A,0),MATCH(Factbook!R$38,Data!$A$1:$J$1,0))</f>
        <v>3982</v>
      </c>
      <c r="V56" s="44">
        <f>INDEX(Data!$A:$J,MATCH(Factbook!$O56,Data!$A:$A,0),MATCH(Factbook!V$38,Data!$A$1:$J$1,0))</f>
        <v>1348</v>
      </c>
      <c r="W56" s="44">
        <f>INDEX(Data!$A:$J,MATCH(Factbook!$O56,Data!$A:$A,0),MATCH(Factbook!W$38,Data!$A$1:$J$1,0))</f>
        <v>2580</v>
      </c>
      <c r="X56" s="44">
        <f>INDEX(Data!$A:$J,MATCH(Factbook!$O56,Data!$A:$A,0),MATCH(Factbook!X$38,Data!$A$1:$J$1,0))</f>
        <v>3674</v>
      </c>
      <c r="AB56" s="44">
        <f>INDEX(Data!$A:$J,MATCH(Factbook!$O56,Data!$A:$A,0),MATCH(Factbook!AB$38,Data!$A$1:$J$1,0))</f>
        <v>587</v>
      </c>
      <c r="AC56" s="44">
        <f>INDEX(Data!$A:$J,MATCH(Factbook!$O56,Data!$A:$A,0),MATCH(Factbook!AC$38,Data!$A$1:$J$1,0))</f>
        <v>1116</v>
      </c>
      <c r="AD56" s="44">
        <f>INDEX(Data!$A:$J,MATCH(Factbook!$O56,Data!$A:$A,0),MATCH(Factbook!AD$38,Data!$A$1:$J$1,0))</f>
        <v>1652</v>
      </c>
      <c r="AH56" s="43"/>
      <c r="AI56" s="43"/>
      <c r="AJ56" s="43"/>
      <c r="AK56" s="43"/>
    </row>
    <row customHeight="1" ht="11.1" r="57" spans="14:37" x14ac:dyDescent="0.25">
      <c r="N57" s="44">
        <f si="18" t="shared"/>
        <v>7</v>
      </c>
      <c r="O57" s="44">
        <f>LARGE(Data!A:A,Factbook!N57)</f>
        <v>2005</v>
      </c>
      <c r="P57" s="44">
        <f>INDEX(Data!$A:$J,MATCH(Factbook!$O57,Data!$A:$A,0),MATCH(Factbook!P$38,Data!$A$1:$J$1,0))</f>
        <v>1794</v>
      </c>
      <c r="Q57" s="44">
        <f>INDEX(Data!$A:$J,MATCH(Factbook!$O57,Data!$A:$A,0),MATCH(Factbook!Q$38,Data!$A$1:$J$1,0))</f>
        <v>2704</v>
      </c>
      <c r="R57" s="44">
        <f>INDEX(Data!$A:$J,MATCH(Factbook!$O57,Data!$A:$A,0),MATCH(Factbook!R$38,Data!$A$1:$J$1,0))</f>
        <v>3818</v>
      </c>
      <c r="V57" s="44">
        <f>INDEX(Data!$A:$J,MATCH(Factbook!$O57,Data!$A:$A,0),MATCH(Factbook!V$38,Data!$A$1:$J$1,0))</f>
        <v>1248</v>
      </c>
      <c r="W57" s="44">
        <f>INDEX(Data!$A:$J,MATCH(Factbook!$O57,Data!$A:$A,0),MATCH(Factbook!W$38,Data!$A$1:$J$1,0))</f>
        <v>2523</v>
      </c>
      <c r="X57" s="44">
        <f>INDEX(Data!$A:$J,MATCH(Factbook!$O57,Data!$A:$A,0),MATCH(Factbook!X$38,Data!$A$1:$J$1,0))</f>
        <v>3745</v>
      </c>
      <c r="AB57" s="44">
        <f>INDEX(Data!$A:$J,MATCH(Factbook!$O57,Data!$A:$A,0),MATCH(Factbook!AB$38,Data!$A$1:$J$1,0))</f>
        <v>618</v>
      </c>
      <c r="AC57" s="44">
        <f>INDEX(Data!$A:$J,MATCH(Factbook!$O57,Data!$A:$A,0),MATCH(Factbook!AC$38,Data!$A$1:$J$1,0))</f>
        <v>1130</v>
      </c>
      <c r="AD57" s="44">
        <f>INDEX(Data!$A:$J,MATCH(Factbook!$O57,Data!$A:$A,0),MATCH(Factbook!AD$38,Data!$A$1:$J$1,0))</f>
        <v>1693</v>
      </c>
      <c r="AH57" s="43"/>
      <c r="AI57" s="43"/>
      <c r="AJ57" s="43"/>
      <c r="AK57" s="43"/>
    </row>
    <row customHeight="1" ht="11.1" r="58" spans="14:37" x14ac:dyDescent="0.25">
      <c r="N58" s="44">
        <f si="18" t="shared"/>
        <v>6</v>
      </c>
      <c r="O58" s="44">
        <f>LARGE(Data!A:A,Factbook!N58)</f>
        <v>2006</v>
      </c>
      <c r="P58" s="44">
        <f>INDEX(Data!$A:$J,MATCH(Factbook!$O58,Data!$A:$A,0),MATCH(Factbook!P$38,Data!$A$1:$J$1,0))</f>
        <v>1995</v>
      </c>
      <c r="Q58" s="44">
        <f>INDEX(Data!$A:$J,MATCH(Factbook!$O58,Data!$A:$A,0),MATCH(Factbook!Q$38,Data!$A$1:$J$1,0))</f>
        <v>2971</v>
      </c>
      <c r="R58" s="44">
        <f>INDEX(Data!$A:$J,MATCH(Factbook!$O58,Data!$A:$A,0),MATCH(Factbook!R$38,Data!$A$1:$J$1,0))</f>
        <v>4256</v>
      </c>
      <c r="V58" s="44">
        <f>INDEX(Data!$A:$J,MATCH(Factbook!$O58,Data!$A:$A,0),MATCH(Factbook!V$38,Data!$A$1:$J$1,0))</f>
        <v>1525</v>
      </c>
      <c r="W58" s="44">
        <f>INDEX(Data!$A:$J,MATCH(Factbook!$O58,Data!$A:$A,0),MATCH(Factbook!W$38,Data!$A$1:$J$1,0))</f>
        <v>2784</v>
      </c>
      <c r="X58" s="44">
        <f>INDEX(Data!$A:$J,MATCH(Factbook!$O58,Data!$A:$A,0),MATCH(Factbook!X$38,Data!$A$1:$J$1,0))</f>
        <v>3952</v>
      </c>
      <c r="AB58" s="44">
        <f>INDEX(Data!$A:$J,MATCH(Factbook!$O58,Data!$A:$A,0),MATCH(Factbook!AB$38,Data!$A$1:$J$1,0))</f>
        <v>648</v>
      </c>
      <c r="AC58" s="44">
        <f>INDEX(Data!$A:$J,MATCH(Factbook!$O58,Data!$A:$A,0),MATCH(Factbook!AC$38,Data!$A$1:$J$1,0))</f>
        <v>1117</v>
      </c>
      <c r="AD58" s="44">
        <f>INDEX(Data!$A:$J,MATCH(Factbook!$O58,Data!$A:$A,0),MATCH(Factbook!AD$38,Data!$A$1:$J$1,0))</f>
        <v>1684</v>
      </c>
      <c r="AH58" s="43"/>
      <c r="AI58" s="43"/>
      <c r="AJ58" s="43"/>
      <c r="AK58" s="43"/>
    </row>
    <row customHeight="1" ht="11.1" r="59" spans="14:37" x14ac:dyDescent="0.25">
      <c r="N59" s="44">
        <f si="18" t="shared"/>
        <v>5</v>
      </c>
      <c r="O59" s="44">
        <f>LARGE(Data!A:A,Factbook!N59)</f>
        <v>2007</v>
      </c>
      <c r="P59" s="44">
        <f>INDEX(Data!$A:$J,MATCH(Factbook!$O59,Data!$A:$A,0),MATCH(Factbook!P$38,Data!$A$1:$J$1,0))</f>
        <v>2019</v>
      </c>
      <c r="Q59" s="44">
        <f>INDEX(Data!$A:$J,MATCH(Factbook!$O59,Data!$A:$A,0),MATCH(Factbook!Q$38,Data!$A$1:$J$1,0))</f>
        <v>2961</v>
      </c>
      <c r="R59" s="44">
        <f>INDEX(Data!$A:$J,MATCH(Factbook!$O59,Data!$A:$A,0),MATCH(Factbook!R$38,Data!$A$1:$J$1,0))</f>
        <v>4253</v>
      </c>
      <c r="V59" s="44">
        <f>INDEX(Data!$A:$J,MATCH(Factbook!$O59,Data!$A:$A,0),MATCH(Factbook!V$38,Data!$A$1:$J$1,0))</f>
        <v>1622</v>
      </c>
      <c r="W59" s="44">
        <f>INDEX(Data!$A:$J,MATCH(Factbook!$O59,Data!$A:$A,0),MATCH(Factbook!W$38,Data!$A$1:$J$1,0))</f>
        <v>2933</v>
      </c>
      <c r="X59" s="44">
        <f>INDEX(Data!$A:$J,MATCH(Factbook!$O59,Data!$A:$A,0),MATCH(Factbook!X$38,Data!$A$1:$J$1,0))</f>
        <v>4316</v>
      </c>
      <c r="AB59" s="44">
        <f>INDEX(Data!$A:$J,MATCH(Factbook!$O59,Data!$A:$A,0),MATCH(Factbook!AB$38,Data!$A$1:$J$1,0))</f>
        <v>708</v>
      </c>
      <c r="AC59" s="44">
        <f>INDEX(Data!$A:$J,MATCH(Factbook!$O59,Data!$A:$A,0),MATCH(Factbook!AC$38,Data!$A$1:$J$1,0))</f>
        <v>1278</v>
      </c>
      <c r="AD59" s="44">
        <f>INDEX(Data!$A:$J,MATCH(Factbook!$O59,Data!$A:$A,0),MATCH(Factbook!AD$38,Data!$A$1:$J$1,0))</f>
        <v>1922</v>
      </c>
      <c r="AH59" s="43"/>
      <c r="AI59" s="43"/>
      <c r="AJ59" s="43"/>
      <c r="AK59" s="43"/>
    </row>
    <row customHeight="1" ht="11.1" r="60" spans="14:37" x14ac:dyDescent="0.25">
      <c r="N60" s="44">
        <f si="18" t="shared"/>
        <v>4</v>
      </c>
      <c r="O60" s="44">
        <f>LARGE(Data!A:A,Factbook!N60)</f>
        <v>2008</v>
      </c>
      <c r="P60" s="44">
        <f>INDEX(Data!$A:$J,MATCH(Factbook!$O60,Data!$A:$A,0),MATCH(Factbook!P$38,Data!$A$1:$J$1,0))</f>
        <v>2018</v>
      </c>
      <c r="Q60" s="44">
        <f>INDEX(Data!$A:$J,MATCH(Factbook!$O60,Data!$A:$A,0),MATCH(Factbook!Q$38,Data!$A$1:$J$1,0))</f>
        <v>2929</v>
      </c>
      <c r="R60" s="44">
        <f>INDEX(Data!$A:$J,MATCH(Factbook!$O60,Data!$A:$A,0),MATCH(Factbook!R$38,Data!$A$1:$J$1,0))</f>
        <v>4182</v>
      </c>
      <c r="V60" s="44">
        <f>INDEX(Data!$A:$J,MATCH(Factbook!$O60,Data!$A:$A,0),MATCH(Factbook!V$38,Data!$A$1:$J$1,0))</f>
        <v>1787</v>
      </c>
      <c r="W60" s="44">
        <f>INDEX(Data!$A:$J,MATCH(Factbook!$O60,Data!$A:$A,0),MATCH(Factbook!W$38,Data!$A$1:$J$1,0))</f>
        <v>3121</v>
      </c>
      <c r="X60" s="44">
        <f>INDEX(Data!$A:$J,MATCH(Factbook!$O60,Data!$A:$A,0),MATCH(Factbook!X$38,Data!$A$1:$J$1,0))</f>
        <v>4528</v>
      </c>
      <c r="AB60" s="44">
        <f>INDEX(Data!$A:$J,MATCH(Factbook!$O60,Data!$A:$A,0),MATCH(Factbook!AB$38,Data!$A$1:$J$1,0))</f>
        <v>747</v>
      </c>
      <c r="AC60" s="44">
        <f>INDEX(Data!$A:$J,MATCH(Factbook!$O60,Data!$A:$A,0),MATCH(Factbook!AC$38,Data!$A$1:$J$1,0))</f>
        <v>1261</v>
      </c>
      <c r="AD60" s="44">
        <f>INDEX(Data!$A:$J,MATCH(Factbook!$O60,Data!$A:$A,0),MATCH(Factbook!AD$38,Data!$A$1:$J$1,0))</f>
        <v>1976</v>
      </c>
      <c r="AH60" s="43"/>
      <c r="AI60" s="43"/>
      <c r="AJ60" s="43"/>
      <c r="AK60" s="43"/>
    </row>
    <row customHeight="1" ht="11.1" r="61" spans="14:37" x14ac:dyDescent="0.25">
      <c r="N61" s="44">
        <f si="18" t="shared"/>
        <v>3</v>
      </c>
      <c r="O61" s="44">
        <f>LARGE(Data!A:A,Factbook!N61)</f>
        <v>2009</v>
      </c>
      <c r="P61" s="44">
        <f>INDEX(Data!$A:$J,MATCH(Factbook!$O61,Data!$A:$A,0),MATCH(Factbook!P$38,Data!$A$1:$J$1,0))</f>
        <v>2046</v>
      </c>
      <c r="Q61" s="44">
        <f>INDEX(Data!$A:$J,MATCH(Factbook!$O61,Data!$A:$A,0),MATCH(Factbook!Q$38,Data!$A$1:$J$1,0))</f>
        <v>2886</v>
      </c>
      <c r="R61" s="44">
        <f>INDEX(Data!$A:$J,MATCH(Factbook!$O61,Data!$A:$A,0),MATCH(Factbook!R$38,Data!$A$1:$J$1,0))</f>
        <v>4004</v>
      </c>
      <c r="V61" s="44">
        <f>INDEX(Data!$A:$J,MATCH(Factbook!$O61,Data!$A:$A,0),MATCH(Factbook!V$38,Data!$A$1:$J$1,0))</f>
        <v>1757</v>
      </c>
      <c r="W61" s="44">
        <f>INDEX(Data!$A:$J,MATCH(Factbook!$O61,Data!$A:$A,0),MATCH(Factbook!W$38,Data!$A$1:$J$1,0))</f>
        <v>3083</v>
      </c>
      <c r="X61" s="44">
        <f>INDEX(Data!$A:$J,MATCH(Factbook!$O61,Data!$A:$A,0),MATCH(Factbook!X$38,Data!$A$1:$J$1,0))</f>
        <v>4320</v>
      </c>
      <c r="AB61" s="44">
        <f>INDEX(Data!$A:$J,MATCH(Factbook!$O61,Data!$A:$A,0),MATCH(Factbook!AB$38,Data!$A$1:$J$1,0))</f>
        <v>721</v>
      </c>
      <c r="AC61" s="44">
        <f>INDEX(Data!$A:$J,MATCH(Factbook!$O61,Data!$A:$A,0),MATCH(Factbook!AC$38,Data!$A$1:$J$1,0))</f>
        <v>1296</v>
      </c>
      <c r="AD61" s="44">
        <f>INDEX(Data!$A:$J,MATCH(Factbook!$O61,Data!$A:$A,0),MATCH(Factbook!AD$38,Data!$A$1:$J$1,0))</f>
        <v>1917</v>
      </c>
      <c r="AH61" s="43"/>
      <c r="AI61" s="43"/>
      <c r="AJ61" s="43"/>
      <c r="AK61" s="43"/>
    </row>
    <row customHeight="1" ht="11.1" r="62" spans="14:37" x14ac:dyDescent="0.25">
      <c r="N62" s="44">
        <f si="18" t="shared"/>
        <v>2</v>
      </c>
      <c r="O62" s="44">
        <f>LARGE(Data!A:A,Factbook!N62)</f>
        <v>2010</v>
      </c>
      <c r="P62" s="44">
        <f>INDEX(Data!$A:$J,MATCH(Factbook!$O62,Data!$A:$A,0),MATCH(Factbook!P$38,Data!$A$1:$J$1,0))</f>
        <v>2270</v>
      </c>
      <c r="Q62" s="44">
        <f>INDEX(Data!$A:$J,MATCH(Factbook!$O62,Data!$A:$A,0),MATCH(Factbook!Q$38,Data!$A$1:$J$1,0))</f>
        <v>3201</v>
      </c>
      <c r="R62" s="44">
        <f>INDEX(Data!$A:$J,MATCH(Factbook!$O62,Data!$A:$A,0),MATCH(Factbook!R$38,Data!$A$1:$J$1,0))</f>
        <v>4457</v>
      </c>
      <c r="V62" s="44">
        <f>INDEX(Data!$A:$J,MATCH(Factbook!$O62,Data!$A:$A,0),MATCH(Factbook!V$38,Data!$A$1:$J$1,0))</f>
        <v>1958</v>
      </c>
      <c r="W62" s="44">
        <f>INDEX(Data!$A:$J,MATCH(Factbook!$O62,Data!$A:$A,0),MATCH(Factbook!W$38,Data!$A$1:$J$1,0))</f>
        <v>3359</v>
      </c>
      <c r="X62" s="44">
        <f>INDEX(Data!$A:$J,MATCH(Factbook!$O62,Data!$A:$A,0),MATCH(Factbook!X$38,Data!$A$1:$J$1,0))</f>
        <v>4532</v>
      </c>
      <c r="AB62" s="44">
        <f>INDEX(Data!$A:$J,MATCH(Factbook!$O62,Data!$A:$A,0),MATCH(Factbook!AB$38,Data!$A$1:$J$1,0))</f>
        <v>759</v>
      </c>
      <c r="AC62" s="44">
        <f>INDEX(Data!$A:$J,MATCH(Factbook!$O62,Data!$A:$A,0),MATCH(Factbook!AC$38,Data!$A$1:$J$1,0))</f>
        <v>1258</v>
      </c>
      <c r="AD62" s="44">
        <f>INDEX(Data!$A:$J,MATCH(Factbook!$O62,Data!$A:$A,0),MATCH(Factbook!AD$38,Data!$A$1:$J$1,0))</f>
        <v>1934</v>
      </c>
      <c r="AH62" s="43"/>
      <c r="AI62" s="43"/>
      <c r="AJ62" s="43"/>
      <c r="AK62" s="43"/>
    </row>
    <row customHeight="1" ht="11.1" r="63" spans="14:37" x14ac:dyDescent="0.25">
      <c r="N63" s="44">
        <f si="18" t="shared"/>
        <v>1</v>
      </c>
      <c r="O63" s="44">
        <f>LARGE(Data!A:A,Factbook!N63)</f>
        <v>2011</v>
      </c>
      <c r="P63" s="44">
        <f>INDEX(Data!$A:$J,MATCH(Factbook!$O63,Data!$A:$A,0),MATCH(Factbook!P$38,Data!$A$1:$J$1,0))</f>
        <v>2373</v>
      </c>
      <c r="Q63" s="44">
        <f>INDEX(Data!$A:$J,MATCH(Factbook!$O63,Data!$A:$A,0),MATCH(Factbook!Q$38,Data!$A$1:$J$1,0))</f>
        <v>3260</v>
      </c>
      <c r="R63" s="44">
        <f>INDEX(Data!$A:$J,MATCH(Factbook!$O63,Data!$A:$A,0),MATCH(Factbook!R$38,Data!$A$1:$J$1,0))</f>
        <v>4433</v>
      </c>
      <c r="V63" s="44">
        <f>INDEX(Data!$A:$J,MATCH(Factbook!$O63,Data!$A:$A,0),MATCH(Factbook!V$38,Data!$A$1:$J$1,0))</f>
        <v>2191</v>
      </c>
      <c r="W63" s="44">
        <f>INDEX(Data!$A:$J,MATCH(Factbook!$O63,Data!$A:$A,0),MATCH(Factbook!W$38,Data!$A$1:$J$1,0))</f>
        <v>3673</v>
      </c>
      <c r="X63" s="44">
        <f>INDEX(Data!$A:$J,MATCH(Factbook!$O63,Data!$A:$A,0),MATCH(Factbook!X$38,Data!$A$1:$J$1,0))</f>
        <v>5023</v>
      </c>
      <c r="AB63" s="44">
        <f>INDEX(Data!$A:$J,MATCH(Factbook!$O63,Data!$A:$A,0),MATCH(Factbook!AB$38,Data!$A$1:$J$1,0))</f>
        <v>756</v>
      </c>
      <c r="AC63" s="44">
        <f>INDEX(Data!$A:$J,MATCH(Factbook!$O63,Data!$A:$A,0),MATCH(Factbook!AC$38,Data!$A$1:$J$1,0))</f>
        <v>1277</v>
      </c>
      <c r="AD63" s="44">
        <f>INDEX(Data!$A:$J,MATCH(Factbook!$O63,Data!$A:$A,0),MATCH(Factbook!AD$38,Data!$A$1:$J$1,0))</f>
        <v>1897</v>
      </c>
      <c r="AH63" s="43"/>
      <c r="AI63" s="43"/>
      <c r="AJ63" s="43"/>
      <c r="AK63" s="43"/>
    </row>
    <row customHeight="1" ht="9.9499999999999993" r="64" spans="14:37" x14ac:dyDescent="0.25">
      <c r="AH64" s="43"/>
      <c r="AI64" s="43"/>
      <c r="AJ64" s="43"/>
      <c r="AK64" s="43"/>
    </row>
    <row customHeight="1" ht="11.1" r="65" spans="14:37" x14ac:dyDescent="0.25">
      <c r="AH65" s="43"/>
      <c r="AI65" s="43"/>
      <c r="AJ65" s="43"/>
      <c r="AK65" s="43"/>
    </row>
    <row customHeight="1" ht="11.1" r="66" spans="14:37" x14ac:dyDescent="0.25"/>
    <row customHeight="1" ht="11.1" r="67" spans="14:37" x14ac:dyDescent="0.25">
      <c r="N67" s="66" t="s">
        <v>54</v>
      </c>
    </row>
    <row customHeight="1" ht="11.1" r="68" spans="14:37" x14ac:dyDescent="0.25">
      <c r="P68" s="44" t="s">
        <v>56</v>
      </c>
      <c r="Q68" s="64" t="s">
        <v>57</v>
      </c>
      <c r="R68" s="44" t="s">
        <v>58</v>
      </c>
      <c r="X68" s="64"/>
      <c r="AD68" s="64"/>
    </row>
    <row customHeight="1" ht="11.1" r="69" spans="14:37" x14ac:dyDescent="0.25">
      <c r="O69" s="44">
        <v>1988</v>
      </c>
      <c r="P69" s="44">
        <f>P40+V40+AB40</f>
        <v>2432</v>
      </c>
      <c r="Q69" s="65">
        <f>Q40+W40+AC40</f>
        <v>5735</v>
      </c>
      <c r="R69" s="64">
        <f>P69/Q69</f>
        <v>0.42406277244986923</v>
      </c>
      <c r="X69" s="64"/>
      <c r="AD69" s="64"/>
    </row>
    <row customHeight="1" ht="11.1" r="70" spans="14:37" x14ac:dyDescent="0.25">
      <c r="O70" s="44">
        <v>1989</v>
      </c>
      <c r="P70" s="44">
        <f ref="P70:P92" si="19" t="shared">P41+V41+AB41</f>
        <v>2279</v>
      </c>
      <c r="Q70" s="65">
        <f ref="Q70:Q92" si="20" t="shared">Q41+W41+AC41</f>
        <v>5568</v>
      </c>
      <c r="R70" s="64">
        <f ref="R70:R92" si="21" t="shared">P70/Q70</f>
        <v>0.40930316091954022</v>
      </c>
      <c r="X70" s="64"/>
      <c r="AD70" s="64"/>
    </row>
    <row customHeight="1" ht="11.1" r="71" spans="14:37" x14ac:dyDescent="0.25">
      <c r="O71" s="44">
        <v>1990</v>
      </c>
      <c r="P71" s="44">
        <f si="19" t="shared"/>
        <v>2021</v>
      </c>
      <c r="Q71" s="65">
        <f si="20" t="shared"/>
        <v>4907</v>
      </c>
      <c r="R71" s="64">
        <f si="21" t="shared"/>
        <v>0.41186060729570001</v>
      </c>
      <c r="X71" s="64"/>
      <c r="AD71" s="64"/>
    </row>
    <row customHeight="1" ht="11.1" r="72" spans="14:37" x14ac:dyDescent="0.25">
      <c r="O72" s="44">
        <v>1991</v>
      </c>
      <c r="P72" s="44">
        <f si="19" t="shared"/>
        <v>2018</v>
      </c>
      <c r="Q72" s="65">
        <f si="20" t="shared"/>
        <v>4844</v>
      </c>
      <c r="R72" s="64">
        <f si="21" t="shared"/>
        <v>0.41659785301403801</v>
      </c>
      <c r="X72" s="64"/>
      <c r="AD72" s="64"/>
    </row>
    <row customHeight="1" ht="11.1" r="73" spans="14:37" x14ac:dyDescent="0.25">
      <c r="O73" s="44">
        <v>1992</v>
      </c>
      <c r="P73" s="44">
        <f si="19" t="shared"/>
        <v>2164</v>
      </c>
      <c r="Q73" s="65">
        <f si="20" t="shared"/>
        <v>5050</v>
      </c>
      <c r="R73" s="64">
        <f si="21" t="shared"/>
        <v>0.42851485148514851</v>
      </c>
      <c r="X73" s="64"/>
      <c r="AD73" s="64"/>
    </row>
    <row customHeight="1" ht="11.1" r="74" spans="14:37" x14ac:dyDescent="0.25">
      <c r="O74" s="44">
        <v>1993</v>
      </c>
      <c r="P74" s="44">
        <f si="19" t="shared"/>
        <v>2334</v>
      </c>
      <c r="Q74" s="65">
        <f si="20" t="shared"/>
        <v>5163</v>
      </c>
      <c r="R74" s="64">
        <f si="21" t="shared"/>
        <v>0.45206275421266706</v>
      </c>
      <c r="X74" s="64"/>
      <c r="AD74" s="64"/>
    </row>
    <row customHeight="1" ht="11.1" r="75" spans="14:37" x14ac:dyDescent="0.25">
      <c r="O75" s="44">
        <v>1994</v>
      </c>
      <c r="P75" s="44">
        <f si="19" t="shared"/>
        <v>2445</v>
      </c>
      <c r="Q75" s="65">
        <f si="20" t="shared"/>
        <v>5298</v>
      </c>
      <c r="R75" s="64">
        <f si="21" t="shared"/>
        <v>0.46149490373725932</v>
      </c>
      <c r="X75" s="64"/>
      <c r="AD75" s="64"/>
    </row>
    <row customHeight="1" ht="11.1" r="76" spans="14:37" x14ac:dyDescent="0.25">
      <c r="O76" s="44">
        <v>1995</v>
      </c>
      <c r="P76" s="44">
        <f si="19" t="shared"/>
        <v>2647</v>
      </c>
      <c r="Q76" s="65">
        <f si="20" t="shared"/>
        <v>5622</v>
      </c>
      <c r="R76" s="64">
        <f si="21" t="shared"/>
        <v>0.47082888651725363</v>
      </c>
      <c r="X76" s="64"/>
      <c r="AD76" s="64"/>
    </row>
    <row customHeight="1" ht="11.1" r="77" spans="14:37" x14ac:dyDescent="0.25">
      <c r="O77" s="44">
        <v>1996</v>
      </c>
      <c r="P77" s="44">
        <f si="19" t="shared"/>
        <v>2988</v>
      </c>
      <c r="Q77" s="65">
        <f si="20" t="shared"/>
        <v>5889</v>
      </c>
      <c r="R77" s="64">
        <f si="21" t="shared"/>
        <v>0.50738665308201736</v>
      </c>
      <c r="X77" s="64"/>
      <c r="AD77" s="64"/>
    </row>
    <row customHeight="1" ht="11.1" r="78" spans="14:37" x14ac:dyDescent="0.25">
      <c r="O78" s="44">
        <v>1997</v>
      </c>
      <c r="P78" s="44">
        <f si="19" t="shared"/>
        <v>2978</v>
      </c>
      <c r="Q78" s="65">
        <f si="20" t="shared"/>
        <v>6193</v>
      </c>
      <c r="R78" s="64">
        <f si="21" t="shared"/>
        <v>0.48086549329888584</v>
      </c>
      <c r="X78" s="64"/>
      <c r="AD78" s="64"/>
    </row>
    <row customHeight="1" ht="11.1" r="79" spans="14:37" x14ac:dyDescent="0.25">
      <c r="O79" s="44">
        <v>1998</v>
      </c>
      <c r="P79" s="44">
        <f si="19" t="shared"/>
        <v>3090</v>
      </c>
      <c r="Q79" s="65">
        <f si="20" t="shared"/>
        <v>6381</v>
      </c>
      <c r="R79" s="64">
        <f si="21" t="shared"/>
        <v>0.48425011753643632</v>
      </c>
      <c r="X79" s="64"/>
      <c r="AD79" s="64"/>
    </row>
    <row customHeight="1" ht="11.1" r="80" spans="14:37" x14ac:dyDescent="0.25">
      <c r="O80" s="44">
        <v>1999</v>
      </c>
      <c r="P80" s="44">
        <f si="19" t="shared"/>
        <v>3395</v>
      </c>
      <c r="Q80" s="65">
        <f si="20" t="shared"/>
        <v>6589</v>
      </c>
      <c r="R80" s="64">
        <f si="21" t="shared"/>
        <v>0.51525269388374562</v>
      </c>
      <c r="X80" s="64"/>
      <c r="AD80" s="64"/>
    </row>
    <row customHeight="1" ht="11.1" r="81" spans="15:30" x14ac:dyDescent="0.25">
      <c r="O81" s="44">
        <v>2000</v>
      </c>
      <c r="P81" s="44">
        <f si="19" t="shared"/>
        <v>3538</v>
      </c>
      <c r="Q81" s="65">
        <f si="20" t="shared"/>
        <v>6702</v>
      </c>
      <c r="R81" s="64">
        <f si="21" t="shared"/>
        <v>0.52790211877051629</v>
      </c>
      <c r="X81" s="64"/>
      <c r="AD81" s="64"/>
    </row>
    <row customHeight="1" ht="11.1" r="82" spans="15:30" x14ac:dyDescent="0.25">
      <c r="O82" s="44">
        <v>2001</v>
      </c>
      <c r="P82" s="44">
        <f si="19" t="shared"/>
        <v>3689</v>
      </c>
      <c r="Q82" s="65">
        <f si="20" t="shared"/>
        <v>6955</v>
      </c>
      <c r="R82" s="64">
        <f si="21" t="shared"/>
        <v>0.53040977713874915</v>
      </c>
      <c r="X82" s="64"/>
      <c r="AD82" s="64"/>
    </row>
    <row customHeight="1" ht="11.1" r="83" spans="15:30" x14ac:dyDescent="0.25">
      <c r="O83" s="44">
        <v>2002</v>
      </c>
      <c r="P83" s="44">
        <f si="19" t="shared"/>
        <v>3670</v>
      </c>
      <c r="Q83" s="65">
        <f si="20" t="shared"/>
        <v>6662</v>
      </c>
      <c r="R83" s="64">
        <f si="21" t="shared"/>
        <v>0.5508856199339538</v>
      </c>
      <c r="X83" s="64"/>
      <c r="AD83" s="64"/>
    </row>
    <row customHeight="1" ht="11.1" r="84" spans="15:30" x14ac:dyDescent="0.25">
      <c r="O84" s="44">
        <v>2003</v>
      </c>
      <c r="P84" s="44">
        <f si="19" t="shared"/>
        <v>3693</v>
      </c>
      <c r="Q84" s="65">
        <f si="20" t="shared"/>
        <v>6631</v>
      </c>
      <c r="R84" s="64">
        <f si="21" t="shared"/>
        <v>0.55692957321670944</v>
      </c>
      <c r="X84" s="64"/>
      <c r="AD84" s="64"/>
    </row>
    <row customHeight="1" ht="11.1" r="85" spans="15:30" x14ac:dyDescent="0.25">
      <c r="O85" s="44">
        <v>2004</v>
      </c>
      <c r="P85" s="44">
        <f si="19" t="shared"/>
        <v>3694</v>
      </c>
      <c r="Q85" s="65">
        <f si="20" t="shared"/>
        <v>6466</v>
      </c>
      <c r="R85" s="64">
        <f si="21" t="shared"/>
        <v>0.57129600989792761</v>
      </c>
      <c r="X85" s="64"/>
      <c r="AD85" s="64"/>
    </row>
    <row customHeight="1" ht="11.1" r="86" spans="15:30" x14ac:dyDescent="0.25">
      <c r="O86" s="44">
        <v>2005</v>
      </c>
      <c r="P86" s="44">
        <f si="19" t="shared"/>
        <v>3660</v>
      </c>
      <c r="Q86" s="65">
        <f si="20" t="shared"/>
        <v>6357</v>
      </c>
      <c r="R86" s="64">
        <f si="21" t="shared"/>
        <v>0.57574327512977819</v>
      </c>
      <c r="X86" s="64"/>
      <c r="AD86" s="64"/>
    </row>
    <row customHeight="1" ht="11.1" r="87" spans="15:30" x14ac:dyDescent="0.25">
      <c r="O87" s="44">
        <v>2006</v>
      </c>
      <c r="P87" s="44">
        <f si="19" t="shared"/>
        <v>4168</v>
      </c>
      <c r="Q87" s="65">
        <f si="20" t="shared"/>
        <v>6872</v>
      </c>
      <c r="R87" s="64">
        <f si="21" t="shared"/>
        <v>0.60651920838183937</v>
      </c>
      <c r="X87" s="64"/>
      <c r="AD87" s="64"/>
    </row>
    <row customHeight="1" ht="11.1" r="88" spans="15:30" x14ac:dyDescent="0.25">
      <c r="O88" s="44">
        <v>2007</v>
      </c>
      <c r="P88" s="44">
        <f si="19" t="shared"/>
        <v>4349</v>
      </c>
      <c r="Q88" s="65">
        <f si="20" t="shared"/>
        <v>7172</v>
      </c>
      <c r="R88" s="64">
        <f si="21" t="shared"/>
        <v>0.60638594534300061</v>
      </c>
      <c r="X88" s="64"/>
      <c r="AD88" s="64"/>
    </row>
    <row customHeight="1" ht="11.1" r="89" spans="15:30" x14ac:dyDescent="0.25">
      <c r="O89" s="44">
        <v>2008</v>
      </c>
      <c r="P89" s="44">
        <f si="19" t="shared"/>
        <v>4552</v>
      </c>
      <c r="Q89" s="65">
        <f si="20" t="shared"/>
        <v>7311</v>
      </c>
      <c r="R89" s="64">
        <f si="21" t="shared"/>
        <v>0.62262344412529069</v>
      </c>
      <c r="X89" s="64"/>
      <c r="AD89" s="64"/>
    </row>
    <row customHeight="1" ht="11.1" r="90" spans="15:30" x14ac:dyDescent="0.25">
      <c r="O90" s="44">
        <v>2009</v>
      </c>
      <c r="P90" s="44">
        <f si="19" t="shared"/>
        <v>4524</v>
      </c>
      <c r="Q90" s="65">
        <f si="20" t="shared"/>
        <v>7265</v>
      </c>
      <c r="R90" s="64">
        <f si="21" t="shared"/>
        <v>0.62271163110805228</v>
      </c>
      <c r="X90" s="64"/>
      <c r="AD90" s="64"/>
    </row>
    <row customHeight="1" ht="11.1" r="91" spans="15:30" x14ac:dyDescent="0.25">
      <c r="O91" s="44">
        <v>2010</v>
      </c>
      <c r="P91" s="44">
        <f si="19" t="shared"/>
        <v>4987</v>
      </c>
      <c r="Q91" s="65">
        <f si="20" t="shared"/>
        <v>7818</v>
      </c>
      <c r="R91" s="64">
        <f si="21" t="shared"/>
        <v>0.6378869276029675</v>
      </c>
      <c r="X91" s="64"/>
      <c r="AD91" s="64"/>
    </row>
    <row customHeight="1" ht="11.1" r="92" spans="15:30" x14ac:dyDescent="0.25">
      <c r="O92" s="44">
        <v>2011</v>
      </c>
      <c r="P92" s="44">
        <f si="19" t="shared"/>
        <v>5320</v>
      </c>
      <c r="Q92" s="65">
        <f si="20" t="shared"/>
        <v>8210</v>
      </c>
      <c r="R92" s="64">
        <f si="21" t="shared"/>
        <v>0.6479902557856273</v>
      </c>
      <c r="X92" s="64"/>
      <c r="AD92" s="64"/>
    </row>
    <row customHeight="1" ht="11.1" r="93" spans="15:30" x14ac:dyDescent="0.25">
      <c r="Q93" s="65"/>
      <c r="X93" s="64"/>
      <c r="AD93" s="64"/>
    </row>
    <row customHeight="1" ht="11.1" r="94" spans="15:30" x14ac:dyDescent="0.25">
      <c r="Q94" s="65"/>
      <c r="X94" s="64"/>
      <c r="AD94" s="64"/>
    </row>
    <row customHeight="1" ht="11.1" r="95" spans="15:30" x14ac:dyDescent="0.25">
      <c r="Q95" s="65"/>
      <c r="X95" s="64"/>
      <c r="AD95" s="64"/>
    </row>
    <row customHeight="1" ht="11.1" r="96" spans="15:30" x14ac:dyDescent="0.25">
      <c r="Q96" s="65"/>
      <c r="X96" s="64"/>
      <c r="AD96" s="64"/>
    </row>
    <row customHeight="1" ht="11.1" r="97" spans="17:30" x14ac:dyDescent="0.25">
      <c r="Q97" s="65"/>
      <c r="X97" s="64"/>
      <c r="AD97" s="64"/>
    </row>
    <row customHeight="1" ht="11.1" r="98" spans="17:30" x14ac:dyDescent="0.25">
      <c r="Q98" s="65"/>
      <c r="X98" s="64"/>
      <c r="AD98" s="64"/>
    </row>
    <row customHeight="1" ht="11.1" r="99" spans="17:30" x14ac:dyDescent="0.25">
      <c r="Q99" s="65"/>
      <c r="X99" s="64"/>
      <c r="AD99" s="64"/>
    </row>
    <row customHeight="1" ht="11.1" r="100" spans="17:30" x14ac:dyDescent="0.25">
      <c r="Q100" s="65"/>
      <c r="X100" s="64"/>
      <c r="AD100" s="64"/>
    </row>
    <row customHeight="1" ht="11.1" r="101" spans="17:30" x14ac:dyDescent="0.25">
      <c r="Q101" s="65"/>
      <c r="X101" s="64"/>
      <c r="AD101" s="64"/>
    </row>
    <row customHeight="1" ht="11.1" r="102" spans="17:30" x14ac:dyDescent="0.25">
      <c r="Q102" s="65"/>
      <c r="X102" s="64"/>
      <c r="AD102" s="64"/>
    </row>
    <row customHeight="1" ht="11.1" r="103" spans="17:30" x14ac:dyDescent="0.25">
      <c r="Q103" s="65"/>
      <c r="X103" s="64"/>
      <c r="AD103" s="64"/>
    </row>
    <row customHeight="1" ht="11.1" r="104" spans="17:30" x14ac:dyDescent="0.25">
      <c r="Q104" s="65"/>
      <c r="X104" s="64"/>
      <c r="AD104" s="64"/>
    </row>
    <row customHeight="1" ht="11.1" r="105" spans="17:30" x14ac:dyDescent="0.25">
      <c r="Q105" s="65"/>
      <c r="X105" s="64"/>
      <c r="AD105" s="64"/>
    </row>
    <row customHeight="1" ht="11.1" r="106" spans="17:30" x14ac:dyDescent="0.25">
      <c r="Q106" s="65"/>
      <c r="X106" s="64"/>
      <c r="AD106" s="64"/>
    </row>
    <row customHeight="1" ht="11.1" r="107" spans="17:30" x14ac:dyDescent="0.25">
      <c r="Q107" s="65"/>
      <c r="X107" s="64"/>
      <c r="AD107" s="64"/>
    </row>
    <row customHeight="1" ht="11.1" r="108" spans="17:30" x14ac:dyDescent="0.25">
      <c r="Q108" s="65"/>
      <c r="X108" s="64"/>
      <c r="AD108" s="64"/>
    </row>
  </sheetData>
  <mergeCells count="1">
    <mergeCell ref="N36:Q37"/>
  </mergeCells>
  <pageMargins bottom="0.95" footer="0.2" header="0.2" left="0.5" right="0.5" top="0.7"/>
  <pageSetup orientation="portrait" r:id="rId1"/>
  <headerFooter>
    <oddFooter><![CDATA[&L&8Source: Board of Regents
LSA Staff Contact: Robin Madison  (515.281.5270) &Urobin.madison@legis.iowa.gov&U
&C&G
&R&G]]></oddFooter>
  </headerFooter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1"/>
  </sheetPr>
  <dimension ref="A1:K26"/>
  <sheetViews>
    <sheetView workbookViewId="0">
      <selection activeCell="B11" sqref="B11"/>
    </sheetView>
  </sheetViews>
  <sheetFormatPr defaultRowHeight="12" x14ac:dyDescent="0.2"/>
  <cols>
    <col min="1" max="1" bestFit="true" customWidth="true" style="38" width="5.0" collapsed="false"/>
    <col min="2" max="2" bestFit="true" customWidth="true" style="38" width="10.140625" collapsed="false"/>
    <col min="3" max="4" bestFit="true" customWidth="true" style="38" width="10.42578125" collapsed="false"/>
    <col min="5" max="5" bestFit="true" customWidth="true" style="38" width="10.140625" collapsed="false"/>
    <col min="6" max="10" bestFit="true" customWidth="true" width="10.42578125" collapsed="false"/>
  </cols>
  <sheetData>
    <row r="1" spans="1:10" x14ac:dyDescent="0.2">
      <c r="B1" s="38" t="s">
        <v>36</v>
      </c>
      <c r="C1" s="38" t="s">
        <v>37</v>
      </c>
      <c r="D1" s="38" t="s">
        <v>38</v>
      </c>
      <c r="E1" s="38" t="s">
        <v>34</v>
      </c>
      <c r="F1" t="s">
        <v>35</v>
      </c>
      <c r="G1" t="s">
        <v>42</v>
      </c>
      <c r="H1" t="s">
        <v>39</v>
      </c>
      <c r="I1" t="s">
        <v>40</v>
      </c>
      <c r="J1" t="s">
        <v>41</v>
      </c>
    </row>
    <row r="2" spans="1:10" x14ac:dyDescent="0.2">
      <c r="A2" s="38">
        <v>1988</v>
      </c>
      <c r="B2" s="39">
        <v>3610</v>
      </c>
      <c r="C2" s="39">
        <v>1099</v>
      </c>
      <c r="D2" s="39">
        <v>2208</v>
      </c>
      <c r="E2" s="39">
        <v>3744</v>
      </c>
      <c r="F2" s="39">
        <v>806</v>
      </c>
      <c r="G2" s="39">
        <v>2381</v>
      </c>
      <c r="H2" s="39">
        <v>1898</v>
      </c>
      <c r="I2" s="39">
        <v>527</v>
      </c>
      <c r="J2" s="39">
        <v>1146</v>
      </c>
    </row>
    <row r="3" spans="1:10" x14ac:dyDescent="0.2">
      <c r="A3" s="38">
        <v>1989</v>
      </c>
      <c r="B3" s="39">
        <v>3348</v>
      </c>
      <c r="C3" s="39">
        <v>1027</v>
      </c>
      <c r="D3" s="39">
        <v>2039</v>
      </c>
      <c r="E3" s="39">
        <v>3751</v>
      </c>
      <c r="F3" s="39">
        <v>763</v>
      </c>
      <c r="G3" s="39">
        <v>2312</v>
      </c>
      <c r="H3" s="39">
        <v>1967</v>
      </c>
      <c r="I3" s="39">
        <v>489</v>
      </c>
      <c r="J3" s="39">
        <v>1217</v>
      </c>
    </row>
    <row r="4" spans="1:10" x14ac:dyDescent="0.2">
      <c r="A4" s="38">
        <v>1990</v>
      </c>
      <c r="B4" s="39">
        <v>2700</v>
      </c>
      <c r="C4" s="39">
        <v>887</v>
      </c>
      <c r="D4" s="39">
        <v>1689</v>
      </c>
      <c r="E4" s="39">
        <v>3310</v>
      </c>
      <c r="F4" s="39">
        <v>629</v>
      </c>
      <c r="G4" s="39">
        <v>1985</v>
      </c>
      <c r="H4" s="39">
        <v>2075</v>
      </c>
      <c r="I4" s="39">
        <v>505</v>
      </c>
      <c r="J4" s="39">
        <v>1233</v>
      </c>
    </row>
    <row r="5" spans="1:10" x14ac:dyDescent="0.2">
      <c r="A5" s="38">
        <v>1991</v>
      </c>
      <c r="B5" s="39">
        <v>2738</v>
      </c>
      <c r="C5" s="39">
        <v>884</v>
      </c>
      <c r="D5" s="39">
        <v>1727</v>
      </c>
      <c r="E5" s="39">
        <v>3228</v>
      </c>
      <c r="F5" s="39">
        <v>664</v>
      </c>
      <c r="G5" s="39">
        <v>1939</v>
      </c>
      <c r="H5" s="39">
        <v>1951</v>
      </c>
      <c r="I5" s="39">
        <v>470</v>
      </c>
      <c r="J5" s="39">
        <v>1178</v>
      </c>
    </row>
    <row r="6" spans="1:10" x14ac:dyDescent="0.2">
      <c r="A6" s="38">
        <v>1992</v>
      </c>
      <c r="B6" s="39">
        <v>3111</v>
      </c>
      <c r="C6" s="39">
        <v>1006</v>
      </c>
      <c r="D6" s="39">
        <v>1983</v>
      </c>
      <c r="E6" s="39">
        <v>3333</v>
      </c>
      <c r="F6" s="39">
        <v>723</v>
      </c>
      <c r="G6" s="39">
        <v>2035</v>
      </c>
      <c r="H6" s="39">
        <v>1659</v>
      </c>
      <c r="I6" s="39">
        <v>435</v>
      </c>
      <c r="J6" s="39">
        <v>1032</v>
      </c>
    </row>
    <row r="7" spans="1:10" x14ac:dyDescent="0.2">
      <c r="A7" s="38">
        <v>1993</v>
      </c>
      <c r="B7" s="39">
        <v>3131</v>
      </c>
      <c r="C7" s="39">
        <v>1082</v>
      </c>
      <c r="D7" s="39">
        <v>1965</v>
      </c>
      <c r="E7" s="39">
        <v>3416</v>
      </c>
      <c r="F7" s="39">
        <v>763</v>
      </c>
      <c r="G7" s="39">
        <v>2062</v>
      </c>
      <c r="H7" s="39">
        <v>1807</v>
      </c>
      <c r="I7" s="39">
        <v>489</v>
      </c>
      <c r="J7" s="39">
        <v>1136</v>
      </c>
    </row>
    <row r="8" spans="1:10" x14ac:dyDescent="0.2">
      <c r="A8" s="38">
        <v>1994</v>
      </c>
      <c r="B8" s="39">
        <v>3229</v>
      </c>
      <c r="C8" s="39">
        <v>1107</v>
      </c>
      <c r="D8" s="39">
        <v>2068</v>
      </c>
      <c r="E8" s="39">
        <v>3325</v>
      </c>
      <c r="F8" s="39">
        <v>799</v>
      </c>
      <c r="G8" s="39">
        <v>2075</v>
      </c>
      <c r="H8" s="39">
        <v>1856</v>
      </c>
      <c r="I8" s="39">
        <v>539</v>
      </c>
      <c r="J8" s="39">
        <v>1155</v>
      </c>
    </row>
    <row r="9" spans="1:10" x14ac:dyDescent="0.2">
      <c r="A9" s="38">
        <v>1995</v>
      </c>
      <c r="B9" s="39">
        <v>3462</v>
      </c>
      <c r="C9" s="39">
        <v>1221</v>
      </c>
      <c r="D9" s="39">
        <v>2247</v>
      </c>
      <c r="E9" s="39">
        <v>3274</v>
      </c>
      <c r="F9" s="39">
        <v>822</v>
      </c>
      <c r="G9" s="39">
        <v>2086</v>
      </c>
      <c r="H9" s="39">
        <v>2007</v>
      </c>
      <c r="I9" s="39">
        <v>604</v>
      </c>
      <c r="J9" s="39">
        <v>1289</v>
      </c>
    </row>
    <row r="10" spans="1:10" x14ac:dyDescent="0.2">
      <c r="A10" s="38">
        <v>1996</v>
      </c>
      <c r="B10" s="39">
        <v>3417</v>
      </c>
      <c r="C10" s="39">
        <v>1293</v>
      </c>
      <c r="D10" s="39">
        <v>2202</v>
      </c>
      <c r="E10" s="39">
        <v>3599</v>
      </c>
      <c r="F10" s="39">
        <v>1022</v>
      </c>
      <c r="G10" s="39">
        <v>2349</v>
      </c>
      <c r="H10" s="39">
        <v>2012</v>
      </c>
      <c r="I10" s="39">
        <v>673</v>
      </c>
      <c r="J10" s="39">
        <v>1338</v>
      </c>
    </row>
    <row r="11" spans="1:10" x14ac:dyDescent="0.2">
      <c r="A11" s="38">
        <v>1997</v>
      </c>
      <c r="B11" s="39">
        <v>3573</v>
      </c>
      <c r="C11" s="39">
        <v>1345</v>
      </c>
      <c r="D11" s="39">
        <v>2307</v>
      </c>
      <c r="E11" s="39">
        <v>4007</v>
      </c>
      <c r="F11" s="39">
        <v>1081</v>
      </c>
      <c r="G11" s="39">
        <v>2634</v>
      </c>
      <c r="H11" s="39">
        <v>1919</v>
      </c>
      <c r="I11" s="39">
        <v>552</v>
      </c>
      <c r="J11" s="39">
        <v>1252</v>
      </c>
    </row>
    <row r="12" spans="1:10" x14ac:dyDescent="0.2">
      <c r="A12" s="38">
        <v>1998</v>
      </c>
      <c r="B12" s="39">
        <v>3876</v>
      </c>
      <c r="C12" s="39">
        <v>1394</v>
      </c>
      <c r="D12" s="39">
        <v>2581</v>
      </c>
      <c r="E12" s="39">
        <v>3800</v>
      </c>
      <c r="F12" s="39">
        <v>1111</v>
      </c>
      <c r="G12" s="39">
        <v>2526</v>
      </c>
      <c r="H12" s="39">
        <v>1982</v>
      </c>
      <c r="I12" s="39">
        <v>585</v>
      </c>
      <c r="J12" s="39">
        <v>1274</v>
      </c>
    </row>
    <row r="13" spans="1:10" x14ac:dyDescent="0.2">
      <c r="A13" s="38">
        <v>1999</v>
      </c>
      <c r="B13" s="39">
        <v>3747</v>
      </c>
      <c r="C13" s="39">
        <v>1422</v>
      </c>
      <c r="D13" s="39">
        <v>2475</v>
      </c>
      <c r="E13" s="39">
        <v>4020</v>
      </c>
      <c r="F13" s="39">
        <v>1261</v>
      </c>
      <c r="G13" s="39">
        <v>2734</v>
      </c>
      <c r="H13" s="39">
        <v>2124</v>
      </c>
      <c r="I13" s="39">
        <v>712</v>
      </c>
      <c r="J13" s="39">
        <v>1380</v>
      </c>
    </row>
    <row r="14" spans="1:10" x14ac:dyDescent="0.2">
      <c r="A14" s="38">
        <v>2000</v>
      </c>
      <c r="B14" s="39">
        <v>3647</v>
      </c>
      <c r="C14" s="39">
        <v>1442</v>
      </c>
      <c r="D14" s="39">
        <v>2389</v>
      </c>
      <c r="E14" s="39">
        <v>4289</v>
      </c>
      <c r="F14" s="39">
        <v>1339</v>
      </c>
      <c r="G14" s="39">
        <v>2822</v>
      </c>
      <c r="H14" s="39">
        <v>2217</v>
      </c>
      <c r="I14" s="39">
        <v>757</v>
      </c>
      <c r="J14" s="39">
        <v>1491</v>
      </c>
    </row>
    <row r="15" spans="1:10" x14ac:dyDescent="0.2">
      <c r="A15" s="38">
        <v>2001</v>
      </c>
      <c r="B15" s="39">
        <v>3930</v>
      </c>
      <c r="C15" s="39">
        <v>1556</v>
      </c>
      <c r="D15" s="39">
        <v>2589</v>
      </c>
      <c r="E15" s="39">
        <v>4598</v>
      </c>
      <c r="F15" s="39">
        <v>1463</v>
      </c>
      <c r="G15" s="39">
        <v>3018</v>
      </c>
      <c r="H15" s="39">
        <v>2064</v>
      </c>
      <c r="I15" s="39">
        <v>670</v>
      </c>
      <c r="J15" s="39">
        <v>1348</v>
      </c>
    </row>
    <row r="16" spans="1:10" x14ac:dyDescent="0.2">
      <c r="A16" s="38">
        <v>2002</v>
      </c>
      <c r="B16" s="39">
        <v>4097</v>
      </c>
      <c r="C16" s="39">
        <v>1658</v>
      </c>
      <c r="D16" s="39">
        <v>2706</v>
      </c>
      <c r="E16" s="39">
        <v>4167</v>
      </c>
      <c r="F16" s="39">
        <v>1399</v>
      </c>
      <c r="G16" s="39">
        <v>2807</v>
      </c>
      <c r="H16" s="39">
        <v>1822</v>
      </c>
      <c r="I16" s="39">
        <v>613</v>
      </c>
      <c r="J16" s="39">
        <v>1149</v>
      </c>
    </row>
    <row r="17" spans="1:10" x14ac:dyDescent="0.2">
      <c r="A17" s="38">
        <v>2003</v>
      </c>
      <c r="B17" s="39">
        <v>4040</v>
      </c>
      <c r="C17" s="39">
        <v>1709</v>
      </c>
      <c r="D17" s="39">
        <v>2791</v>
      </c>
      <c r="E17" s="39">
        <v>3860</v>
      </c>
      <c r="F17" s="39">
        <v>1364</v>
      </c>
      <c r="G17" s="39">
        <v>2676</v>
      </c>
      <c r="H17" s="39">
        <v>1740</v>
      </c>
      <c r="I17" s="39">
        <v>620</v>
      </c>
      <c r="J17" s="39">
        <v>1164</v>
      </c>
    </row>
    <row r="18" spans="1:10" x14ac:dyDescent="0.2">
      <c r="A18" s="38">
        <v>2004</v>
      </c>
      <c r="B18" s="39">
        <v>3982</v>
      </c>
      <c r="C18" s="39">
        <v>1759</v>
      </c>
      <c r="D18" s="39">
        <v>2770</v>
      </c>
      <c r="E18" s="39">
        <v>3674</v>
      </c>
      <c r="F18" s="39">
        <v>1348</v>
      </c>
      <c r="G18" s="39">
        <v>2580</v>
      </c>
      <c r="H18" s="39">
        <v>1652</v>
      </c>
      <c r="I18" s="39">
        <v>587</v>
      </c>
      <c r="J18" s="39">
        <v>1116</v>
      </c>
    </row>
    <row r="19" spans="1:10" x14ac:dyDescent="0.2">
      <c r="A19" s="38">
        <v>2005</v>
      </c>
      <c r="B19" s="39">
        <v>3818</v>
      </c>
      <c r="C19" s="39">
        <v>1794</v>
      </c>
      <c r="D19" s="39">
        <v>2704</v>
      </c>
      <c r="E19" s="39">
        <v>3745</v>
      </c>
      <c r="F19" s="39">
        <v>1248</v>
      </c>
      <c r="G19" s="39">
        <v>2523</v>
      </c>
      <c r="H19" s="39">
        <v>1693</v>
      </c>
      <c r="I19" s="39">
        <v>618</v>
      </c>
      <c r="J19" s="39">
        <v>1130</v>
      </c>
    </row>
    <row r="20" spans="1:10" x14ac:dyDescent="0.2">
      <c r="A20" s="38">
        <v>2006</v>
      </c>
      <c r="B20" s="39">
        <v>4256</v>
      </c>
      <c r="C20" s="39">
        <v>1995</v>
      </c>
      <c r="D20" s="39">
        <v>2971</v>
      </c>
      <c r="E20" s="39">
        <v>3952</v>
      </c>
      <c r="F20" s="39">
        <v>1525</v>
      </c>
      <c r="G20" s="39">
        <v>2784</v>
      </c>
      <c r="H20" s="39">
        <v>1684</v>
      </c>
      <c r="I20" s="39">
        <v>648</v>
      </c>
      <c r="J20" s="39">
        <v>1117</v>
      </c>
    </row>
    <row r="21" spans="1:10" x14ac:dyDescent="0.2">
      <c r="A21" s="38">
        <v>2007</v>
      </c>
      <c r="B21" s="39">
        <v>4253</v>
      </c>
      <c r="C21" s="39">
        <v>2019</v>
      </c>
      <c r="D21" s="39">
        <v>2961</v>
      </c>
      <c r="E21" s="39">
        <v>4316</v>
      </c>
      <c r="F21" s="39">
        <v>1622</v>
      </c>
      <c r="G21" s="39">
        <v>2933</v>
      </c>
      <c r="H21" s="39">
        <v>1922</v>
      </c>
      <c r="I21" s="39">
        <v>708</v>
      </c>
      <c r="J21" s="39">
        <v>1278</v>
      </c>
    </row>
    <row r="22" spans="1:10" x14ac:dyDescent="0.2">
      <c r="A22" s="38">
        <v>2008</v>
      </c>
      <c r="B22" s="40">
        <v>4182</v>
      </c>
      <c r="C22" s="40">
        <v>2018</v>
      </c>
      <c r="D22" s="40">
        <v>2929</v>
      </c>
      <c r="E22" s="40">
        <v>4528</v>
      </c>
      <c r="F22" s="40">
        <v>1787</v>
      </c>
      <c r="G22" s="40">
        <v>3121</v>
      </c>
      <c r="H22" s="40">
        <v>1976</v>
      </c>
      <c r="I22" s="40">
        <v>747</v>
      </c>
      <c r="J22" s="40">
        <v>1261</v>
      </c>
    </row>
    <row r="23" spans="1:10" x14ac:dyDescent="0.2">
      <c r="A23" s="38">
        <v>2009</v>
      </c>
      <c r="B23" s="39">
        <v>4004</v>
      </c>
      <c r="C23" s="39">
        <v>2046</v>
      </c>
      <c r="D23" s="39">
        <v>2886</v>
      </c>
      <c r="E23" s="39">
        <v>4320</v>
      </c>
      <c r="F23" s="39">
        <v>1757</v>
      </c>
      <c r="G23" s="39">
        <v>3083</v>
      </c>
      <c r="H23" s="39">
        <v>1917</v>
      </c>
      <c r="I23" s="39">
        <v>721</v>
      </c>
      <c r="J23" s="39">
        <v>1296</v>
      </c>
    </row>
    <row r="24" spans="1:10" x14ac:dyDescent="0.2">
      <c r="A24" s="38">
        <v>2010</v>
      </c>
      <c r="B24" s="40">
        <v>4457</v>
      </c>
      <c r="C24" s="40">
        <v>2270</v>
      </c>
      <c r="D24" s="40">
        <v>3201</v>
      </c>
      <c r="E24" s="40">
        <v>4532</v>
      </c>
      <c r="F24" s="40">
        <v>1958</v>
      </c>
      <c r="G24" s="40">
        <v>3359</v>
      </c>
      <c r="H24" s="40">
        <v>1934</v>
      </c>
      <c r="I24" s="40">
        <v>759</v>
      </c>
      <c r="J24" s="40">
        <v>1258</v>
      </c>
    </row>
    <row r="25" spans="1:10" x14ac:dyDescent="0.2">
      <c r="A25" s="38">
        <v>2011</v>
      </c>
      <c r="B25" s="40">
        <v>4433</v>
      </c>
      <c r="C25" s="40">
        <v>2373</v>
      </c>
      <c r="D25" s="40">
        <v>3260</v>
      </c>
      <c r="E25" s="40">
        <v>5023</v>
      </c>
      <c r="F25" s="40">
        <v>2191</v>
      </c>
      <c r="G25" s="40">
        <v>3673</v>
      </c>
      <c r="H25" s="40">
        <v>1897</v>
      </c>
      <c r="I25" s="40">
        <v>756</v>
      </c>
      <c r="J25" s="40">
        <v>1277</v>
      </c>
    </row>
    <row r="26" spans="1:10" x14ac:dyDescent="0.2">
      <c r="F26" s="38"/>
      <c r="G26" s="38"/>
      <c r="H26" s="38"/>
      <c r="I26" s="38"/>
      <c r="J26" s="38"/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0" tint="-0.499984740745262"/>
  </sheetPr>
  <dimension ref="A1:S102"/>
  <sheetViews>
    <sheetView showGridLines="0" topLeftCell="B1" view="pageLayout" workbookViewId="0" zoomScaleNormal="100">
      <selection activeCell="C41" sqref="C41"/>
    </sheetView>
  </sheetViews>
  <sheetFormatPr defaultRowHeight="12" x14ac:dyDescent="0.2"/>
  <cols>
    <col min="1" max="1" customWidth="true" hidden="true" width="2.85546875" collapsed="false"/>
    <col min="2" max="2" bestFit="true" customWidth="true" width="31.140625" collapsed="false"/>
    <col min="3" max="3" customWidth="true" width="1.7109375" collapsed="false"/>
    <col min="4" max="4" customWidth="true" width="9.140625" collapsed="false"/>
    <col min="5" max="5" customWidth="true" width="1.7109375" collapsed="false"/>
    <col min="7" max="7" customWidth="true" width="1.7109375" collapsed="false"/>
    <col min="8" max="8" customWidth="true" width="10.85546875" collapsed="false"/>
    <col min="9" max="9" customWidth="true" width="1.7109375" collapsed="false"/>
    <col min="11" max="11" customWidth="true" width="1.7109375" collapsed="false"/>
    <col min="16" max="16" customWidth="true" width="2.85546875" collapsed="false"/>
    <col min="17" max="17" customWidth="true" hidden="true" width="9.140625" collapsed="false"/>
    <col min="18" max="18" customWidth="true" width="2.85546875" collapsed="false"/>
  </cols>
  <sheetData>
    <row customFormat="1" ht="18" r="1" s="2" spans="1:18" x14ac:dyDescent="0.2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customFormat="1" customHeight="1" ht="10.5" r="2" s="1" spans="1:18" x14ac:dyDescent="0.2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customFormat="1" customHeight="1" hidden="1" ht="10.5" r="3" s="1" spans="1:18" x14ac:dyDescent="0.2">
      <c r="B3" s="23"/>
      <c r="C3" s="23"/>
      <c r="D3" s="23">
        <f>LARGE(Data_old!$A$2:$A$99,5)</f>
        <v>2013</v>
      </c>
      <c r="E3" s="23"/>
      <c r="F3" s="23">
        <f>LARGE(Data_old!$A$2:$A$99,4)</f>
        <v>2014</v>
      </c>
      <c r="G3" s="23"/>
      <c r="H3" s="23">
        <f>LARGE(Data_old!$A$2:$A$99,3)</f>
        <v>2015</v>
      </c>
      <c r="I3" s="23"/>
      <c r="J3" s="23">
        <f>LARGE(Data_old!$A$2:$A$99,2)</f>
        <v>2016</v>
      </c>
      <c r="K3" s="23"/>
      <c r="L3" s="23">
        <f>LARGE(Data_old!$A$2:$A$99,1)</f>
        <v>2017</v>
      </c>
      <c r="M3" s="23"/>
      <c r="N3" s="23"/>
      <c r="O3" s="23"/>
    </row>
    <row customFormat="1" r="4" s="4" spans="1:18" x14ac:dyDescent="0.2">
      <c r="B4" s="25"/>
      <c r="C4" s="25"/>
      <c r="D4" s="26" t="str">
        <f>CONCATENATE("FY ",D3)</f>
        <v>FY 2013</v>
      </c>
      <c r="E4" s="26"/>
      <c r="F4" s="26" t="str">
        <f ref="F4:L4" si="0" t="shared">CONCATENATE("FY ",F3)</f>
        <v>FY 2014</v>
      </c>
      <c r="G4" s="26"/>
      <c r="H4" s="26" t="str">
        <f si="0" t="shared"/>
        <v>FY 2015</v>
      </c>
      <c r="I4" s="26"/>
      <c r="J4" s="26" t="str">
        <f si="0" t="shared"/>
        <v>FY 2016</v>
      </c>
      <c r="K4" s="26"/>
      <c r="L4" s="26" t="str">
        <f si="0" t="shared"/>
        <v>FY 2017</v>
      </c>
      <c r="M4" s="33"/>
      <c r="N4" s="33"/>
      <c r="O4" s="33"/>
      <c r="Q4" s="11" t="s">
        <v>5</v>
      </c>
    </row>
    <row customFormat="1" ht="12.75" r="5" s="4" spans="1:18" x14ac:dyDescent="0.2">
      <c r="B5" s="35" t="s">
        <v>4</v>
      </c>
      <c r="C5" s="24"/>
      <c r="D5" s="27"/>
      <c r="E5" s="24"/>
      <c r="F5" s="27"/>
      <c r="G5" s="24"/>
      <c r="H5" s="27"/>
      <c r="I5" s="24"/>
      <c r="J5" s="27"/>
      <c r="K5" s="24"/>
      <c r="L5" s="27"/>
      <c r="M5" s="27"/>
      <c r="N5" s="27"/>
      <c r="O5" s="27"/>
      <c r="Q5" s="8"/>
    </row>
    <row customFormat="1" customHeight="1" ht="12" r="6" s="4" spans="1:18" x14ac:dyDescent="0.2">
      <c r="B6" s="24" t="s">
        <v>27</v>
      </c>
      <c r="C6" s="28"/>
      <c r="D6" s="27"/>
      <c r="E6" s="24"/>
      <c r="F6" s="27"/>
      <c r="G6" s="24"/>
      <c r="H6" s="27"/>
      <c r="I6" s="24"/>
      <c r="J6" s="27"/>
      <c r="K6" s="24"/>
      <c r="L6" s="27"/>
      <c r="M6" s="27"/>
      <c r="N6" s="27"/>
      <c r="O6" s="27"/>
      <c r="Q6" s="8"/>
    </row>
    <row customFormat="1" customHeight="1" ht="12" r="7" s="4" spans="1:18" x14ac:dyDescent="0.2">
      <c r="B7" s="24" t="s">
        <v>0</v>
      </c>
      <c r="C7" s="28"/>
      <c r="D7" s="29">
        <f>INDEX(Data_old!$A$2:$M$99,MATCH(Factbook_Old!D$3,Data_old!$A$2:$A$99,0),2)</f>
        <v>2091</v>
      </c>
      <c r="E7" s="29"/>
      <c r="F7" s="29">
        <f>INDEX(Data_old!$A$2:$M$99,MATCH(Factbook_Old!F$3,Data_old!$A$2:$A$99,0),2)</f>
        <v>2107</v>
      </c>
      <c r="G7" s="29"/>
      <c r="H7" s="29">
        <f>INDEX(Data_old!$A$2:$M$99,MATCH(Factbook_Old!H$3,Data_old!$A$2:$A$99,0),2)</f>
        <v>2202</v>
      </c>
      <c r="I7" s="29"/>
      <c r="J7" s="29">
        <f>INDEX(Data_old!$A$2:$M$99,MATCH(Factbook_Old!J$3,Data_old!$A$2:$A$99,0),2)</f>
        <v>2190</v>
      </c>
      <c r="K7" s="29"/>
      <c r="L7" s="29">
        <f>INDEX(Data_old!$A$2:$M$99,MATCH(Factbook_Old!L$3,Data_old!$A$2:$A$99,0),2)</f>
        <v>2173</v>
      </c>
      <c r="M7" s="29"/>
      <c r="N7" s="29"/>
      <c r="O7" s="29"/>
      <c r="Q7" s="13">
        <v>2107</v>
      </c>
    </row>
    <row customFormat="1" customHeight="1" ht="12" r="8" s="4" spans="1:18" x14ac:dyDescent="0.2">
      <c r="B8" s="32" t="s">
        <v>1</v>
      </c>
      <c r="C8" s="28"/>
      <c r="D8" s="30">
        <f>INDEX(Data_old!$A$2:$M$99,MATCH(Factbook_Old!D$3,Data_old!$A$2:$A$99,0),3)</f>
        <v>2362</v>
      </c>
      <c r="E8" s="29"/>
      <c r="F8" s="30">
        <f>INDEX(Data_old!$A$2:$M$99,MATCH(Factbook_Old!F$3,Data_old!$A$2:$A$99,0),3)</f>
        <v>2496</v>
      </c>
      <c r="G8" s="29"/>
      <c r="H8" s="30">
        <f>INDEX(Data_old!$A$2:$M$99,MATCH(Factbook_Old!H$3,Data_old!$A$2:$A$99,0),3)</f>
        <v>2504</v>
      </c>
      <c r="I8" s="29"/>
      <c r="J8" s="30">
        <f>INDEX(Data_old!$A$2:$M$99,MATCH(Factbook_Old!J$3,Data_old!$A$2:$A$99,0),3)</f>
        <v>2485</v>
      </c>
      <c r="K8" s="29"/>
      <c r="L8" s="30">
        <f>INDEX(Data_old!$A$2:$M$99,MATCH(Factbook_Old!L$3,Data_old!$A$2:$A$99,0),3)</f>
        <v>2511</v>
      </c>
      <c r="M8" s="34"/>
      <c r="N8" s="34"/>
      <c r="O8" s="34"/>
      <c r="Q8" s="14">
        <v>2496</v>
      </c>
    </row>
    <row customFormat="1" customHeight="1" ht="12" r="9" s="4" spans="1:18" thickBot="1" x14ac:dyDescent="0.25">
      <c r="B9" s="37" t="s">
        <v>33</v>
      </c>
      <c r="C9" s="28"/>
      <c r="D9" s="31">
        <f>SUM(D7:D8)</f>
        <v>4453</v>
      </c>
      <c r="E9" s="24"/>
      <c r="F9" s="31">
        <f>SUM(F7:F8)</f>
        <v>4603</v>
      </c>
      <c r="G9" s="24"/>
      <c r="H9" s="31">
        <f>SUM(H7:H8)</f>
        <v>4706</v>
      </c>
      <c r="I9" s="24"/>
      <c r="J9" s="31">
        <f>SUM(J7:J8)</f>
        <v>4675</v>
      </c>
      <c r="K9" s="24"/>
      <c r="L9" s="31">
        <f>SUM(L7:L8)</f>
        <v>4684</v>
      </c>
      <c r="M9" s="34"/>
      <c r="N9" s="34"/>
      <c r="O9" s="34"/>
      <c r="Q9" s="15">
        <f>SUM(Q7:Q8)</f>
        <v>4603</v>
      </c>
    </row>
    <row customFormat="1" customHeight="1" ht="5.45" r="10" s="4" spans="1:18" thickTop="1" x14ac:dyDescent="0.2">
      <c r="B10" s="24"/>
      <c r="C10" s="28"/>
      <c r="D10" s="28"/>
      <c r="E10" s="24"/>
      <c r="F10" s="28"/>
      <c r="G10" s="24"/>
      <c r="H10" s="28"/>
      <c r="I10" s="24"/>
      <c r="J10" s="28"/>
      <c r="K10" s="24"/>
      <c r="L10" s="28"/>
      <c r="M10" s="28"/>
      <c r="N10" s="28"/>
      <c r="O10" s="28"/>
      <c r="Q10" s="16"/>
    </row>
    <row customFormat="1" customHeight="1" ht="12" r="11" s="4" spans="1:18" x14ac:dyDescent="0.2">
      <c r="B11" s="32" t="s">
        <v>28</v>
      </c>
      <c r="C11" s="28"/>
      <c r="D11" s="28"/>
      <c r="E11" s="24"/>
      <c r="F11" s="28"/>
      <c r="G11" s="24"/>
      <c r="H11" s="28"/>
      <c r="I11" s="24"/>
      <c r="J11" s="28"/>
      <c r="K11" s="24"/>
      <c r="L11" s="28"/>
      <c r="M11" s="28"/>
      <c r="N11" s="28"/>
      <c r="O11" s="28"/>
      <c r="Q11" s="16"/>
    </row>
    <row customFormat="1" customHeight="1" ht="12" r="12" s="4" spans="1:18" x14ac:dyDescent="0.2">
      <c r="B12" s="24" t="s">
        <v>0</v>
      </c>
      <c r="C12" s="28"/>
      <c r="D12" s="29">
        <f>INDEX(Data_old!$A$2:$M$99,MATCH(Factbook_Old!D$3,Data_old!$A$2:$A$99,0),4)</f>
        <v>1141</v>
      </c>
      <c r="E12" s="29"/>
      <c r="F12" s="29">
        <f>INDEX(Data_old!$A$2:$M$99,MATCH(Factbook_Old!F$3,Data_old!$A$2:$A$99,0),4)</f>
        <v>1108</v>
      </c>
      <c r="G12" s="29"/>
      <c r="H12" s="29">
        <f>INDEX(Data_old!$A$2:$M$99,MATCH(Factbook_Old!H$3,Data_old!$A$2:$A$99,0),4)</f>
        <v>1077</v>
      </c>
      <c r="I12" s="29"/>
      <c r="J12" s="29">
        <f>INDEX(Data_old!$A$2:$M$99,MATCH(Factbook_Old!J$3,Data_old!$A$2:$A$99,0),4)</f>
        <v>1075</v>
      </c>
      <c r="K12" s="29"/>
      <c r="L12" s="29">
        <f>INDEX(Data_old!$A$2:$M$99,MATCH(Factbook_Old!L$3,Data_old!$A$2:$A$99,0),4)</f>
        <v>1029</v>
      </c>
      <c r="M12" s="29"/>
      <c r="N12" s="29"/>
      <c r="O12" s="29"/>
      <c r="P12" s="5" t="e">
        <f>INDEX(Data_old!$A$2:$M$99,MATCH(Factbook_Old!P$3,Data_old!$A$2:$A$99,0),4)</f>
        <v>#N/A</v>
      </c>
      <c r="Q12" s="5" t="e">
        <f>INDEX(Data_old!$A$2:$M$99,MATCH(Factbook_Old!Q$3,Data_old!$A$2:$A$99,0),4)</f>
        <v>#N/A</v>
      </c>
    </row>
    <row customFormat="1" customHeight="1" ht="12" r="13" s="4" spans="1:18" x14ac:dyDescent="0.2">
      <c r="B13" s="24" t="s">
        <v>1</v>
      </c>
      <c r="C13" s="28"/>
      <c r="D13" s="30">
        <f>INDEX(Data_old!$A$2:$M$99,MATCH(Factbook_Old!D$3,Data_old!$A$2:$A$99,0),5)</f>
        <v>1287</v>
      </c>
      <c r="E13" s="30"/>
      <c r="F13" s="30">
        <f>INDEX(Data_old!$A$2:$M$99,MATCH(Factbook_Old!F$3,Data_old!$A$2:$A$99,0),5)</f>
        <v>1219</v>
      </c>
      <c r="G13" s="30"/>
      <c r="H13" s="30">
        <f>INDEX(Data_old!$A$2:$M$99,MATCH(Factbook_Old!H$3,Data_old!$A$2:$A$99,0),5)</f>
        <v>1141</v>
      </c>
      <c r="I13" s="30"/>
      <c r="J13" s="30">
        <f>INDEX(Data_old!$A$2:$M$99,MATCH(Factbook_Old!J$3,Data_old!$A$2:$A$99,0),5)</f>
        <v>1088</v>
      </c>
      <c r="K13" s="30"/>
      <c r="L13" s="30">
        <f>INDEX(Data_old!$A$2:$M$99,MATCH(Factbook_Old!L$3,Data_old!$A$2:$A$99,0),5)</f>
        <v>1122</v>
      </c>
      <c r="M13" s="34"/>
      <c r="N13" s="34"/>
      <c r="O13" s="34"/>
      <c r="Q13" s="14">
        <v>1219</v>
      </c>
    </row>
    <row customFormat="1" customHeight="1" ht="12" r="14" s="4" spans="1:18" thickBot="1" x14ac:dyDescent="0.25">
      <c r="B14" s="37" t="s">
        <v>33</v>
      </c>
      <c r="C14" s="28"/>
      <c r="D14" s="31">
        <f>SUM(D12:D13)</f>
        <v>2428</v>
      </c>
      <c r="E14" s="24"/>
      <c r="F14" s="31">
        <f>SUM(F12:F13)</f>
        <v>2327</v>
      </c>
      <c r="G14" s="24"/>
      <c r="H14" s="31">
        <f>SUM(H12:H13)</f>
        <v>2218</v>
      </c>
      <c r="I14" s="24"/>
      <c r="J14" s="31">
        <f>SUM(J12:J13)</f>
        <v>2163</v>
      </c>
      <c r="K14" s="24"/>
      <c r="L14" s="31">
        <f>SUM(L12:L13)</f>
        <v>2151</v>
      </c>
      <c r="M14" s="34"/>
      <c r="N14" s="34"/>
      <c r="O14" s="34"/>
      <c r="Q14" s="15" t="e">
        <f>SUM(Q12:Q13)</f>
        <v>#N/A</v>
      </c>
    </row>
    <row customFormat="1" customHeight="1" ht="5.45" r="15" s="4" spans="1:18" thickTop="1" x14ac:dyDescent="0.2">
      <c r="B15" s="24"/>
      <c r="C15" s="24"/>
      <c r="D15" s="28"/>
      <c r="E15" s="24"/>
      <c r="F15" s="28"/>
      <c r="G15" s="24"/>
      <c r="H15" s="28"/>
      <c r="I15" s="24"/>
      <c r="J15" s="28"/>
      <c r="K15" s="24"/>
      <c r="L15" s="28"/>
      <c r="M15" s="28"/>
      <c r="N15" s="28"/>
      <c r="O15" s="28"/>
      <c r="Q15" s="16"/>
    </row>
    <row customFormat="1" customHeight="1" ht="12" r="16" s="4" spans="1:18" x14ac:dyDescent="0.2">
      <c r="B16" s="35" t="s">
        <v>2</v>
      </c>
      <c r="C16" s="24"/>
      <c r="D16" s="28"/>
      <c r="E16" s="24"/>
      <c r="F16" s="28"/>
      <c r="G16" s="24"/>
      <c r="H16" s="28"/>
      <c r="I16" s="24"/>
      <c r="J16" s="28"/>
      <c r="K16" s="24"/>
      <c r="L16" s="28"/>
      <c r="M16" s="28"/>
      <c r="N16" s="28"/>
      <c r="O16" s="28"/>
      <c r="Q16" s="16"/>
    </row>
    <row customFormat="1" customHeight="1" ht="12" r="17" s="4" spans="2:18" x14ac:dyDescent="0.2">
      <c r="B17" s="24" t="s">
        <v>27</v>
      </c>
      <c r="C17" s="24"/>
      <c r="D17" s="28"/>
      <c r="E17" s="24"/>
      <c r="F17" s="28"/>
      <c r="G17" s="24"/>
      <c r="H17" s="28"/>
      <c r="I17" s="24"/>
      <c r="J17" s="28"/>
      <c r="K17" s="24"/>
      <c r="L17" s="28"/>
      <c r="M17" s="28"/>
      <c r="N17" s="28"/>
      <c r="O17" s="28"/>
      <c r="Q17" s="16"/>
    </row>
    <row customFormat="1" customHeight="1" ht="12" r="18" s="4" spans="2:18" x14ac:dyDescent="0.2">
      <c r="B18" s="24" t="s">
        <v>0</v>
      </c>
      <c r="C18" s="24"/>
      <c r="D18" s="29">
        <f>INDEX(Data_old!$A$2:$M$99,MATCH(Factbook_Old!D$3,Data_old!$A$2:$A$99,0),6)</f>
        <v>2640</v>
      </c>
      <c r="E18" s="29"/>
      <c r="F18" s="29">
        <f>INDEX(Data_old!$A$2:$M$99,MATCH(Factbook_Old!F$3,Data_old!$A$2:$A$99,0),6)</f>
        <v>2799</v>
      </c>
      <c r="G18" s="29"/>
      <c r="H18" s="29">
        <f>INDEX(Data_old!$A$2:$M$99,MATCH(Factbook_Old!H$3,Data_old!$A$2:$A$99,0),6)</f>
        <v>2968</v>
      </c>
      <c r="I18" s="29"/>
      <c r="J18" s="29">
        <f>INDEX(Data_old!$A$2:$M$99,MATCH(Factbook_Old!J$3,Data_old!$A$2:$A$99,0),6)</f>
        <v>3164</v>
      </c>
      <c r="K18" s="29"/>
      <c r="L18" s="29">
        <f>INDEX(Data_old!$A$2:$M$99,MATCH(Factbook_Old!L$3,Data_old!$A$2:$A$99,0),6)</f>
        <v>3383</v>
      </c>
      <c r="M18" s="29"/>
      <c r="N18" s="29"/>
      <c r="O18" s="29"/>
      <c r="P18" s="5" t="e">
        <f>INDEX(Data_old!$A$2:$M$99,MATCH(Factbook_Old!P$3,Data_old!$A$2:$A$99,0),6)</f>
        <v>#N/A</v>
      </c>
      <c r="Q18" s="5" t="e">
        <f>INDEX(Data_old!$A$2:$M$99,MATCH(Factbook_Old!Q$3,Data_old!$A$2:$A$99,0),6)</f>
        <v>#N/A</v>
      </c>
      <c r="R18" s="5"/>
    </row>
    <row customFormat="1" customHeight="1" ht="12" r="19" s="4" spans="2:18" x14ac:dyDescent="0.2">
      <c r="B19" s="24" t="s">
        <v>1</v>
      </c>
      <c r="C19" s="24"/>
      <c r="D19" s="30">
        <f>INDEX(Data_old!$A$2:$M$99,MATCH(Factbook_Old!D$3,Data_old!$A$2:$A$99,0),7)</f>
        <v>2241</v>
      </c>
      <c r="E19" s="30"/>
      <c r="F19" s="30">
        <f>INDEX(Data_old!$A$2:$M$99,MATCH(Factbook_Old!F$3,Data_old!$A$2:$A$99,0),7)</f>
        <v>2443</v>
      </c>
      <c r="G19" s="30"/>
      <c r="H19" s="30">
        <f>INDEX(Data_old!$A$2:$M$99,MATCH(Factbook_Old!H$3,Data_old!$A$2:$A$99,0),7)</f>
        <v>2535</v>
      </c>
      <c r="I19" s="30"/>
      <c r="J19" s="30">
        <f>INDEX(Data_old!$A$2:$M$99,MATCH(Factbook_Old!J$3,Data_old!$A$2:$A$99,0),7)</f>
        <v>2890</v>
      </c>
      <c r="K19" s="30"/>
      <c r="L19" s="30">
        <f>INDEX(Data_old!$A$2:$M$99,MATCH(Factbook_Old!L$3,Data_old!$A$2:$A$99,0),7)</f>
        <v>2969</v>
      </c>
      <c r="M19" s="34"/>
      <c r="N19" s="34"/>
      <c r="O19" s="34"/>
      <c r="Q19" s="14">
        <v>2443</v>
      </c>
    </row>
    <row customFormat="1" customHeight="1" ht="12" r="20" s="4" spans="2:18" thickBot="1" x14ac:dyDescent="0.25">
      <c r="B20" s="37" t="s">
        <v>33</v>
      </c>
      <c r="C20" s="24"/>
      <c r="D20" s="31">
        <f>SUM(D18:D19)</f>
        <v>4881</v>
      </c>
      <c r="E20" s="24"/>
      <c r="F20" s="31">
        <f>SUM(F18:F19)</f>
        <v>5242</v>
      </c>
      <c r="G20" s="24"/>
      <c r="H20" s="31">
        <f>SUM(H18:H19)</f>
        <v>5503</v>
      </c>
      <c r="I20" s="24"/>
      <c r="J20" s="31">
        <f>SUM(J18:J19)</f>
        <v>6054</v>
      </c>
      <c r="K20" s="24"/>
      <c r="L20" s="31">
        <f>SUM(L18:L19)</f>
        <v>6352</v>
      </c>
      <c r="M20" s="34"/>
      <c r="N20" s="34"/>
      <c r="O20" s="34"/>
      <c r="Q20" s="15" t="e">
        <f>SUM(Q18:Q19)</f>
        <v>#N/A</v>
      </c>
    </row>
    <row customFormat="1" customHeight="1" ht="5.45" r="21" s="4" spans="2:18" thickTop="1" x14ac:dyDescent="0.2">
      <c r="B21" s="24"/>
      <c r="C21" s="24"/>
      <c r="D21" s="28"/>
      <c r="E21" s="24"/>
      <c r="F21" s="28"/>
      <c r="G21" s="24"/>
      <c r="H21" s="28"/>
      <c r="I21" s="24"/>
      <c r="J21" s="28"/>
      <c r="K21" s="24"/>
      <c r="L21" s="28"/>
      <c r="M21" s="28"/>
      <c r="N21" s="28"/>
      <c r="O21" s="28"/>
      <c r="Q21" s="16"/>
    </row>
    <row customFormat="1" customHeight="1" ht="12" r="22" s="4" spans="2:18" x14ac:dyDescent="0.2">
      <c r="B22" s="32" t="s">
        <v>29</v>
      </c>
      <c r="C22" s="24"/>
      <c r="D22" s="28"/>
      <c r="E22" s="24"/>
      <c r="F22" s="28"/>
      <c r="G22" s="24"/>
      <c r="H22" s="28"/>
      <c r="I22" s="24"/>
      <c r="J22" s="28"/>
      <c r="K22" s="24"/>
      <c r="L22" s="28"/>
      <c r="M22" s="28"/>
      <c r="N22" s="28"/>
      <c r="O22" s="28"/>
      <c r="Q22" s="16"/>
    </row>
    <row customFormat="1" customHeight="1" ht="12" r="23" s="4" spans="2:18" x14ac:dyDescent="0.2">
      <c r="B23" s="24" t="s">
        <v>0</v>
      </c>
      <c r="C23" s="24"/>
      <c r="D23" s="29">
        <f>INDEX(Data_old!$A$2:$M$99,MATCH(Factbook_Old!D$3,Data_old!$A$2:$A$99,0),8)</f>
        <v>667</v>
      </c>
      <c r="E23" s="29"/>
      <c r="F23" s="29">
        <f>INDEX(Data_old!$A$2:$M$99,MATCH(Factbook_Old!F$3,Data_old!$A$2:$A$99,0),8)</f>
        <v>674</v>
      </c>
      <c r="G23" s="29"/>
      <c r="H23" s="29">
        <f>INDEX(Data_old!$A$2:$M$99,MATCH(Factbook_Old!H$3,Data_old!$A$2:$A$99,0),8)</f>
        <v>714</v>
      </c>
      <c r="I23" s="29"/>
      <c r="J23" s="29">
        <f>INDEX(Data_old!$A$2:$M$99,MATCH(Factbook_Old!J$3,Data_old!$A$2:$A$99,0),8)</f>
        <v>809</v>
      </c>
      <c r="K23" s="29"/>
      <c r="L23" s="29">
        <f>INDEX(Data_old!$A$2:$M$99,MATCH(Factbook_Old!L$3,Data_old!$A$2:$A$99,0),8)</f>
        <v>800</v>
      </c>
      <c r="M23" s="29"/>
      <c r="N23" s="29"/>
      <c r="O23" s="29"/>
      <c r="Q23" s="13">
        <v>674</v>
      </c>
    </row>
    <row customFormat="1" customHeight="1" ht="12" r="24" s="4" spans="2:18" x14ac:dyDescent="0.2">
      <c r="B24" s="24" t="s">
        <v>1</v>
      </c>
      <c r="C24" s="24"/>
      <c r="D24" s="30">
        <f>INDEX(Data_old!$A$2:$M$99,MATCH(Factbook_Old!D$3,Data_old!$A$2:$A$99,0),9)</f>
        <v>573</v>
      </c>
      <c r="E24" s="29"/>
      <c r="F24" s="30">
        <f>INDEX(Data_old!$A$2:$M$99,MATCH(Factbook_Old!F$3,Data_old!$A$2:$A$99,0),9)</f>
        <v>625</v>
      </c>
      <c r="G24" s="29"/>
      <c r="H24" s="30">
        <f>INDEX(Data_old!$A$2:$M$99,MATCH(Factbook_Old!H$3,Data_old!$A$2:$A$99,0),9)</f>
        <v>618</v>
      </c>
      <c r="I24" s="29"/>
      <c r="J24" s="30">
        <f>INDEX(Data_old!$A$2:$M$99,MATCH(Factbook_Old!J$3,Data_old!$A$2:$A$99,0),9)</f>
        <v>681</v>
      </c>
      <c r="K24" s="29"/>
      <c r="L24" s="30">
        <f>INDEX(Data_old!$A$2:$M$99,MATCH(Factbook_Old!L$3,Data_old!$A$2:$A$99,0),9)</f>
        <v>708</v>
      </c>
      <c r="M24" s="34"/>
      <c r="N24" s="34"/>
      <c r="O24" s="34"/>
      <c r="Q24" s="17">
        <v>625</v>
      </c>
    </row>
    <row customFormat="1" customHeight="1" ht="12" r="25" s="4" spans="2:18" thickBot="1" x14ac:dyDescent="0.25">
      <c r="B25" s="37" t="s">
        <v>33</v>
      </c>
      <c r="C25" s="24"/>
      <c r="D25" s="31">
        <f>SUM(D23:D24)</f>
        <v>1240</v>
      </c>
      <c r="E25" s="24"/>
      <c r="F25" s="31">
        <f>SUM(F23:F24)</f>
        <v>1299</v>
      </c>
      <c r="G25" s="24"/>
      <c r="H25" s="31">
        <f>SUM(H23:H24)</f>
        <v>1332</v>
      </c>
      <c r="I25" s="24"/>
      <c r="J25" s="31">
        <f>SUM(J23:J24)</f>
        <v>1490</v>
      </c>
      <c r="K25" s="24"/>
      <c r="L25" s="31">
        <f>SUM(L23:L24)</f>
        <v>1508</v>
      </c>
      <c r="M25" s="34"/>
      <c r="N25" s="34"/>
      <c r="O25" s="34"/>
      <c r="Q25" s="15">
        <f>SUM(Q23:Q24)</f>
        <v>1299</v>
      </c>
    </row>
    <row customFormat="1" customHeight="1" ht="5.45" r="26" s="4" spans="2:18" thickTop="1" x14ac:dyDescent="0.2">
      <c r="B26" s="24"/>
      <c r="C26" s="24"/>
      <c r="D26" s="28"/>
      <c r="E26" s="24"/>
      <c r="F26" s="28"/>
      <c r="G26" s="24"/>
      <c r="H26" s="28"/>
      <c r="I26" s="24"/>
      <c r="J26" s="28"/>
      <c r="K26" s="24"/>
      <c r="L26" s="28"/>
      <c r="M26" s="28"/>
      <c r="N26" s="28"/>
      <c r="O26" s="28"/>
      <c r="Q26" s="16"/>
    </row>
    <row customFormat="1" customHeight="1" ht="12" r="27" s="4" spans="2:18" x14ac:dyDescent="0.2">
      <c r="B27" s="35" t="s">
        <v>3</v>
      </c>
      <c r="C27" s="24"/>
      <c r="D27" s="28"/>
      <c r="E27" s="24"/>
      <c r="F27" s="28"/>
      <c r="G27" s="24"/>
      <c r="H27" s="28"/>
      <c r="I27" s="24"/>
      <c r="J27" s="28"/>
      <c r="K27" s="24"/>
      <c r="L27" s="28"/>
      <c r="M27" s="28"/>
      <c r="N27" s="28"/>
      <c r="O27" s="28"/>
      <c r="Q27" s="16"/>
    </row>
    <row customFormat="1" customHeight="1" ht="12" r="28" s="4" spans="2:18" x14ac:dyDescent="0.2">
      <c r="B28" s="24" t="s">
        <v>27</v>
      </c>
      <c r="C28" s="24"/>
      <c r="D28" s="28"/>
      <c r="E28" s="24"/>
      <c r="F28" s="28"/>
      <c r="G28" s="24"/>
      <c r="H28" s="28"/>
      <c r="I28" s="24"/>
      <c r="J28" s="28"/>
      <c r="K28" s="24"/>
      <c r="L28" s="28"/>
      <c r="M28" s="28"/>
      <c r="N28" s="28"/>
      <c r="O28" s="28"/>
      <c r="Q28" s="16"/>
    </row>
    <row customFormat="1" customHeight="1" ht="12" r="29" s="4" spans="2:18" x14ac:dyDescent="0.2">
      <c r="B29" s="24" t="s">
        <v>0</v>
      </c>
      <c r="C29" s="24"/>
      <c r="D29" s="29">
        <f>INDEX(Data_old!$A$2:$M$99,MATCH(Factbook_Old!D$3,Data_old!$A$2:$A$99,0),10)</f>
        <v>989</v>
      </c>
      <c r="E29" s="29"/>
      <c r="F29" s="29">
        <f>INDEX(Data_old!$A$2:$M$99,MATCH(Factbook_Old!F$3,Data_old!$A$2:$A$99,0),10)</f>
        <v>1006</v>
      </c>
      <c r="G29" s="29"/>
      <c r="H29" s="29">
        <f>INDEX(Data_old!$A$2:$M$99,MATCH(Factbook_Old!H$3,Data_old!$A$2:$A$99,0),10)</f>
        <v>999</v>
      </c>
      <c r="I29" s="29"/>
      <c r="J29" s="29">
        <f>INDEX(Data_old!$A$2:$M$99,MATCH(Factbook_Old!J$3,Data_old!$A$2:$A$99,0),10)</f>
        <v>872</v>
      </c>
      <c r="K29" s="29"/>
      <c r="L29" s="29">
        <f>INDEX(Data_old!$A$2:$M$99,MATCH(Factbook_Old!L$3,Data_old!$A$2:$A$99,0),10)</f>
        <v>880</v>
      </c>
      <c r="M29" s="29"/>
      <c r="N29" s="29"/>
      <c r="O29" s="29"/>
      <c r="Q29" s="13">
        <v>1006</v>
      </c>
    </row>
    <row customFormat="1" customHeight="1" ht="12" r="30" s="4" spans="2:18" x14ac:dyDescent="0.2">
      <c r="B30" s="24" t="s">
        <v>1</v>
      </c>
      <c r="C30" s="24"/>
      <c r="D30" s="30">
        <f>INDEX(Data_old!$A$2:$M$99,MATCH(Factbook_Old!D$3,Data_old!$A$2:$A$99,0),11)</f>
        <v>1360</v>
      </c>
      <c r="E30" s="29"/>
      <c r="F30" s="30">
        <f>INDEX(Data_old!$A$2:$M$99,MATCH(Factbook_Old!F$3,Data_old!$A$2:$A$99,0),11)</f>
        <v>1351</v>
      </c>
      <c r="G30" s="29"/>
      <c r="H30" s="30">
        <f>INDEX(Data_old!$A$2:$M$99,MATCH(Factbook_Old!H$3,Data_old!$A$2:$A$99,0),11)</f>
        <v>1304</v>
      </c>
      <c r="I30" s="29"/>
      <c r="J30" s="30">
        <f>INDEX(Data_old!$A$2:$M$99,MATCH(Factbook_Old!J$3,Data_old!$A$2:$A$99,0),11)</f>
        <v>1294</v>
      </c>
      <c r="K30" s="29"/>
      <c r="L30" s="30">
        <f>INDEX(Data_old!$A$2:$M$99,MATCH(Factbook_Old!L$3,Data_old!$A$2:$A$99,0),11)</f>
        <v>1246</v>
      </c>
      <c r="M30" s="34"/>
      <c r="N30" s="34"/>
      <c r="O30" s="34"/>
      <c r="Q30" s="14">
        <v>1351</v>
      </c>
    </row>
    <row customFormat="1" customHeight="1" ht="12" r="31" s="4" spans="2:18" thickBot="1" x14ac:dyDescent="0.25">
      <c r="B31" s="37" t="s">
        <v>33</v>
      </c>
      <c r="C31" s="24"/>
      <c r="D31" s="31">
        <f>SUM(D29:D30)</f>
        <v>2349</v>
      </c>
      <c r="E31" s="24"/>
      <c r="F31" s="31">
        <f>SUM(F29:F30)</f>
        <v>2357</v>
      </c>
      <c r="G31" s="24"/>
      <c r="H31" s="31">
        <f>SUM(H29:H30)</f>
        <v>2303</v>
      </c>
      <c r="I31" s="24"/>
      <c r="J31" s="31">
        <f>SUM(J29:J30)</f>
        <v>2166</v>
      </c>
      <c r="K31" s="24"/>
      <c r="L31" s="31">
        <f>SUM(L29:L30)</f>
        <v>2126</v>
      </c>
      <c r="M31" s="34"/>
      <c r="N31" s="34"/>
      <c r="O31" s="34"/>
      <c r="Q31" s="15">
        <f>SUM(Q29:Q30)</f>
        <v>2357</v>
      </c>
    </row>
    <row customFormat="1" customHeight="1" ht="5.45" r="32" s="4" spans="2:18" thickTop="1" x14ac:dyDescent="0.2">
      <c r="B32" s="24"/>
      <c r="C32" s="24"/>
      <c r="D32" s="28"/>
      <c r="E32" s="24"/>
      <c r="F32" s="28"/>
      <c r="G32" s="24"/>
      <c r="H32" s="28"/>
      <c r="I32" s="24"/>
      <c r="J32" s="28"/>
      <c r="K32" s="24"/>
      <c r="L32" s="28"/>
      <c r="M32" s="28"/>
      <c r="N32" s="28"/>
      <c r="O32" s="28"/>
      <c r="Q32" s="16"/>
    </row>
    <row customFormat="1" customHeight="1" ht="12" r="33" s="4" spans="2:17" x14ac:dyDescent="0.2">
      <c r="B33" s="24" t="s">
        <v>30</v>
      </c>
      <c r="C33" s="24"/>
      <c r="D33" s="28"/>
      <c r="E33" s="24"/>
      <c r="F33" s="28"/>
      <c r="G33" s="24"/>
      <c r="H33" s="28"/>
      <c r="I33" s="24"/>
      <c r="J33" s="28"/>
      <c r="K33" s="24"/>
      <c r="L33" s="28"/>
      <c r="M33" s="28"/>
      <c r="N33" s="28"/>
      <c r="O33" s="28"/>
      <c r="Q33" s="16"/>
    </row>
    <row customFormat="1" customHeight="1" ht="12" r="34" s="4" spans="2:17" x14ac:dyDescent="0.2">
      <c r="B34" s="24" t="s">
        <v>0</v>
      </c>
      <c r="C34" s="24"/>
      <c r="D34" s="29">
        <f>INDEX(Data_old!$A$2:$M$99,MATCH(Factbook_Old!D$3,Data_old!$A$2:$A$99,0),12)</f>
        <v>173</v>
      </c>
      <c r="E34" s="29"/>
      <c r="F34" s="29">
        <f>INDEX(Data_old!$A$2:$M$99,MATCH(Factbook_Old!F$3,Data_old!$A$2:$A$99,0),12)</f>
        <v>184</v>
      </c>
      <c r="G34" s="29"/>
      <c r="H34" s="29">
        <f>INDEX(Data_old!$A$2:$M$99,MATCH(Factbook_Old!H$3,Data_old!$A$2:$A$99,0),12)</f>
        <v>148</v>
      </c>
      <c r="I34" s="29"/>
      <c r="J34" s="29">
        <f>INDEX(Data_old!$A$2:$M$99,MATCH(Factbook_Old!J$3,Data_old!$A$2:$A$99,0),12)</f>
        <v>160</v>
      </c>
      <c r="K34" s="29"/>
      <c r="L34" s="29">
        <f>INDEX(Data_old!$A$2:$M$99,MATCH(Factbook_Old!L$3,Data_old!$A$2:$A$99,0),12)</f>
        <v>142</v>
      </c>
      <c r="M34" s="29"/>
      <c r="N34" s="29"/>
      <c r="O34" s="29"/>
      <c r="Q34" s="13">
        <v>184</v>
      </c>
    </row>
    <row customFormat="1" customHeight="1" ht="12" r="35" s="4" spans="2:17" x14ac:dyDescent="0.2">
      <c r="B35" s="24" t="s">
        <v>1</v>
      </c>
      <c r="C35" s="24"/>
      <c r="D35" s="30">
        <f>INDEX(Data_old!$A$2:$M$99,MATCH(Factbook_Old!D$3,Data_old!$A$2:$A$99,0),13)</f>
        <v>353</v>
      </c>
      <c r="E35" s="29"/>
      <c r="F35" s="30">
        <f>INDEX(Data_old!$A$2:$M$99,MATCH(Factbook_Old!F$3,Data_old!$A$2:$A$99,0),13)</f>
        <v>356</v>
      </c>
      <c r="G35" s="29"/>
      <c r="H35" s="30">
        <f>INDEX(Data_old!$A$2:$M$99,MATCH(Factbook_Old!H$3,Data_old!$A$2:$A$99,0),13)</f>
        <v>317</v>
      </c>
      <c r="I35" s="29"/>
      <c r="J35" s="30">
        <f>INDEX(Data_old!$A$2:$M$99,MATCH(Factbook_Old!J$3,Data_old!$A$2:$A$99,0),13)</f>
        <v>366</v>
      </c>
      <c r="K35" s="29"/>
      <c r="L35" s="30">
        <f>INDEX(Data_old!$A$2:$M$99,MATCH(Factbook_Old!L$3,Data_old!$A$2:$A$99,0),13)</f>
        <v>311</v>
      </c>
      <c r="M35" s="34"/>
      <c r="N35" s="34"/>
      <c r="O35" s="34"/>
      <c r="Q35" s="14">
        <v>356</v>
      </c>
    </row>
    <row customFormat="1" customHeight="1" ht="12" r="36" s="4" spans="2:17" thickBot="1" x14ac:dyDescent="0.25">
      <c r="B36" s="37" t="s">
        <v>33</v>
      </c>
      <c r="C36" s="24"/>
      <c r="D36" s="31">
        <f>SUM(D34:D35)</f>
        <v>526</v>
      </c>
      <c r="E36" s="24"/>
      <c r="F36" s="31">
        <f>SUM(F34:F35)</f>
        <v>540</v>
      </c>
      <c r="G36" s="24"/>
      <c r="H36" s="31">
        <f>SUM(H34:H35)</f>
        <v>465</v>
      </c>
      <c r="I36" s="24"/>
      <c r="J36" s="31">
        <f>SUM(J34:J35)</f>
        <v>526</v>
      </c>
      <c r="K36" s="24"/>
      <c r="L36" s="31">
        <f>SUM(L34:L35)</f>
        <v>453</v>
      </c>
      <c r="M36" s="34"/>
      <c r="O36" s="34"/>
      <c r="Q36" s="15">
        <f>SUM(Q34:Q35)</f>
        <v>540</v>
      </c>
    </row>
    <row customFormat="1" ht="12.75" r="37" s="4" spans="2:17" thickTop="1" x14ac:dyDescent="0.2">
      <c r="D37" s="5"/>
      <c r="F37" s="5"/>
      <c r="H37" s="5"/>
      <c r="J37" s="5"/>
      <c r="L37" s="5"/>
      <c r="M37" s="5"/>
      <c r="O37" s="5"/>
      <c r="Q37" s="5"/>
    </row>
    <row customFormat="1" r="38" s="4" spans="2:17" x14ac:dyDescent="0.2">
      <c r="C38" s="3"/>
    </row>
    <row customFormat="1" r="39" s="4" spans="2:17" x14ac:dyDescent="0.2">
      <c r="B39" s="12"/>
      <c r="C39" s="9"/>
      <c r="D39" s="10"/>
      <c r="E39" s="9"/>
      <c r="F39" s="10"/>
      <c r="G39" s="9"/>
      <c r="H39" s="10"/>
      <c r="I39" s="6"/>
    </row>
    <row customFormat="1" r="40" s="4" spans="2:17" x14ac:dyDescent="0.2">
      <c r="B40" s="6"/>
      <c r="C40" s="7"/>
      <c r="D40" s="6"/>
      <c r="E40" s="6"/>
      <c r="F40" s="6"/>
      <c r="G40" s="6"/>
      <c r="H40" s="6"/>
      <c r="I40" s="6"/>
    </row>
    <row customFormat="1" r="41" s="4" spans="2:17" x14ac:dyDescent="0.2"/>
    <row customFormat="1" r="42" s="4" spans="2:17" x14ac:dyDescent="0.2"/>
    <row customFormat="1" r="43" s="4" spans="2:17" x14ac:dyDescent="0.2"/>
    <row customFormat="1" r="44" s="4" spans="2:17" x14ac:dyDescent="0.2"/>
    <row customFormat="1" r="45" s="4" spans="2:17" x14ac:dyDescent="0.2"/>
    <row customFormat="1" r="46" s="4" spans="2:17" x14ac:dyDescent="0.2"/>
    <row customFormat="1" r="47" s="4" spans="2:17" x14ac:dyDescent="0.2"/>
    <row customFormat="1" r="48" s="4" spans="2:17" x14ac:dyDescent="0.2"/>
    <row customFormat="1" r="49" s="4" x14ac:dyDescent="0.2"/>
    <row customFormat="1" r="50" s="4" x14ac:dyDescent="0.2"/>
    <row customFormat="1" r="51" s="4" x14ac:dyDescent="0.2"/>
    <row customFormat="1" r="52" s="4" x14ac:dyDescent="0.2"/>
    <row customFormat="1" r="53" s="4" x14ac:dyDescent="0.2"/>
    <row customFormat="1" r="54" s="4" x14ac:dyDescent="0.2"/>
    <row customFormat="1" r="55" s="4" x14ac:dyDescent="0.2"/>
    <row customFormat="1" r="56" s="4" x14ac:dyDescent="0.2"/>
    <row customFormat="1" r="57" s="4" x14ac:dyDescent="0.2"/>
    <row customFormat="1" r="58" s="4" x14ac:dyDescent="0.2"/>
    <row customFormat="1" r="59" s="4" x14ac:dyDescent="0.2"/>
    <row customFormat="1" r="60" s="4" x14ac:dyDescent="0.2"/>
    <row customFormat="1" r="61" s="4" x14ac:dyDescent="0.2"/>
    <row customFormat="1" r="62" s="4" x14ac:dyDescent="0.2"/>
    <row customFormat="1" r="63" s="4" x14ac:dyDescent="0.2"/>
    <row customFormat="1" r="64" s="4" x14ac:dyDescent="0.2"/>
    <row customFormat="1" r="65" s="4" x14ac:dyDescent="0.2"/>
    <row customFormat="1" r="66" s="4" x14ac:dyDescent="0.2"/>
    <row customFormat="1" r="67" s="4" x14ac:dyDescent="0.2"/>
    <row customFormat="1" r="68" s="4" x14ac:dyDescent="0.2"/>
    <row customFormat="1" r="69" s="4" x14ac:dyDescent="0.2"/>
    <row customFormat="1" r="70" s="4" x14ac:dyDescent="0.2"/>
    <row customFormat="1" r="71" s="4" x14ac:dyDescent="0.2"/>
    <row customFormat="1" r="72" s="4" x14ac:dyDescent="0.2"/>
    <row customFormat="1" r="73" s="4" x14ac:dyDescent="0.2"/>
    <row customFormat="1" r="74" s="4" x14ac:dyDescent="0.2"/>
    <row customFormat="1" r="75" s="4" x14ac:dyDescent="0.2"/>
    <row customFormat="1" r="76" s="4" x14ac:dyDescent="0.2"/>
    <row customFormat="1" r="77" s="4" x14ac:dyDescent="0.2"/>
    <row customFormat="1" r="78" s="4" x14ac:dyDescent="0.2"/>
    <row customFormat="1" r="79" s="4" x14ac:dyDescent="0.2"/>
    <row customFormat="1" r="80" s="4" x14ac:dyDescent="0.2"/>
    <row customFormat="1" r="81" s="4" x14ac:dyDescent="0.2"/>
    <row customFormat="1" r="82" s="4" x14ac:dyDescent="0.2"/>
    <row customFormat="1" r="83" s="4" x14ac:dyDescent="0.2"/>
    <row customFormat="1" r="84" s="4" x14ac:dyDescent="0.2"/>
    <row customFormat="1" r="85" s="4" x14ac:dyDescent="0.2"/>
    <row customFormat="1" r="86" s="4" x14ac:dyDescent="0.2"/>
    <row customFormat="1" r="87" s="4" x14ac:dyDescent="0.2"/>
    <row customFormat="1" r="88" s="4" x14ac:dyDescent="0.2"/>
    <row customFormat="1" r="89" s="4" x14ac:dyDescent="0.2"/>
    <row customFormat="1" r="90" s="4" x14ac:dyDescent="0.2"/>
    <row customFormat="1" r="91" s="4" x14ac:dyDescent="0.2"/>
    <row customFormat="1" r="92" s="4" x14ac:dyDescent="0.2"/>
    <row customFormat="1" r="93" s="4" x14ac:dyDescent="0.2"/>
    <row customFormat="1" r="94" s="4" x14ac:dyDescent="0.2"/>
    <row customFormat="1" r="95" s="4" x14ac:dyDescent="0.2"/>
    <row customFormat="1" r="96" s="4" x14ac:dyDescent="0.2"/>
    <row customFormat="1" r="97" s="4" x14ac:dyDescent="0.2"/>
    <row customFormat="1" r="98" s="4" x14ac:dyDescent="0.2"/>
    <row customFormat="1" r="99" s="4" x14ac:dyDescent="0.2"/>
    <row customFormat="1" r="100" s="4" x14ac:dyDescent="0.2"/>
    <row customFormat="1" r="101" s="4" x14ac:dyDescent="0.2"/>
    <row customFormat="1" r="102" s="4" x14ac:dyDescent="0.2"/>
  </sheetData>
  <mergeCells count="1">
    <mergeCell ref="A1:R1"/>
  </mergeCells>
  <phoneticPr fontId="0" type="noConversion"/>
  <pageMargins bottom="1" footer="0.25" header="0.5" left="0.5" right="0.5" top="0.7"/>
  <pageSetup cellComments="atEnd" orientation="portrait" r:id="rId1"/>
  <headerFooter>
    <oddFooter><![CDATA[&L&8Source:  Board of Regents, Fall Enrollment Reports, Additional Data Supplement
Iowa LSA Contact:  Robin Madison (515.281.5270) &Urobin.madison@legis.iowa.gov 
&C&G
&R&G]]></oddFooter>
  </headerFooter>
  <ignoredErrors>
    <ignoredError sqref="D7:L11 D14:D17 D12 D13 D20:L36 D18 D19 F14:L17 F12:L13 F18:L19" unlockedFormula="1"/>
  </ignoredErrors>
  <drawing r:id="rId2"/>
  <legacyDrawingHF r:id="rId3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0" tint="-0.499984740745262"/>
  </sheetPr>
  <dimension ref="A1:N20"/>
  <sheetViews>
    <sheetView workbookViewId="0">
      <pane activePane="bottomLeft" state="frozen" topLeftCell="A2" ySplit="1"/>
      <selection activeCell="B36" sqref="B36"/>
      <selection activeCell="C41" pane="bottomLeft" sqref="C41"/>
    </sheetView>
  </sheetViews>
  <sheetFormatPr defaultRowHeight="12" x14ac:dyDescent="0.2"/>
  <cols>
    <col min="1" max="1" bestFit="true" customWidth="true" style="21" width="9.42578125" collapsed="false"/>
    <col min="2" max="2" bestFit="true" customWidth="true" style="22" width="18.140625" collapsed="false"/>
    <col min="3" max="3" bestFit="true" customWidth="true" style="22" width="14.42578125" collapsed="false"/>
    <col min="4" max="4" bestFit="true" customWidth="true" style="22" width="13.42578125" collapsed="false"/>
    <col min="5" max="5" bestFit="true" customWidth="true" style="22" width="16.5703125" collapsed="false"/>
    <col min="6" max="6" bestFit="true" customWidth="true" style="22" width="19.42578125" collapsed="false"/>
    <col min="7" max="7" bestFit="true" customWidth="true" style="22" width="22.5703125" collapsed="false"/>
    <col min="8" max="8" bestFit="true" customWidth="true" style="22" width="14.7109375" collapsed="false"/>
    <col min="9" max="9" bestFit="true" customWidth="true" style="22" width="18.0" collapsed="false"/>
    <col min="10" max="10" bestFit="true" customWidth="true" style="22" width="19.42578125" collapsed="false"/>
    <col min="11" max="11" bestFit="true" customWidth="true" style="22" width="22.5703125" collapsed="false"/>
    <col min="12" max="12" bestFit="true" customWidth="true" style="22" width="14.7109375" collapsed="false"/>
    <col min="13" max="13" bestFit="true" customWidth="true" style="22" width="18.0" collapsed="false"/>
  </cols>
  <sheetData>
    <row r="1" spans="1:13" x14ac:dyDescent="0.2">
      <c r="A1" s="21" t="s">
        <v>26</v>
      </c>
      <c r="B1" s="22" t="s">
        <v>14</v>
      </c>
      <c r="C1" s="22" t="s">
        <v>15</v>
      </c>
      <c r="D1" s="22" t="s">
        <v>16</v>
      </c>
      <c r="E1" s="22" t="s">
        <v>17</v>
      </c>
      <c r="F1" s="22" t="s">
        <v>18</v>
      </c>
      <c r="G1" s="22" t="s">
        <v>19</v>
      </c>
      <c r="H1" s="22" t="s">
        <v>20</v>
      </c>
      <c r="I1" s="22" t="s">
        <v>21</v>
      </c>
      <c r="J1" s="22" t="s">
        <v>22</v>
      </c>
      <c r="K1" s="22" t="s">
        <v>23</v>
      </c>
      <c r="L1" s="22" t="s">
        <v>24</v>
      </c>
      <c r="M1" s="22" t="s">
        <v>25</v>
      </c>
    </row>
    <row r="2" spans="1:13" x14ac:dyDescent="0.2">
      <c r="A2" s="21">
        <v>1990</v>
      </c>
      <c r="B2" s="22">
        <v>1739</v>
      </c>
      <c r="C2" s="22">
        <v>1855</v>
      </c>
      <c r="D2" s="22">
        <v>1180</v>
      </c>
      <c r="E2" s="22">
        <v>903</v>
      </c>
      <c r="F2" s="22">
        <v>2231</v>
      </c>
      <c r="G2" s="22">
        <v>1660</v>
      </c>
      <c r="H2" s="22">
        <v>647</v>
      </c>
      <c r="I2" s="22">
        <v>353</v>
      </c>
      <c r="J2" s="22">
        <v>836</v>
      </c>
      <c r="K2" s="22">
        <v>947</v>
      </c>
      <c r="L2" s="22">
        <v>82</v>
      </c>
      <c r="M2" s="22">
        <v>181</v>
      </c>
    </row>
    <row r="3" spans="1:13" x14ac:dyDescent="0.2">
      <c r="A3" s="21">
        <v>1991</v>
      </c>
      <c r="B3" s="22">
        <v>1731</v>
      </c>
      <c r="C3" s="22">
        <v>1895</v>
      </c>
      <c r="D3" s="22">
        <v>1240</v>
      </c>
      <c r="E3" s="22">
        <v>961</v>
      </c>
      <c r="F3" s="22">
        <v>2255</v>
      </c>
      <c r="G3" s="22">
        <v>1651</v>
      </c>
      <c r="H3" s="22">
        <v>696</v>
      </c>
      <c r="I3" s="22">
        <v>439</v>
      </c>
      <c r="J3" s="22">
        <v>906</v>
      </c>
      <c r="K3" s="22">
        <v>1316</v>
      </c>
      <c r="L3" s="22">
        <v>111</v>
      </c>
      <c r="M3" s="22">
        <v>181</v>
      </c>
    </row>
    <row r="4" spans="1:13" x14ac:dyDescent="0.2">
      <c r="A4" s="21">
        <v>1992</v>
      </c>
      <c r="B4" s="22">
        <v>1664</v>
      </c>
      <c r="C4" s="22">
        <v>1964</v>
      </c>
      <c r="D4" s="22">
        <v>1210</v>
      </c>
      <c r="E4" s="22">
        <v>1071</v>
      </c>
      <c r="F4" s="22">
        <v>2118</v>
      </c>
      <c r="G4" s="22">
        <v>1719</v>
      </c>
      <c r="H4" s="22">
        <v>651</v>
      </c>
      <c r="I4" s="22">
        <v>420</v>
      </c>
      <c r="J4" s="22">
        <v>920</v>
      </c>
      <c r="K4" s="22">
        <v>1158</v>
      </c>
      <c r="L4" s="22">
        <v>144</v>
      </c>
      <c r="M4" s="22">
        <v>229</v>
      </c>
    </row>
    <row r="5" spans="1:13" x14ac:dyDescent="0.2">
      <c r="A5" s="21">
        <v>1995</v>
      </c>
      <c r="B5" s="22">
        <v>1465</v>
      </c>
      <c r="C5" s="22">
        <v>1842</v>
      </c>
      <c r="D5" s="22">
        <v>1119</v>
      </c>
      <c r="E5" s="22">
        <v>1105</v>
      </c>
      <c r="F5" s="22">
        <v>2165</v>
      </c>
      <c r="G5" s="22">
        <v>1630</v>
      </c>
      <c r="H5" s="22">
        <v>724</v>
      </c>
      <c r="I5" s="22">
        <v>467</v>
      </c>
      <c r="J5" s="22">
        <v>1025</v>
      </c>
      <c r="K5" s="22">
        <v>1308</v>
      </c>
      <c r="L5" s="22">
        <v>116</v>
      </c>
      <c r="M5" s="22">
        <v>237</v>
      </c>
    </row>
    <row r="6" spans="1:13" x14ac:dyDescent="0.2">
      <c r="A6" s="21">
        <v>1996</v>
      </c>
      <c r="B6" s="22">
        <v>1534</v>
      </c>
      <c r="C6" s="22">
        <v>1706</v>
      </c>
      <c r="D6" s="22">
        <v>1173</v>
      </c>
      <c r="E6" s="22">
        <v>1005</v>
      </c>
      <c r="F6" s="22">
        <v>2100</v>
      </c>
      <c r="G6" s="22">
        <v>1717</v>
      </c>
      <c r="H6" s="22">
        <v>652</v>
      </c>
      <c r="I6" s="22">
        <v>508</v>
      </c>
      <c r="J6" s="22">
        <v>933</v>
      </c>
      <c r="K6" s="22">
        <v>1202</v>
      </c>
      <c r="L6" s="22">
        <v>138</v>
      </c>
      <c r="M6" s="22">
        <v>239</v>
      </c>
    </row>
    <row r="7" spans="1:13" x14ac:dyDescent="0.2">
      <c r="A7" s="21">
        <v>1997</v>
      </c>
      <c r="B7" s="22">
        <v>1597</v>
      </c>
      <c r="C7" s="22">
        <v>1863</v>
      </c>
      <c r="D7" s="22">
        <v>1096</v>
      </c>
      <c r="E7" s="22">
        <v>1061</v>
      </c>
      <c r="F7" s="22">
        <v>2119</v>
      </c>
      <c r="G7" s="22">
        <v>1726</v>
      </c>
      <c r="H7" s="22">
        <v>632</v>
      </c>
      <c r="I7" s="22">
        <v>485</v>
      </c>
      <c r="J7" s="22">
        <v>926</v>
      </c>
      <c r="K7" s="22">
        <v>1249</v>
      </c>
      <c r="L7" s="22">
        <v>144</v>
      </c>
      <c r="M7" s="22">
        <v>294</v>
      </c>
    </row>
    <row r="8" spans="1:13" x14ac:dyDescent="0.2">
      <c r="A8" s="21">
        <v>1998</v>
      </c>
      <c r="B8" s="22">
        <v>1554</v>
      </c>
      <c r="C8" s="22">
        <v>1852</v>
      </c>
      <c r="D8" s="22">
        <v>1081</v>
      </c>
      <c r="E8" s="22">
        <v>1072</v>
      </c>
      <c r="F8" s="22">
        <v>2105</v>
      </c>
      <c r="G8" s="22">
        <v>1771</v>
      </c>
      <c r="H8" s="22">
        <v>713</v>
      </c>
      <c r="I8" s="22">
        <v>513</v>
      </c>
      <c r="J8" s="22">
        <v>905</v>
      </c>
      <c r="K8" s="22">
        <v>1309</v>
      </c>
      <c r="L8" s="22">
        <v>128</v>
      </c>
      <c r="M8" s="22">
        <v>237</v>
      </c>
    </row>
    <row r="9" spans="1:13" x14ac:dyDescent="0.2">
      <c r="A9" s="21">
        <v>1999</v>
      </c>
      <c r="B9" s="22">
        <v>1570</v>
      </c>
      <c r="C9" s="22">
        <v>2092</v>
      </c>
      <c r="D9" s="22">
        <v>1078</v>
      </c>
      <c r="E9" s="22">
        <v>1042</v>
      </c>
      <c r="F9" s="22">
        <v>2122</v>
      </c>
      <c r="G9" s="22">
        <v>1696</v>
      </c>
      <c r="H9" s="22">
        <v>654</v>
      </c>
      <c r="I9" s="22">
        <v>473</v>
      </c>
      <c r="J9" s="22">
        <v>920</v>
      </c>
      <c r="K9" s="22">
        <v>1404</v>
      </c>
      <c r="L9" s="22">
        <v>130</v>
      </c>
      <c r="M9" s="22">
        <v>312</v>
      </c>
    </row>
    <row r="10" spans="1:13" x14ac:dyDescent="0.2">
      <c r="A10" s="21">
        <v>2000</v>
      </c>
      <c r="B10" s="22">
        <v>1652</v>
      </c>
      <c r="C10" s="22">
        <v>2205</v>
      </c>
      <c r="D10" s="22">
        <v>1087</v>
      </c>
      <c r="E10" s="22">
        <v>1074</v>
      </c>
      <c r="F10" s="22">
        <v>2197</v>
      </c>
      <c r="G10" s="22">
        <v>1842</v>
      </c>
      <c r="H10" s="22">
        <v>625</v>
      </c>
      <c r="I10" s="22">
        <v>472</v>
      </c>
      <c r="J10" s="22">
        <v>1006</v>
      </c>
      <c r="K10" s="22">
        <v>1380</v>
      </c>
      <c r="L10" s="22">
        <v>130</v>
      </c>
      <c r="M10" s="22">
        <v>314</v>
      </c>
    </row>
    <row r="11" spans="1:13" x14ac:dyDescent="0.2">
      <c r="A11" s="21">
        <v>2001</v>
      </c>
      <c r="B11" s="22">
        <v>1594</v>
      </c>
      <c r="C11" s="22">
        <v>2102</v>
      </c>
      <c r="D11" s="22">
        <v>1101</v>
      </c>
      <c r="E11" s="22">
        <v>1050</v>
      </c>
      <c r="F11" s="22">
        <v>2138</v>
      </c>
      <c r="G11" s="22">
        <v>1881</v>
      </c>
      <c r="H11" s="22">
        <v>613</v>
      </c>
      <c r="I11" s="22">
        <v>488</v>
      </c>
      <c r="J11" s="22">
        <v>937</v>
      </c>
      <c r="K11" s="22">
        <v>1329</v>
      </c>
      <c r="L11" s="22">
        <v>131</v>
      </c>
      <c r="M11" s="22">
        <v>266</v>
      </c>
    </row>
    <row r="12" spans="1:13" x14ac:dyDescent="0.2">
      <c r="A12" s="21">
        <v>2003</v>
      </c>
      <c r="B12" s="22">
        <v>1714</v>
      </c>
      <c r="C12" s="22">
        <v>2301</v>
      </c>
      <c r="D12" s="22">
        <v>1025</v>
      </c>
      <c r="E12" s="22">
        <v>1124</v>
      </c>
      <c r="F12" s="22">
        <v>2328</v>
      </c>
      <c r="G12" s="22">
        <v>2070</v>
      </c>
      <c r="H12" s="22">
        <v>623</v>
      </c>
      <c r="I12" s="22">
        <v>499</v>
      </c>
      <c r="J12" s="22">
        <v>1036</v>
      </c>
      <c r="K12" s="22">
        <v>1556</v>
      </c>
      <c r="L12" s="22">
        <v>116</v>
      </c>
      <c r="M12" s="22">
        <v>310</v>
      </c>
    </row>
    <row r="13" spans="1:13" x14ac:dyDescent="0.2">
      <c r="A13" s="21">
        <v>2010</v>
      </c>
      <c r="B13" s="22">
        <v>2103</v>
      </c>
      <c r="C13" s="22">
        <v>2380</v>
      </c>
      <c r="D13" s="22">
        <v>1058</v>
      </c>
      <c r="E13" s="22">
        <v>1279</v>
      </c>
      <c r="F13" s="22">
        <v>2377</v>
      </c>
      <c r="G13" s="22">
        <v>1948</v>
      </c>
      <c r="H13" s="22">
        <v>652</v>
      </c>
      <c r="I13" s="22">
        <v>533</v>
      </c>
      <c r="J13" s="22">
        <v>1015</v>
      </c>
      <c r="K13" s="22">
        <v>1332</v>
      </c>
      <c r="L13" s="22">
        <v>191</v>
      </c>
      <c r="M13" s="22">
        <v>396</v>
      </c>
    </row>
    <row r="14" spans="1:13" x14ac:dyDescent="0.2">
      <c r="A14" s="21">
        <v>2011</v>
      </c>
      <c r="B14" s="22">
        <v>2067</v>
      </c>
      <c r="C14" s="22">
        <v>2372</v>
      </c>
      <c r="D14" s="22">
        <v>1113</v>
      </c>
      <c r="E14" s="22">
        <v>1215</v>
      </c>
      <c r="F14" s="22">
        <v>2355</v>
      </c>
      <c r="G14" s="22">
        <v>2062</v>
      </c>
      <c r="H14" s="22">
        <v>693</v>
      </c>
      <c r="I14" s="22">
        <v>648</v>
      </c>
      <c r="J14" s="22">
        <v>913</v>
      </c>
      <c r="K14" s="22">
        <v>1285</v>
      </c>
      <c r="L14" s="22">
        <v>164</v>
      </c>
      <c r="M14" s="22">
        <v>363</v>
      </c>
    </row>
    <row r="15" spans="1:13" x14ac:dyDescent="0.2">
      <c r="A15" s="21">
        <v>2012</v>
      </c>
      <c r="B15" s="22">
        <v>2009</v>
      </c>
      <c r="C15" s="22">
        <v>2241</v>
      </c>
      <c r="D15" s="22">
        <v>1123</v>
      </c>
      <c r="E15" s="22">
        <v>1249</v>
      </c>
      <c r="F15" s="22">
        <v>2515</v>
      </c>
      <c r="G15" s="22">
        <v>2227</v>
      </c>
      <c r="H15" s="22">
        <v>783</v>
      </c>
      <c r="I15" s="22">
        <v>634</v>
      </c>
      <c r="J15" s="22">
        <v>1016</v>
      </c>
      <c r="K15" s="22">
        <v>1424</v>
      </c>
      <c r="L15" s="22">
        <v>190</v>
      </c>
      <c r="M15" s="22">
        <v>404</v>
      </c>
    </row>
    <row r="16" spans="1:13" x14ac:dyDescent="0.2">
      <c r="A16" s="21">
        <v>2013</v>
      </c>
      <c r="B16" s="22">
        <v>2091</v>
      </c>
      <c r="C16" s="22">
        <v>2362</v>
      </c>
      <c r="D16" s="22">
        <v>1141</v>
      </c>
      <c r="E16" s="22">
        <v>1287</v>
      </c>
      <c r="F16" s="22">
        <v>2640</v>
      </c>
      <c r="G16" s="22">
        <v>2241</v>
      </c>
      <c r="H16" s="22">
        <v>667</v>
      </c>
      <c r="I16" s="22">
        <v>573</v>
      </c>
      <c r="J16" s="22">
        <v>989</v>
      </c>
      <c r="K16" s="22">
        <v>1360</v>
      </c>
      <c r="L16" s="22">
        <v>173</v>
      </c>
      <c r="M16" s="22">
        <v>353</v>
      </c>
    </row>
    <row r="17" spans="1:13" x14ac:dyDescent="0.2">
      <c r="A17" s="21">
        <v>2014</v>
      </c>
      <c r="B17" s="22">
        <v>2107</v>
      </c>
      <c r="C17" s="22">
        <v>2496</v>
      </c>
      <c r="D17" s="22">
        <v>1108</v>
      </c>
      <c r="E17" s="22">
        <v>1219</v>
      </c>
      <c r="F17" s="22">
        <v>2799</v>
      </c>
      <c r="G17" s="22">
        <v>2443</v>
      </c>
      <c r="H17" s="22">
        <v>674</v>
      </c>
      <c r="I17" s="22">
        <v>625</v>
      </c>
      <c r="J17" s="22">
        <v>1006</v>
      </c>
      <c r="K17" s="22">
        <v>1351</v>
      </c>
      <c r="L17" s="22">
        <v>184</v>
      </c>
      <c r="M17" s="22">
        <v>356</v>
      </c>
    </row>
    <row r="18" spans="1:13" x14ac:dyDescent="0.2">
      <c r="A18" s="21">
        <v>2015</v>
      </c>
      <c r="B18" s="22">
        <v>2202</v>
      </c>
      <c r="C18" s="22">
        <v>2504</v>
      </c>
      <c r="D18" s="22">
        <f>610+210+257</f>
        <v>1077</v>
      </c>
      <c r="E18" s="22">
        <f>666+242+233</f>
        <v>1141</v>
      </c>
      <c r="F18" s="22">
        <v>2968</v>
      </c>
      <c r="G18" s="22">
        <v>2535</v>
      </c>
      <c r="H18" s="22">
        <f>479+200+35</f>
        <v>714</v>
      </c>
      <c r="I18" s="22">
        <f>388+121+109</f>
        <v>618</v>
      </c>
      <c r="J18" s="22">
        <v>999</v>
      </c>
      <c r="K18" s="22">
        <v>1304</v>
      </c>
      <c r="L18" s="22">
        <f>139+9</f>
        <v>148</v>
      </c>
      <c r="M18" s="22">
        <f>312+5</f>
        <v>317</v>
      </c>
    </row>
    <row r="19" spans="1:13" x14ac:dyDescent="0.2">
      <c r="A19" s="21">
        <v>2016</v>
      </c>
      <c r="B19" s="22">
        <v>2190</v>
      </c>
      <c r="C19" s="22">
        <v>2485</v>
      </c>
      <c r="D19" s="22">
        <f>621+231+223</f>
        <v>1075</v>
      </c>
      <c r="E19" s="22">
        <f>640+237+211</f>
        <v>1088</v>
      </c>
      <c r="F19" s="22">
        <v>3164</v>
      </c>
      <c r="G19" s="22">
        <v>2890</v>
      </c>
      <c r="H19" s="22">
        <f>583+189+37</f>
        <v>809</v>
      </c>
      <c r="I19" s="22">
        <f>444+133+104</f>
        <v>681</v>
      </c>
      <c r="J19" s="22">
        <v>872</v>
      </c>
      <c r="K19" s="22">
        <v>1294</v>
      </c>
      <c r="L19" s="22">
        <f>152+8</f>
        <v>160</v>
      </c>
      <c r="M19" s="22">
        <f>360+6</f>
        <v>366</v>
      </c>
    </row>
    <row r="20" spans="1:13" x14ac:dyDescent="0.2">
      <c r="A20" s="21">
        <v>2017</v>
      </c>
      <c r="B20" s="22">
        <v>2173</v>
      </c>
      <c r="C20" s="22">
        <v>2511</v>
      </c>
      <c r="D20" s="22">
        <v>1029</v>
      </c>
      <c r="E20" s="22">
        <v>1122</v>
      </c>
      <c r="F20" s="22">
        <v>3383</v>
      </c>
      <c r="G20" s="22">
        <v>2969</v>
      </c>
      <c r="H20" s="22">
        <v>800</v>
      </c>
      <c r="I20" s="22">
        <v>708</v>
      </c>
      <c r="J20" s="22">
        <v>880</v>
      </c>
      <c r="K20" s="22">
        <v>1246</v>
      </c>
      <c r="L20" s="22">
        <v>142</v>
      </c>
      <c r="M20" s="22">
        <v>311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>
      <selection activeCell="B5" sqref="B5"/>
    </sheetView>
  </sheetViews>
  <sheetFormatPr defaultColWidth="10.28515625" defaultRowHeight="12" x14ac:dyDescent="0.2"/>
  <cols>
    <col min="1" max="1" bestFit="true" customWidth="true" style="18" width="34.28515625" collapsed="false"/>
    <col min="2" max="2" bestFit="true" customWidth="true" style="18" width="58.85546875" collapsed="false"/>
    <col min="3" max="4" style="18" width="10.28515625" collapsed="false"/>
    <col min="5" max="5" customWidth="true" style="18" width="35.5703125" collapsed="false"/>
    <col min="6" max="8" style="18" width="10.28515625" collapsed="false"/>
    <col min="9" max="9" customWidth="true" hidden="true" style="18" width="0.0" collapsed="false"/>
    <col min="10" max="16384" style="18" width="10.28515625" collapsed="false"/>
  </cols>
  <sheetData>
    <row r="1" spans="1:9" x14ac:dyDescent="0.2">
      <c r="A1" s="18" t="s">
        <v>6</v>
      </c>
      <c r="B1" s="19" t="s">
        <v>31</v>
      </c>
      <c r="I1" s="18" t="s">
        <v>7</v>
      </c>
    </row>
    <row r="2" spans="1:9" x14ac:dyDescent="0.2">
      <c r="A2" s="18" t="s">
        <v>8</v>
      </c>
      <c r="B2" s="36"/>
      <c r="I2" s="18" t="s">
        <v>9</v>
      </c>
    </row>
    <row r="3" spans="1:9" x14ac:dyDescent="0.2">
      <c r="A3" s="18" t="s">
        <v>10</v>
      </c>
      <c r="B3" s="18" t="s">
        <v>7</v>
      </c>
      <c r="I3" s="18" t="s">
        <v>11</v>
      </c>
    </row>
    <row ht="24" r="4" spans="1:9" x14ac:dyDescent="0.2">
      <c r="A4" s="18" t="s">
        <v>12</v>
      </c>
      <c r="B4" s="20" t="s">
        <v>62</v>
      </c>
      <c r="I4" s="18" t="s">
        <v>13</v>
      </c>
    </row>
    <row r="5" spans="1:9" x14ac:dyDescent="0.2">
      <c r="E5" s="19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baseType="lpstr" size="7">
      <vt:lpstr>Factbook</vt:lpstr>
      <vt:lpstr>Data</vt:lpstr>
      <vt:lpstr>Factbook_Old</vt:lpstr>
      <vt:lpstr>Data_old</vt:lpstr>
      <vt:lpstr>Notes</vt:lpstr>
      <vt:lpstr>Factbook!Print_Area</vt:lpstr>
      <vt:lpstr>Factbook_Old!Print_Area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2007-01-16T17:02:41Z</dcterms:created>
  <dc:creator>Guanci, Michael [LEGIS]</dc:creator>
  <cp:lastModifiedBy>Broich, Adam [LEGIS]</cp:lastModifiedBy>
  <cp:lastPrinted>2018-10-08T17:55:46Z</cp:lastPrinted>
  <dcterms:modified xsi:type="dcterms:W3CDTF">2018-10-10T17:39:12Z</dcterms:modified>
</cp:coreProperties>
</file>