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codeName="ThisWorkbook"/>
  <mc:AlternateContent>
    <mc:Choice Requires="x15">
      <x15ac:absPath xmlns:x15ac="http://schemas.microsoft.com/office/spreadsheetml/2010/11/ac" url="C:\Users\adam.broich\Desktop\"/>
    </mc:Choice>
  </mc:AlternateContent>
  <bookViews>
    <workbookView activeTab="2" windowHeight="3630" windowWidth="8355" xWindow="240" yWindow="60"/>
  </bookViews>
  <sheets>
    <sheet name="Factbook (old)" r:id="rId1" sheetId="2" state="veryHidden"/>
    <sheet name="Factbook (remake alternative)" r:id="rId2" sheetId="5" state="veryHidden"/>
    <sheet name="Factbook" r:id="rId3" sheetId="6" state="veryHidden"/>
    <sheet name="Data" r:id="rId4" sheetId="3"/>
    <sheet name="Notes" r:id="rId5" sheetId="4" state="veryHidden"/>
  </sheets>
  <definedNames>
    <definedName localSheetId="2" name="_xlnm.Print_Area">Factbook!$A$1:$Y$56</definedName>
    <definedName localSheetId="0" name="_xlnm.Print_Area">'Factbook (old)'!$A$1:$Y$56</definedName>
    <definedName localSheetId="1" name="_xlnm.Print_Area">'Factbook (remake alternative)'!$A$1:$Y$56</definedName>
  </definedNames>
  <calcPr calcId="162913"/>
</workbook>
</file>

<file path=xl/calcChain.xml><?xml version="1.0" encoding="utf-8"?>
<calcChain xmlns="http://schemas.openxmlformats.org/spreadsheetml/2006/main">
  <c i="6" l="1" r="K62"/>
  <c i="6" r="K63" s="1"/>
  <c i="6" r="K64" s="1"/>
  <c i="6" r="K65" s="1"/>
  <c i="6" r="K66" s="1"/>
  <c i="6" r="K67" s="1"/>
  <c i="6" r="K68" s="1"/>
  <c i="6" r="K69" s="1"/>
  <c i="6" r="K70" s="1"/>
  <c i="6" r="Q70"/>
  <c i="6" r="Q64"/>
  <c i="6" r="Q65" s="1"/>
  <c i="6" r="Q66" s="1"/>
  <c i="6" r="Q67" s="1"/>
  <c i="6" r="Q68" s="1"/>
  <c i="6" r="Q69" s="1"/>
  <c i="6" r="Q63"/>
  <c i="6" r="S42"/>
  <c i="6" r="K42"/>
  <c i="6" r="C42"/>
  <c i="6" r="A42"/>
  <c i="6" r="Y42" s="1"/>
  <c i="6" r="U41"/>
  <c i="6" r="S41"/>
  <c i="6" r="M41"/>
  <c i="6" r="K41"/>
  <c i="6" r="E41"/>
  <c i="6" r="C41"/>
  <c i="6" r="A41"/>
  <c i="6" r="Y41" s="1"/>
  <c i="6" r="W40"/>
  <c i="6" r="U40"/>
  <c i="6" r="S40"/>
  <c i="6" r="O40"/>
  <c i="6" r="M40"/>
  <c i="6" r="K40"/>
  <c i="6" r="G40"/>
  <c i="6" r="E40"/>
  <c i="6" r="C40"/>
  <c i="6" r="A40"/>
  <c i="6" r="Y40" s="1"/>
  <c i="6" r="A39"/>
  <c i="6" r="W39" s="1"/>
  <c i="6" r="S38"/>
  <c i="6" r="K38"/>
  <c i="6" r="C38"/>
  <c i="6" r="A38"/>
  <c i="6" r="Y38" s="1"/>
  <c i="6" r="U37"/>
  <c i="6" r="S37"/>
  <c i="6" r="M37"/>
  <c i="6" r="K37"/>
  <c i="6" r="E37"/>
  <c i="6" r="C37"/>
  <c i="6" r="A37"/>
  <c i="6" r="Y37" s="1"/>
  <c i="6" r="W36"/>
  <c i="6" r="U36"/>
  <c i="6" r="S36"/>
  <c i="6" r="O36"/>
  <c i="6" r="M36"/>
  <c i="6" r="K36"/>
  <c i="6" r="G36"/>
  <c i="6" r="E36"/>
  <c i="6" r="C36"/>
  <c i="6" r="A36"/>
  <c i="6" r="Y36" s="1"/>
  <c i="6" r="A35"/>
  <c i="6" r="W35" s="1"/>
  <c i="6" r="S34"/>
  <c i="6" r="K34"/>
  <c i="6" r="C34"/>
  <c i="6" r="A34"/>
  <c i="6" r="Y34" s="1"/>
  <c i="6" r="U33"/>
  <c i="6" r="S33"/>
  <c i="6" r="M33"/>
  <c i="6" r="K33"/>
  <c i="6" r="E33"/>
  <c i="6" r="C33"/>
  <c i="6" r="A33"/>
  <c i="6" r="Y33" s="1"/>
  <c i="6" r="W32"/>
  <c i="6" r="U32"/>
  <c i="6" r="S32"/>
  <c i="6" r="O32"/>
  <c i="6" r="M32"/>
  <c i="6" r="K32"/>
  <c i="6" r="G32"/>
  <c i="6" r="E32"/>
  <c i="6" r="C32"/>
  <c i="6" r="A32"/>
  <c i="6" r="Y32" s="1"/>
  <c i="6" r="W15"/>
  <c i="6" r="U15"/>
  <c i="6" r="S15"/>
  <c i="6" r="O15"/>
  <c i="6" r="M15"/>
  <c i="6" r="K15"/>
  <c i="6" r="G15"/>
  <c i="6" r="E15"/>
  <c i="6" r="C15"/>
  <c i="6" r="A15"/>
  <c i="6" r="Q15" s="1"/>
  <c i="6" r="W14"/>
  <c i="6" r="U14"/>
  <c i="6" r="S14"/>
  <c i="6" r="O14"/>
  <c i="6" r="M14"/>
  <c i="6" r="K14"/>
  <c i="6" r="G14"/>
  <c i="6" r="E14"/>
  <c i="6" r="C14"/>
  <c i="6" r="A14"/>
  <c i="6" r="Q14" s="1"/>
  <c i="6" r="W13"/>
  <c i="6" r="U13"/>
  <c i="6" r="S13"/>
  <c i="6" r="O13"/>
  <c i="6" r="M13"/>
  <c i="6" r="K13"/>
  <c i="6" r="G13"/>
  <c i="6" r="E13"/>
  <c i="6" r="C13"/>
  <c i="6" r="A13"/>
  <c i="6" r="Q13" s="1"/>
  <c i="6" r="W12"/>
  <c i="6" r="U12"/>
  <c i="6" r="S12"/>
  <c i="6" r="O12"/>
  <c i="6" r="M12"/>
  <c i="6" r="K12"/>
  <c i="6" r="G12"/>
  <c i="6" r="E12"/>
  <c i="6" r="C12"/>
  <c i="6" r="A12"/>
  <c i="6" r="Q12" s="1"/>
  <c i="6" r="W11"/>
  <c i="6" r="U11"/>
  <c i="6" r="S11"/>
  <c i="6" r="O11"/>
  <c i="6" r="M11"/>
  <c i="6" r="K11"/>
  <c i="6" r="G11"/>
  <c i="6" r="E11"/>
  <c i="6" r="C11"/>
  <c i="6" r="A11"/>
  <c i="6" r="Q11" s="1"/>
  <c i="6" r="W10"/>
  <c i="6" r="U10"/>
  <c i="6" r="S10"/>
  <c i="6" r="O10"/>
  <c i="6" r="M10"/>
  <c i="6" r="K10"/>
  <c i="6" r="G10"/>
  <c i="6" r="E10"/>
  <c i="6" r="C10"/>
  <c i="6" r="A10"/>
  <c i="6" r="Q10" s="1"/>
  <c i="6" r="W9"/>
  <c i="6" r="U9"/>
  <c i="6" r="S9"/>
  <c i="6" r="O9"/>
  <c i="6" r="M9"/>
  <c i="6" r="K9"/>
  <c i="6" r="G9"/>
  <c i="6" r="E9"/>
  <c i="6" r="C9"/>
  <c i="6" r="A9"/>
  <c i="6" r="Q9" s="1"/>
  <c i="6" r="W8"/>
  <c i="6" r="U8"/>
  <c i="6" r="S8"/>
  <c i="6" r="O8"/>
  <c i="6" r="M8"/>
  <c i="6" r="K8"/>
  <c i="6" r="G8"/>
  <c i="6" r="E8"/>
  <c i="6" r="C8"/>
  <c i="6" r="A8"/>
  <c i="6" r="Q8" s="1"/>
  <c i="6" r="W7"/>
  <c i="6" r="U7"/>
  <c i="6" r="S7"/>
  <c i="6" r="O7"/>
  <c i="6" r="M7"/>
  <c i="6" r="K7"/>
  <c i="6" r="G7"/>
  <c i="6" r="E7"/>
  <c i="6" r="C7"/>
  <c i="6" r="A7"/>
  <c i="6" r="Q7" s="1"/>
  <c i="6" r="W6"/>
  <c i="6" r="U6"/>
  <c i="6" r="S6"/>
  <c i="6" r="O6"/>
  <c i="6" r="M6"/>
  <c i="6" r="K6"/>
  <c i="6" r="G6"/>
  <c i="6" r="E6"/>
  <c i="6" r="C6"/>
  <c i="6" r="A6"/>
  <c i="6" r="Q6" s="1"/>
  <c i="6" r="W5"/>
  <c i="6" r="U5"/>
  <c i="6" r="S5"/>
  <c i="6" r="O5"/>
  <c i="6" r="M5"/>
  <c i="6" r="K5"/>
  <c i="6" r="G5"/>
  <c i="6" r="E5"/>
  <c i="6" r="C5"/>
  <c i="6" r="A5"/>
  <c i="6" r="Q5" s="1"/>
  <c i="6" l="1" r="Q35"/>
  <c i="6" r="I39"/>
  <c i="6" r="Q39"/>
  <c i="6" r="Y39"/>
  <c i="6" r="I5"/>
  <c i="6" r="I6"/>
  <c i="6" r="I7"/>
  <c i="6" r="I8"/>
  <c i="6" r="I9"/>
  <c i="6" r="I10"/>
  <c i="6" r="I11"/>
  <c i="6" r="I12"/>
  <c i="6" r="I13"/>
  <c i="6" r="I14"/>
  <c i="6" r="I15"/>
  <c i="6" r="I32"/>
  <c i="6" r="Q32"/>
  <c i="6" r="G33"/>
  <c i="6" r="O33"/>
  <c i="6" r="W33"/>
  <c i="6" r="E34"/>
  <c i="6" r="M34"/>
  <c i="6" r="U34"/>
  <c i="6" r="C35"/>
  <c i="6" r="K35"/>
  <c i="6" r="S35"/>
  <c i="6" r="I36"/>
  <c i="6" r="Q36"/>
  <c i="6" r="G37"/>
  <c i="6" r="O37"/>
  <c i="6" r="W37"/>
  <c i="6" r="E38"/>
  <c i="6" r="M38"/>
  <c i="6" r="U38"/>
  <c i="6" r="C39"/>
  <c i="6" r="K39"/>
  <c i="6" r="S39"/>
  <c i="6" r="I40"/>
  <c i="6" r="Q40"/>
  <c i="6" r="G41"/>
  <c i="6" r="O41"/>
  <c i="6" r="W41"/>
  <c i="6" r="E42"/>
  <c i="6" r="M42"/>
  <c i="6" r="U42"/>
  <c i="6" r="I35"/>
  <c i="6" r="Y35"/>
  <c i="6" r="I33"/>
  <c i="6" r="Q33"/>
  <c i="6" r="G34"/>
  <c i="6" r="O34"/>
  <c i="6" r="W34"/>
  <c i="6" r="E35"/>
  <c i="6" r="M35"/>
  <c i="6" r="U35"/>
  <c i="6" r="I37"/>
  <c i="6" r="Q37"/>
  <c i="6" r="G38"/>
  <c i="6" r="O38"/>
  <c i="6" r="W38"/>
  <c i="6" r="E39"/>
  <c i="6" r="M39"/>
  <c i="6" r="U39"/>
  <c i="6" r="I41"/>
  <c i="6" r="Q41"/>
  <c i="6" r="G42"/>
  <c i="6" r="O42"/>
  <c i="6" r="W42"/>
  <c i="6" r="I34"/>
  <c i="6" r="Q34"/>
  <c i="6" r="G35"/>
  <c i="6" r="O35"/>
  <c i="6" r="I38"/>
  <c i="6" r="Q38"/>
  <c i="6" r="G39"/>
  <c i="6" r="O39"/>
  <c i="6" r="I42"/>
  <c i="6" r="Q42"/>
  <c i="5" r="A42"/>
  <c i="5" r="Y42" s="1"/>
  <c i="5" r="A41"/>
  <c i="5" r="Y41" s="1"/>
  <c i="5" r="A40"/>
  <c i="5" r="Y40" s="1"/>
  <c i="5" r="A39"/>
  <c i="5" r="U39" s="1"/>
  <c i="5" r="A38"/>
  <c i="5" r="W38" s="1"/>
  <c i="5" r="C37"/>
  <c i="5" r="A37"/>
  <c i="5" r="Y37" s="1"/>
  <c i="5" r="A36"/>
  <c i="5" r="Y36" s="1"/>
  <c i="5" r="G35"/>
  <c i="5" r="E35"/>
  <c i="5" r="A35"/>
  <c i="5" r="S35" s="1"/>
  <c i="5" r="A34"/>
  <c i="5" r="W34" s="1"/>
  <c i="5" r="S33"/>
  <c i="5" r="A33"/>
  <c i="5" r="Y33" s="1"/>
  <c i="5" r="W32"/>
  <c i="5" r="M32"/>
  <c i="5" r="E32"/>
  <c i="5" r="C32"/>
  <c i="5" r="A32"/>
  <c i="5" r="Y32" s="1"/>
  <c i="5" r="S15"/>
  <c i="5" r="G15"/>
  <c i="5" r="A15"/>
  <c i="5" r="Q15" s="1"/>
  <c i="5" r="A14"/>
  <c i="5" r="Q14" s="1"/>
  <c i="5" r="S13"/>
  <c i="5" r="G13"/>
  <c i="5" r="A13"/>
  <c i="5" r="Q13" s="1"/>
  <c i="5" r="W12"/>
  <c i="5" r="C12"/>
  <c i="5" r="A12"/>
  <c i="5" r="Q12" s="1"/>
  <c i="5" r="A11"/>
  <c i="5" r="Q11" s="1"/>
  <c i="5" r="E10"/>
  <c i="5" r="C10"/>
  <c i="5" r="A10"/>
  <c i="5" r="Q10" s="1"/>
  <c i="5" r="G9"/>
  <c i="5" r="A9"/>
  <c i="5" r="Q9" s="1"/>
  <c i="5" r="W8"/>
  <c i="5" r="M8"/>
  <c i="5" r="E8"/>
  <c i="5" r="C8"/>
  <c i="5" r="A8"/>
  <c i="5" r="Q8" s="1"/>
  <c i="5" r="S7"/>
  <c i="5" r="A7"/>
  <c i="5" r="Q7" s="1"/>
  <c i="5" r="A6"/>
  <c i="5" r="Q6" s="1"/>
  <c i="5" r="S5"/>
  <c i="5" r="G5"/>
  <c i="5" r="A5"/>
  <c i="5" r="Q5" s="1"/>
  <c i="5" l="1" r="O14"/>
  <c i="5" r="C6"/>
  <c i="5" r="W6"/>
  <c i="5" r="O8"/>
  <c i="5" r="S9"/>
  <c i="5" r="M10"/>
  <c i="5" r="G11"/>
  <c i="5" r="E12"/>
  <c i="5" r="C14"/>
  <c i="5" r="W14"/>
  <c i="5" r="O32"/>
  <c i="5" r="M35"/>
  <c i="5" r="G36"/>
  <c i="5" r="K37"/>
  <c i="5" r="K40"/>
  <c i="5" r="O6"/>
  <c i="5" r="O10"/>
  <c i="5" r="S11"/>
  <c i="5" r="M12"/>
  <c i="5" r="E14"/>
  <c i="5" r="U35"/>
  <c i="5" r="S36"/>
  <c i="5" r="E6"/>
  <c i="5" r="M6"/>
  <c i="5" r="G7"/>
  <c i="5" r="W10"/>
  <c i="5" r="O12"/>
  <c i="5" r="M14"/>
  <c i="5" r="W35"/>
  <c i="5" r="K7"/>
  <c i="5" r="U7"/>
  <c i="5" r="K11"/>
  <c i="5" r="U11"/>
  <c i="5" r="K15"/>
  <c i="5" r="U15"/>
  <c i="5" r="K36"/>
  <c i="5" r="U36"/>
  <c i="5" r="M40"/>
  <c i="5" r="C41"/>
  <c i="5" r="C5"/>
  <c i="5" r="M5"/>
  <c i="5" r="W5"/>
  <c i="5" r="G6"/>
  <c i="5" r="S6"/>
  <c i="5" r="C7"/>
  <c i="5" r="M7"/>
  <c i="5" r="W7"/>
  <c i="5" r="G8"/>
  <c i="5" r="S8"/>
  <c i="5" r="C9"/>
  <c i="5" r="M9"/>
  <c i="5" r="W9"/>
  <c i="5" r="G10"/>
  <c i="5" r="S10"/>
  <c i="5" r="C11"/>
  <c i="5" r="M11"/>
  <c i="5" r="W11"/>
  <c i="5" r="G12"/>
  <c i="5" r="S12"/>
  <c i="5" r="C13"/>
  <c i="5" r="M13"/>
  <c i="5" r="W13"/>
  <c i="5" r="G14"/>
  <c i="5" r="S14"/>
  <c i="5" r="C15"/>
  <c i="5" r="M15"/>
  <c i="5" r="W15"/>
  <c i="5" r="G32"/>
  <c i="5" r="S32"/>
  <c i="5" r="C33"/>
  <c i="5" r="O35"/>
  <c i="5" r="C36"/>
  <c i="5" r="M36"/>
  <c i="5" r="W36"/>
  <c i="5" r="S37"/>
  <c i="5" r="C40"/>
  <c i="5" r="S40"/>
  <c i="5" r="K41"/>
  <c i="5" r="K5"/>
  <c i="5" r="U5"/>
  <c i="5" r="K9"/>
  <c i="5" r="U9"/>
  <c i="5" r="K13"/>
  <c i="5" r="U13"/>
  <c i="5" r="E5"/>
  <c i="5" r="O5"/>
  <c i="5" r="K6"/>
  <c i="5" r="U6"/>
  <c i="5" r="E7"/>
  <c i="5" r="O7"/>
  <c i="5" r="K8"/>
  <c i="5" r="U8"/>
  <c i="5" r="E9"/>
  <c i="5" r="O9"/>
  <c i="5" r="K10"/>
  <c i="5" r="U10"/>
  <c i="5" r="E11"/>
  <c i="5" r="O11"/>
  <c i="5" r="K12"/>
  <c i="5" r="U12"/>
  <c i="5" r="E13"/>
  <c i="5" r="O13"/>
  <c i="5" r="K14"/>
  <c i="5" r="U14"/>
  <c i="5" r="E15"/>
  <c i="5" r="O15"/>
  <c i="5" r="K32"/>
  <c i="5" r="U32"/>
  <c i="5" r="K33"/>
  <c i="5" r="E36"/>
  <c i="5" r="O36"/>
  <c i="5" r="E40"/>
  <c i="5" r="U40"/>
  <c i="5" r="S41"/>
  <c i="5" r="I39"/>
  <c i="5" r="Q39"/>
  <c i="5" r="Y39"/>
  <c i="5" r="G40"/>
  <c i="5" r="O40"/>
  <c i="5" r="W40"/>
  <c i="5" r="E41"/>
  <c i="5" r="M41"/>
  <c i="5" r="U41"/>
  <c i="5" r="C42"/>
  <c i="5" r="K42"/>
  <c i="5" r="S42"/>
  <c i="5" r="Q34"/>
  <c i="5" r="I38"/>
  <c i="5" r="Q38"/>
  <c i="5" r="Y38"/>
  <c i="5" r="G39"/>
  <c i="5" r="O39"/>
  <c i="5" r="W39"/>
  <c i="5" r="E33"/>
  <c i="5" r="M33"/>
  <c i="5" r="U33"/>
  <c i="5" r="C34"/>
  <c i="5" r="K34"/>
  <c i="5" r="S34"/>
  <c i="5" r="I35"/>
  <c i="5" r="Q35"/>
  <c i="5" r="Y35"/>
  <c i="5" r="E37"/>
  <c i="5" r="M37"/>
  <c i="5" r="U37"/>
  <c i="5" r="C38"/>
  <c i="5" r="K38"/>
  <c i="5" r="S38"/>
  <c i="5" r="I5"/>
  <c i="5" r="I6"/>
  <c i="5" r="I7"/>
  <c i="5" r="I8"/>
  <c i="5" r="I9"/>
  <c i="5" r="I10"/>
  <c i="5" r="I11"/>
  <c i="5" r="I12"/>
  <c i="5" r="I13"/>
  <c i="5" r="I14"/>
  <c i="5" r="I15"/>
  <c i="5" r="I32"/>
  <c i="5" r="Q32"/>
  <c i="5" r="G33"/>
  <c i="5" r="O33"/>
  <c i="5" r="W33"/>
  <c i="5" r="E34"/>
  <c i="5" r="M34"/>
  <c i="5" r="U34"/>
  <c i="5" r="C35"/>
  <c i="5" r="K35"/>
  <c i="5" r="I36"/>
  <c i="5" r="Q36"/>
  <c i="5" r="G37"/>
  <c i="5" r="O37"/>
  <c i="5" r="W37"/>
  <c i="5" r="E38"/>
  <c i="5" r="M38"/>
  <c i="5" r="U38"/>
  <c i="5" r="C39"/>
  <c i="5" r="K39"/>
  <c i="5" r="S39"/>
  <c i="5" r="I40"/>
  <c i="5" r="Q40"/>
  <c i="5" r="G41"/>
  <c i="5" r="O41"/>
  <c i="5" r="W41"/>
  <c i="5" r="E42"/>
  <c i="5" r="M42"/>
  <c i="5" r="U42"/>
  <c i="5" r="I34"/>
  <c i="5" r="Y34"/>
  <c i="5" r="I33"/>
  <c i="5" r="Q33"/>
  <c i="5" r="G34"/>
  <c i="5" r="O34"/>
  <c i="5" r="I37"/>
  <c i="5" r="Q37"/>
  <c i="5" r="G38"/>
  <c i="5" r="O38"/>
  <c i="5" r="E39"/>
  <c i="5" r="M39"/>
  <c i="5" r="I41"/>
  <c i="5" r="Q41"/>
  <c i="5" r="G42"/>
  <c i="5" r="O42"/>
  <c i="5" r="W42"/>
  <c i="5" r="I42"/>
  <c i="5" r="Q42"/>
  <c i="3" r="U17"/>
  <c i="3" l="1" r="R17"/>
  <c i="3" l="1" r="O17"/>
  <c i="3" l="1" r="U16"/>
  <c i="3" r="R16"/>
  <c i="3" r="O16"/>
  <c i="2" l="1" r="A42"/>
  <c i="2" r="W42" s="1"/>
  <c i="2" r="A41"/>
  <c i="2" r="Y41" s="1"/>
  <c i="2" r="A40"/>
  <c i="2" r="S40" s="1"/>
  <c i="2" r="A39"/>
  <c i="2" r="U39" s="1"/>
  <c i="2" r="A38"/>
  <c i="2" r="W38" s="1"/>
  <c i="2" r="A37"/>
  <c i="2" r="Y37" s="1"/>
  <c i="2" r="A36"/>
  <c i="2" r="S36" s="1"/>
  <c i="2" r="A35"/>
  <c i="2" r="U35" s="1"/>
  <c i="2" r="A34"/>
  <c i="2" r="W34" s="1"/>
  <c i="2" r="A33"/>
  <c i="2" r="Y33" s="1"/>
  <c i="2" r="A32"/>
  <c i="2" r="U32" s="1"/>
  <c i="2" r="A15"/>
  <c i="2" r="U15" s="1"/>
  <c i="2" r="A14"/>
  <c i="2" r="W14" s="1"/>
  <c i="2" r="A13"/>
  <c i="2" r="Q13" s="1"/>
  <c i="2" r="A12"/>
  <c i="2" r="S12" s="1"/>
  <c i="2" r="A11"/>
  <c i="2" r="U11" s="1"/>
  <c i="2" r="A10"/>
  <c i="2" r="W10" s="1"/>
  <c i="2" r="A9"/>
  <c i="2" r="Q9" s="1"/>
  <c i="2" r="A8"/>
  <c i="2" r="S8" s="1"/>
  <c i="2" r="A7"/>
  <c i="2" r="U7" s="1"/>
  <c i="2" r="A6"/>
  <c i="2" r="W6" s="1"/>
  <c i="2" r="A5"/>
  <c i="2" r="S5" s="1"/>
  <c i="2" l="1" r="C15"/>
  <c i="2" r="C11"/>
  <c i="2" r="C7"/>
  <c i="2" r="E14"/>
  <c i="2" r="E10"/>
  <c i="2" r="E6"/>
  <c i="2" r="G13"/>
  <c i="2" r="G9"/>
  <c i="2" r="I5"/>
  <c i="2" r="I12"/>
  <c i="2" r="I8"/>
  <c i="2" r="K15"/>
  <c i="2" r="K11"/>
  <c i="2" r="K7"/>
  <c i="2" r="M14"/>
  <c i="2" r="M10"/>
  <c i="2" r="M6"/>
  <c i="2" r="O13"/>
  <c i="2" r="O9"/>
  <c i="2" r="Q5"/>
  <c i="2" r="Q12"/>
  <c i="2" r="Q8"/>
  <c i="2" r="S15"/>
  <c i="2" r="S11"/>
  <c i="2" r="S7"/>
  <c i="2" r="U14"/>
  <c i="2" r="U10"/>
  <c i="2" r="U6"/>
  <c i="2" r="W13"/>
  <c i="2" r="W9"/>
  <c i="2" r="C32"/>
  <c i="2" r="C39"/>
  <c i="2" r="C35"/>
  <c i="2" r="E42"/>
  <c i="2" r="E38"/>
  <c i="2" r="E34"/>
  <c i="2" r="G41"/>
  <c i="2" r="G37"/>
  <c i="2" r="G33"/>
  <c i="2" r="I40"/>
  <c i="2" r="I36"/>
  <c i="2" r="K32"/>
  <c i="2" r="K39"/>
  <c i="2" r="K35"/>
  <c i="2" r="M42"/>
  <c i="2" r="M38"/>
  <c i="2" r="M34"/>
  <c i="2" r="O41"/>
  <c i="2" r="O37"/>
  <c i="2" r="O33"/>
  <c i="2" r="Q40"/>
  <c i="2" r="Q36"/>
  <c i="2" r="S32"/>
  <c i="2" r="S39"/>
  <c i="2" r="S35"/>
  <c i="2" r="U42"/>
  <c i="2" r="U38"/>
  <c i="2" r="U34"/>
  <c i="2" r="W41"/>
  <c i="2" r="W37"/>
  <c i="2" r="W33"/>
  <c i="2" r="Y40"/>
  <c i="2" r="Y36"/>
  <c i="2" r="C14"/>
  <c i="2" r="C10"/>
  <c i="2" r="C6"/>
  <c i="2" r="E13"/>
  <c i="2" r="E9"/>
  <c i="2" r="G5"/>
  <c i="2" r="G12"/>
  <c i="2" r="G8"/>
  <c i="2" r="I15"/>
  <c i="2" r="I11"/>
  <c i="2" r="I7"/>
  <c i="2" r="K14"/>
  <c i="2" r="K10"/>
  <c i="2" r="K6"/>
  <c i="2" r="M13"/>
  <c i="2" r="M9"/>
  <c i="2" r="O5"/>
  <c i="2" r="O12"/>
  <c i="2" r="O8"/>
  <c i="2" r="Q15"/>
  <c i="2" r="Q11"/>
  <c i="2" r="Q7"/>
  <c i="2" r="S14"/>
  <c i="2" r="S10"/>
  <c i="2" r="S6"/>
  <c i="2" r="U13"/>
  <c i="2" r="U9"/>
  <c i="2" r="W5"/>
  <c i="2" r="W12"/>
  <c i="2" r="W8"/>
  <c i="2" r="C42"/>
  <c i="2" r="C38"/>
  <c i="2" r="C34"/>
  <c i="2" r="E41"/>
  <c i="2" r="E37"/>
  <c i="2" r="E33"/>
  <c i="2" r="G40"/>
  <c i="2" r="G36"/>
  <c i="2" r="I32"/>
  <c i="2" r="I39"/>
  <c i="2" r="I35"/>
  <c i="2" r="K42"/>
  <c i="2" r="K38"/>
  <c i="2" r="K34"/>
  <c i="2" r="M41"/>
  <c i="2" r="M37"/>
  <c i="2" r="M33"/>
  <c i="2" r="O40"/>
  <c i="2" r="O36"/>
  <c i="2" r="Q32"/>
  <c i="2" r="Q39"/>
  <c i="2" r="Q35"/>
  <c i="2" r="S42"/>
  <c i="2" r="S38"/>
  <c i="2" r="S34"/>
  <c i="2" r="U41"/>
  <c i="2" r="U37"/>
  <c i="2" r="U33"/>
  <c i="2" r="W40"/>
  <c i="2" r="W36"/>
  <c i="2" r="Y32"/>
  <c i="2" r="Y39"/>
  <c i="2" r="Y35"/>
  <c i="2" r="C13"/>
  <c i="2" r="C9"/>
  <c i="2" r="E5"/>
  <c i="2" r="E12"/>
  <c i="2" r="E8"/>
  <c i="2" r="G15"/>
  <c i="2" r="G11"/>
  <c i="2" r="G7"/>
  <c i="2" r="I14"/>
  <c i="2" r="I10"/>
  <c i="2" r="I6"/>
  <c i="2" r="K13"/>
  <c i="2" r="K9"/>
  <c i="2" r="M5"/>
  <c i="2" r="M12"/>
  <c i="2" r="M8"/>
  <c i="2" r="O15"/>
  <c i="2" r="O11"/>
  <c i="2" r="O7"/>
  <c i="2" r="Q14"/>
  <c i="2" r="Q10"/>
  <c i="2" r="Q6"/>
  <c i="2" r="S13"/>
  <c i="2" r="S9"/>
  <c i="2" r="U5"/>
  <c i="2" r="U12"/>
  <c i="2" r="U8"/>
  <c i="2" r="W15"/>
  <c i="2" r="W11"/>
  <c i="2" r="W7"/>
  <c i="2" r="C41"/>
  <c i="2" r="C37"/>
  <c i="2" r="C33"/>
  <c i="2" r="E40"/>
  <c i="2" r="E36"/>
  <c i="2" r="G32"/>
  <c i="2" r="G39"/>
  <c i="2" r="G35"/>
  <c i="2" r="I42"/>
  <c i="2" r="I38"/>
  <c i="2" r="I34"/>
  <c i="2" r="K41"/>
  <c i="2" r="K37"/>
  <c i="2" r="K33"/>
  <c i="2" r="M40"/>
  <c i="2" r="M36"/>
  <c i="2" r="O32"/>
  <c i="2" r="O39"/>
  <c i="2" r="O35"/>
  <c i="2" r="Q42"/>
  <c i="2" r="Q38"/>
  <c i="2" r="Q34"/>
  <c i="2" r="S41"/>
  <c i="2" r="S37"/>
  <c i="2" r="S33"/>
  <c i="2" r="U40"/>
  <c i="2" r="U36"/>
  <c i="2" r="W32"/>
  <c i="2" r="W39"/>
  <c i="2" r="W35"/>
  <c i="2" r="Y42"/>
  <c i="2" r="Y38"/>
  <c i="2" r="Y34"/>
  <c i="2" r="C5"/>
  <c i="2" r="C12"/>
  <c i="2" r="C8"/>
  <c i="2" r="E15"/>
  <c i="2" r="E11"/>
  <c i="2" r="E7"/>
  <c i="2" r="G14"/>
  <c i="2" r="G10"/>
  <c i="2" r="G6"/>
  <c i="2" r="I13"/>
  <c i="2" r="I9"/>
  <c i="2" r="K5"/>
  <c i="2" r="K12"/>
  <c i="2" r="K8"/>
  <c i="2" r="M15"/>
  <c i="2" r="M11"/>
  <c i="2" r="M7"/>
  <c i="2" r="O14"/>
  <c i="2" r="O10"/>
  <c i="2" r="O6"/>
  <c i="2" r="C40"/>
  <c i="2" r="C36"/>
  <c i="2" r="E32"/>
  <c i="2" r="E39"/>
  <c i="2" r="E35"/>
  <c i="2" r="G42"/>
  <c i="2" r="G38"/>
  <c i="2" r="G34"/>
  <c i="2" r="I41"/>
  <c i="2" r="I37"/>
  <c i="2" r="I33"/>
  <c i="2" r="K40"/>
  <c i="2" r="K36"/>
  <c i="2" r="M32"/>
  <c i="2" r="M39"/>
  <c i="2" r="M35"/>
  <c i="2" r="O42"/>
  <c i="2" r="O38"/>
  <c i="2" r="O34"/>
  <c i="2" r="Q41"/>
  <c i="2" r="Q37"/>
  <c i="2" r="Q33"/>
</calcChain>
</file>

<file path=xl/sharedStrings.xml><?xml version="1.0" encoding="utf-8"?>
<sst xmlns="http://schemas.openxmlformats.org/spreadsheetml/2006/main" count="278" uniqueCount="111">
  <si>
    <t>School Year Ending</t>
  </si>
  <si>
    <t xml:space="preserve">Iowa </t>
  </si>
  <si>
    <t>&lt;250</t>
  </si>
  <si>
    <t>250-399</t>
  </si>
  <si>
    <t>400-599</t>
  </si>
  <si>
    <t>600-999</t>
  </si>
  <si>
    <t>1,000-2,499</t>
  </si>
  <si>
    <t>2,500-7,499</t>
  </si>
  <si>
    <t>7,500+</t>
  </si>
  <si>
    <t>AEA</t>
  </si>
  <si>
    <t xml:space="preserve">Minimum Salary </t>
  </si>
  <si>
    <t>AEA = Area Education Agency</t>
  </si>
  <si>
    <t>3)  Average salary is based on the regular salary amounts reported to the Iowa Department of Education.</t>
  </si>
  <si>
    <t>School</t>
  </si>
  <si>
    <t>Year</t>
  </si>
  <si>
    <t>Ending</t>
  </si>
  <si>
    <t>Number of</t>
  </si>
  <si>
    <t>Teachers</t>
  </si>
  <si>
    <t>Principal Salary</t>
  </si>
  <si>
    <t xml:space="preserve">Average </t>
  </si>
  <si>
    <t>Principal</t>
  </si>
  <si>
    <t>Salary</t>
  </si>
  <si>
    <t>Average Teacher</t>
  </si>
  <si>
    <t>Average</t>
  </si>
  <si>
    <t>Principals</t>
  </si>
  <si>
    <t>Staff</t>
  </si>
  <si>
    <t xml:space="preserve">AEA Admin. </t>
  </si>
  <si>
    <t>AEA Admin.</t>
  </si>
  <si>
    <t>Average Salary</t>
  </si>
  <si>
    <t>Supt.</t>
  </si>
  <si>
    <t xml:space="preserve"> Salary</t>
  </si>
  <si>
    <t>2)  Minimum salary is the statutory required minimum salary level for a public full-time teacher.</t>
  </si>
  <si>
    <t>2)  Full-time licensed staff with multiple positions are included in each of those positions.</t>
  </si>
  <si>
    <t>U.S.</t>
  </si>
  <si>
    <t>SchoolYearEnding</t>
  </si>
  <si>
    <t>MinimumSalary</t>
  </si>
  <si>
    <t>Iowa</t>
  </si>
  <si>
    <t>NumberofTeachers</t>
  </si>
  <si>
    <t>AverageTeacherSalary</t>
  </si>
  <si>
    <t>%ChangeinAverageSalary</t>
  </si>
  <si>
    <t>NumberofPrincipals</t>
  </si>
  <si>
    <t>AveragePrincipalSalary</t>
  </si>
  <si>
    <t>%ChangeinAveragePrincipalSalary</t>
  </si>
  <si>
    <t>NumberofSupt.</t>
  </si>
  <si>
    <t>StaffAverageSalarySalary</t>
  </si>
  <si>
    <t>AverageSuptSalary</t>
  </si>
  <si>
    <t>NumberofAEAAdminStaff</t>
  </si>
  <si>
    <t>AEAAdminStaffAverageSalary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</si>
  <si>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</si>
  <si>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</si>
  <si>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</si>
  <si>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</si>
  <si>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</si>
  <si>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</si>
  <si>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</si>
  <si>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</si>
  <si>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Public Full-Time Teacher Average Salary</t>
  </si>
  <si>
    <t>Iowa Full-Time Licensed Staff Average Salary</t>
  </si>
  <si>
    <t>Percent</t>
  </si>
  <si>
    <t>Change</t>
  </si>
  <si>
    <t>Staff Avg.</t>
  </si>
  <si>
    <t xml:space="preserve"> Change</t>
  </si>
  <si>
    <t>Number of Teachers</t>
  </si>
  <si>
    <t>Average Teacher Salary</t>
  </si>
  <si>
    <t>Percent Change Average Salary</t>
  </si>
  <si>
    <t>Average Principal Salary</t>
  </si>
  <si>
    <t>Percent Change Average Principal Salary</t>
  </si>
  <si>
    <t>Average Supt. Salary</t>
  </si>
  <si>
    <t>Percent Change Average Supt. Salary</t>
  </si>
  <si>
    <t>Number of AEA Admin. Staff</t>
  </si>
  <si>
    <t>Percent Change AEA Admin. Staff Avg. Salary</t>
  </si>
  <si>
    <t>Number of Principals</t>
  </si>
  <si>
    <t>Number of Supt.</t>
  </si>
  <si>
    <t>Dept. of Education</t>
  </si>
  <si>
    <t>https://www.educateiowa.gov/education-statistics#Staff_Data</t>
  </si>
  <si>
    <t>Use staff data on DE website for most info</t>
  </si>
  <si>
    <t>Use latest NEA Rankings &amp; Estimates document for US average</t>
  </si>
  <si>
    <t>For stats on AEA Admin Staff, use Robin's SAS program against the staff file</t>
  </si>
  <si>
    <t>Notes:</t>
  </si>
  <si>
    <t xml:space="preserve">     (Summary Table G).</t>
  </si>
  <si>
    <t>Staff Average Salary</t>
  </si>
  <si>
    <t>By Iowa School District Enrollment Size Category</t>
  </si>
  <si>
    <t>1)  United States average salary is estimated and based on the National Education Association (NEA) Survey of Rankings and Estimates</t>
  </si>
  <si>
    <t xml:space="preserve">     of Education.</t>
  </si>
  <si>
    <t>1)  Average salary is based on the regular salary amounts reported to the Iowa Department</t>
  </si>
  <si>
    <t>Number</t>
  </si>
  <si>
    <t>Avg. Salary</t>
  </si>
  <si>
    <t>Salary Change</t>
  </si>
  <si>
    <t>AEA Administrative Staff</t>
  </si>
  <si>
    <t>Superintendents</t>
  </si>
  <si>
    <t>__&lt;250__</t>
  </si>
  <si>
    <r>
      <t>Minimum
__</t>
    </r>
    <r>
      <rPr>
        <b/>
        <u/>
        <sz val="8"/>
        <rFont val="Arial"/>
        <family val="2"/>
      </rPr>
      <t>Salary_</t>
    </r>
  </si>
  <si>
    <t>__U.S.__</t>
  </si>
  <si>
    <r>
      <t xml:space="preserve">Iowa Full-Time Licensed Staff Average Salary </t>
    </r>
    <r>
      <rPr>
        <b/>
        <sz val="8"/>
        <rFont val="Arial"/>
        <family val="2"/>
      </rPr>
      <t>(School Year End)</t>
    </r>
  </si>
  <si>
    <r>
      <t xml:space="preserve">By Iowa School District Enrollment Size Category </t>
    </r>
    <r>
      <rPr>
        <b/>
        <sz val="8"/>
        <rFont val="Arial"/>
        <family val="2"/>
      </rPr>
      <t>(School Year End)</t>
    </r>
  </si>
  <si>
    <t>_Year_</t>
  </si>
  <si>
    <t>_250-399_</t>
  </si>
  <si>
    <t>_400-599_</t>
  </si>
  <si>
    <t>_600-999_</t>
  </si>
  <si>
    <r>
      <t>1,000-
__</t>
    </r>
    <r>
      <rPr>
        <b/>
        <u/>
        <sz val="8"/>
        <rFont val="Arial"/>
        <family val="2"/>
      </rPr>
      <t>2,499__</t>
    </r>
  </si>
  <si>
    <t>2,500-
7,499</t>
  </si>
  <si>
    <t>__AEA__</t>
  </si>
  <si>
    <t>__Iowa__</t>
  </si>
  <si>
    <t>__7,500+__</t>
  </si>
  <si>
    <r>
      <t>2,500-
__</t>
    </r>
    <r>
      <rPr>
        <b/>
        <u/>
        <sz val="8"/>
        <rFont val="Arial"/>
        <family val="2"/>
      </rPr>
      <t>7,499__</t>
    </r>
  </si>
  <si>
    <t>Minimum
Salary</t>
  </si>
  <si>
    <t>1,000-
2,499</t>
  </si>
  <si>
    <t>AB NOTEs</t>
  </si>
  <si>
    <t>1. Column width should be set</t>
  </si>
  <si>
    <t>2. Table font has a lighter shading</t>
  </si>
  <si>
    <t>3. font should be in 8 point for the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</si>
</sst>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8" formatCode="0.0"/>
  </numFmts>
  <fonts count="12" x14ac:knownFonts="1"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9"/>
      <color theme="10"/>
      <name val="Arial"/>
      <family val="2"/>
    </font>
    <font>
      <b/>
      <sz val="8"/>
      <name val="Arial"/>
      <family val="2"/>
    </font>
    <font>
      <sz val="8"/>
      <color theme="1" tint="0.249977111117893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Dot">
        <color theme="0" tint="-0.499984740745262"/>
      </bottom>
      <diagonal/>
    </border>
    <border>
      <left/>
      <right/>
      <top/>
      <bottom style="dashDot">
        <color indexed="22"/>
      </bottom>
      <diagonal/>
    </border>
    <border>
      <left/>
      <right/>
      <top/>
      <bottom style="dashDot">
        <color theme="0" tint="-0.249977111117893"/>
      </bottom>
      <diagonal/>
    </border>
    <border>
      <left/>
      <right/>
      <top/>
      <bottom style="dashDot">
        <color theme="0" tint="-0.34998626667073579"/>
      </bottom>
      <diagonal/>
    </border>
  </borders>
  <cellStyleXfs count="5">
    <xf borderId="0" fillId="0" fontId="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44"/>
    <xf applyAlignment="0" applyBorder="0" applyFill="0" applyFont="0" applyProtection="0" borderId="0" fillId="0" fontId="1" numFmtId="9"/>
    <xf applyAlignment="0" applyBorder="0" applyFill="0" applyNumberFormat="0" applyProtection="0" borderId="0" fillId="0" fontId="8" numFmtId="0"/>
  </cellStyleXfs>
  <cellXfs count="101">
    <xf borderId="0" fillId="0" fontId="0" numFmtId="0" xfId="0"/>
    <xf applyFont="1" applyNumberFormat="1" borderId="0" fillId="0" fontId="0" numFmtId="165" xfId="1"/>
    <xf applyAlignment="1" applyFont="1" borderId="0" fillId="0" fontId="2" numFmtId="0" xfId="0">
      <alignment horizontal="center" wrapText="1"/>
    </xf>
    <xf applyAlignment="1" borderId="0" fillId="0" fontId="0" numFmtId="0" xfId="0">
      <alignment horizontal="center"/>
    </xf>
    <xf applyAlignment="1" applyFont="1" applyNumberFormat="1" borderId="0" fillId="0" fontId="0" numFmtId="164" xfId="3">
      <alignment horizontal="center"/>
    </xf>
    <xf applyFont="1" borderId="0" fillId="0" fontId="0" numFmtId="0" xfId="0"/>
    <xf applyAlignment="1" applyBorder="1" applyFont="1" borderId="0" fillId="0" fontId="4" numFmtId="0" xfId="0">
      <alignment horizontal="center" wrapText="1"/>
    </xf>
    <xf applyFill="1" borderId="0" fillId="0" fontId="0" numFmtId="0" xfId="0"/>
    <xf applyAlignment="1" borderId="0" fillId="0" fontId="0" numFmtId="0" xfId="0">
      <alignment wrapText="1"/>
    </xf>
    <xf applyAlignment="1" applyBorder="1" applyFont="1" applyNumberFormat="1" borderId="0" fillId="0" fontId="0" numFmtId="1" xfId="0">
      <alignment horizontal="left" vertical="top" wrapText="1"/>
    </xf>
    <xf applyAlignment="1" applyBorder="1" applyFill="1" applyFont="1" applyNumberFormat="1" borderId="0" fillId="0" fontId="0" numFmtId="3" xfId="1"/>
    <xf applyAlignment="1" applyBorder="1" applyFill="1" applyFont="1" applyNumberFormat="1" borderId="0" fillId="0" fontId="5" numFmtId="3" xfId="1"/>
    <xf applyAlignment="1" applyBorder="1" applyFill="1" applyFont="1" applyNumberFormat="1" borderId="0" fillId="0" fontId="5" numFmtId="164" xfId="3"/>
    <xf applyAlignment="1" applyBorder="1" applyFill="1" applyNumberFormat="1" borderId="0" fillId="0" fontId="0" numFmtId="1" xfId="0">
      <alignment horizontal="left"/>
    </xf>
    <xf applyAlignment="1" applyBorder="1" applyFill="1" applyNumberFormat="1" borderId="0" fillId="0" fontId="0" numFmtId="3" xfId="0">
      <alignment horizontal="left"/>
    </xf>
    <xf applyAlignment="1" applyBorder="1" applyFill="1" applyNumberFormat="1" borderId="0" fillId="0" fontId="0" numFmtId="164" xfId="0">
      <alignment horizontal="left"/>
    </xf>
    <xf applyAlignment="1" applyBorder="1" applyFill="1" applyNumberFormat="1" borderId="0" fillId="0" fontId="0" numFmtId="3" xfId="0">
      <alignment horizontal="right"/>
    </xf>
    <xf applyAlignment="1" applyBorder="1" applyFill="1" borderId="0" fillId="0" fontId="0" numFmtId="0" xfId="0">
      <alignment horizontal="left"/>
    </xf>
    <xf applyAlignment="1" applyBorder="1" applyFill="1" applyNumberFormat="1" borderId="0" fillId="0" fontId="0" numFmtId="1" xfId="0"/>
    <xf applyAlignment="1" applyBorder="1" applyFill="1" applyFont="1" applyNumberFormat="1" borderId="0" fillId="0" fontId="0" numFmtId="3" xfId="2"/>
    <xf applyAlignment="1" applyBorder="1" applyFill="1" applyNumberFormat="1" borderId="0" fillId="0" fontId="0" numFmtId="3" xfId="0"/>
    <xf applyAlignment="1" applyBorder="1" applyFill="1" applyNumberFormat="1" borderId="0" fillId="0" fontId="0" numFmtId="164" xfId="0"/>
    <xf applyAlignment="1" applyBorder="1" applyFill="1" applyFont="1" applyNumberFormat="1" borderId="0" fillId="0" fontId="0" numFmtId="3" xfId="1">
      <alignment vertical="center"/>
    </xf>
    <xf applyAlignment="1" applyBorder="1" applyFill="1" borderId="0" fillId="0" fontId="0" numFmtId="0" xfId="0"/>
    <xf applyAlignment="1" applyBorder="1" applyFill="1" applyFont="1" applyNumberFormat="1" borderId="0" fillId="0" fontId="0" numFmtId="164" xfId="3"/>
    <xf applyAlignment="1" applyBorder="1" applyFill="1" applyNumberFormat="1" borderId="0" fillId="0" fontId="0" numFmtId="1" xfId="0">
      <alignment horizontal="right"/>
    </xf>
    <xf applyBorder="1" applyFill="1" applyNumberFormat="1" borderId="0" fillId="0" fontId="0" numFmtId="3" xfId="0"/>
    <xf applyBorder="1" applyFill="1" applyNumberFormat="1" borderId="0" fillId="0" fontId="0" numFmtId="164" xfId="0"/>
    <xf applyBorder="1" applyFill="1" borderId="0" fillId="0" fontId="0" numFmtId="0" xfId="0"/>
    <xf applyAlignment="1" borderId="0" fillId="0" fontId="0" numFmtId="0" xfId="0"/>
    <xf applyAlignment="1" borderId="0" fillId="0" fontId="0" numFmtId="0" xfId="0"/>
    <xf applyBorder="1" borderId="0" fillId="0" fontId="0" numFmtId="0" xfId="0"/>
    <xf applyAlignment="1" borderId="0" fillId="0" fontId="8" numFmtId="0" xfId="4">
      <alignment wrapText="1"/>
    </xf>
    <xf applyAlignment="1" applyBorder="1" applyFont="1" borderId="1" fillId="0" fontId="9" numFmtId="0" xfId="0">
      <alignment horizontal="center" wrapText="1"/>
    </xf>
    <xf applyAlignment="1" applyFont="1" borderId="0" fillId="0" fontId="9" numFmtId="0" xfId="0">
      <alignment horizontal="center" wrapText="1"/>
    </xf>
    <xf applyAlignment="1" applyBorder="1" applyFont="1" borderId="0" fillId="0" fontId="9" numFmtId="0" xfId="0">
      <alignment horizontal="center" wrapText="1"/>
    </xf>
    <xf applyAlignment="1" applyFont="1" applyProtection="1" borderId="0" fillId="0" fontId="3" numFmtId="0" xfId="0">
      <alignment horizontal="center"/>
      <protection hidden="1"/>
    </xf>
    <xf applyFont="1" applyNumberFormat="1" applyProtection="1" borderId="0" fillId="0" fontId="3" numFmtId="166" xfId="2">
      <protection hidden="1"/>
    </xf>
    <xf applyFont="1" applyNumberFormat="1" applyProtection="1" borderId="0" fillId="0" fontId="3" numFmtId="165" xfId="1">
      <protection hidden="1"/>
    </xf>
    <xf applyFont="1" applyNumberFormat="1" borderId="0" fillId="0" fontId="3" numFmtId="165" xfId="1"/>
    <xf applyFont="1" borderId="0" fillId="0" fontId="3" numFmtId="0" xfId="0"/>
    <xf applyFont="1" applyProtection="1" borderId="0" fillId="0" fontId="3" numFmtId="0" xfId="0">
      <protection hidden="1"/>
    </xf>
    <xf applyAlignment="1" applyFont="1" borderId="0" fillId="0" fontId="3" numFmtId="0" xfId="0">
      <alignment horizontal="center"/>
    </xf>
    <xf applyAlignment="1" applyBorder="1" applyFont="1" borderId="0" fillId="0" fontId="9" numFmtId="0" xfId="0">
      <alignment horizontal="center" vertical="top" wrapText="1"/>
    </xf>
    <xf applyFont="1" applyNumberFormat="1" applyProtection="1" borderId="0" fillId="0" fontId="3" numFmtId="164" xfId="1">
      <protection hidden="1"/>
    </xf>
    <xf applyAlignment="1" applyFont="1" applyNumberFormat="1" applyProtection="1" borderId="0" fillId="0" fontId="3" numFmtId="164" xfId="3">
      <alignment horizontal="center"/>
      <protection hidden="1"/>
    </xf>
    <xf applyAlignment="1" applyFill="1" applyFont="1" applyProtection="1" borderId="0" fillId="0" fontId="3" numFmtId="0" xfId="0">
      <alignment horizontal="center"/>
      <protection hidden="1"/>
    </xf>
    <xf applyFill="1" applyFont="1" applyProtection="1" borderId="0" fillId="0" fontId="3" numFmtId="0" xfId="0">
      <protection hidden="1"/>
    </xf>
    <xf applyFill="1" applyFont="1" applyNumberFormat="1" applyProtection="1" borderId="0" fillId="0" fontId="3" numFmtId="165" xfId="1">
      <protection hidden="1"/>
    </xf>
    <xf applyAlignment="1" applyFill="1" applyFont="1" applyNumberFormat="1" applyProtection="1" borderId="0" fillId="0" fontId="3" numFmtId="164" xfId="3">
      <alignment horizontal="center"/>
      <protection hidden="1"/>
    </xf>
    <xf applyAlignment="1" applyBorder="1" applyFill="1" applyFont="1" borderId="1" fillId="2" fontId="9" numFmtId="0" xfId="0">
      <alignment horizontal="center" wrapText="1"/>
    </xf>
    <xf applyAlignment="1" applyFill="1" applyFont="1" borderId="0" fillId="2" fontId="9" numFmtId="0" xfId="0">
      <alignment horizontal="center" wrapText="1"/>
    </xf>
    <xf applyAlignment="1" applyBorder="1" applyFill="1" applyFont="1" borderId="0" fillId="2" fontId="9" numFmtId="0" xfId="0">
      <alignment horizontal="center" vertical="top" wrapText="1"/>
    </xf>
    <xf applyFill="1" applyFont="1" applyNumberFormat="1" applyProtection="1" borderId="0" fillId="3" fontId="10" numFmtId="165" xfId="1">
      <protection hidden="1"/>
    </xf>
    <xf applyFill="1" applyFont="1" applyNumberFormat="1" applyProtection="1" borderId="0" fillId="3" fontId="10" numFmtId="166" xfId="2">
      <protection hidden="1"/>
    </xf>
    <xf applyFill="1" applyFont="1" applyNumberFormat="1" applyProtection="1" borderId="0" fillId="3" fontId="10" numFmtId="164" xfId="1">
      <protection hidden="1"/>
    </xf>
    <xf applyAlignment="1" applyFill="1" applyFont="1" applyNumberFormat="1" applyProtection="1" borderId="0" fillId="3" fontId="10" numFmtId="164" xfId="3">
      <alignment horizontal="center"/>
      <protection hidden="1"/>
    </xf>
    <xf applyFill="1" applyFont="1" applyNumberFormat="1" applyProtection="1" borderId="0" fillId="2" fontId="10" numFmtId="165" xfId="1">
      <protection hidden="1"/>
    </xf>
    <xf applyFill="1" applyFont="1" applyNumberFormat="1" applyProtection="1" borderId="0" fillId="2" fontId="10" numFmtId="166" xfId="2">
      <protection hidden="1"/>
    </xf>
    <xf applyFill="1" applyFont="1" applyNumberFormat="1" applyProtection="1" borderId="0" fillId="2" fontId="10" numFmtId="164" xfId="1">
      <protection hidden="1"/>
    </xf>
    <xf applyAlignment="1" applyFill="1" applyFont="1" applyNumberFormat="1" applyProtection="1" borderId="0" fillId="2" fontId="10" numFmtId="164" xfId="3">
      <alignment horizontal="center"/>
      <protection hidden="1"/>
    </xf>
    <xf applyFill="1" applyFont="1" applyProtection="1" borderId="0" fillId="3" fontId="10" numFmtId="0" xfId="0">
      <protection hidden="1"/>
    </xf>
    <xf applyAlignment="1" applyFill="1" applyFont="1" applyProtection="1" borderId="0" fillId="2" fontId="10" numFmtId="0" xfId="0">
      <alignment horizontal="center"/>
      <protection hidden="1"/>
    </xf>
    <xf applyAlignment="1" applyBorder="1" applyFont="1" borderId="0" fillId="0" fontId="9" numFmtId="0" xfId="0">
      <alignment horizontal="left" wrapText="1"/>
    </xf>
    <xf applyAlignment="1" applyBorder="1" applyFont="1" borderId="0" fillId="0" fontId="7" numFmtId="0" xfId="0">
      <alignment horizontal="left" wrapText="1"/>
    </xf>
    <xf applyAlignment="1" applyFont="1" borderId="0" fillId="0" fontId="6" numFmtId="0" xfId="0">
      <alignment horizontal="left" wrapText="1"/>
    </xf>
    <xf applyAlignment="1" borderId="0" fillId="0" fontId="0" numFmtId="0" xfId="0">
      <alignment horizontal="left"/>
    </xf>
    <xf applyAlignment="1" applyBorder="1" applyFill="1" applyFont="1" borderId="0" fillId="2" fontId="9" numFmtId="0" xfId="0">
      <alignment horizontal="left" vertical="top" wrapText="1"/>
    </xf>
    <xf applyAlignment="1" applyBorder="1" applyFill="1" applyFont="1" borderId="0" fillId="2" fontId="9" numFmtId="0" xfId="0">
      <alignment horizontal="center" wrapText="1"/>
    </xf>
    <xf applyAlignment="1" applyBorder="1" applyFill="1" applyFont="1" borderId="0" fillId="2" fontId="11" numFmtId="0" xfId="0">
      <alignment horizontal="center" wrapText="1"/>
    </xf>
    <xf applyAlignment="1" applyFont="1" borderId="0" fillId="0" fontId="3" numFmtId="0" xfId="0">
      <alignment horizontal="left"/>
    </xf>
    <xf applyAlignment="1" applyFont="1" borderId="0" fillId="0" fontId="3" numFmtId="0" xfId="0"/>
    <xf applyAlignment="1" applyBorder="1" applyFill="1" applyFont="1" borderId="0" fillId="3" fontId="9" numFmtId="0" xfId="0">
      <alignment horizontal="center" vertical="top" wrapText="1"/>
    </xf>
    <xf applyAlignment="1" applyBorder="1" applyFill="1" applyFont="1" borderId="0" fillId="3" fontId="9" numFmtId="0" xfId="0">
      <alignment horizontal="left" vertical="top" wrapText="1"/>
    </xf>
    <xf applyAlignment="1" applyFill="1" applyFont="1" borderId="0" fillId="2" fontId="10" numFmtId="0" xfId="0">
      <alignment horizontal="center" wrapText="1"/>
    </xf>
    <xf applyAlignment="1" applyBorder="1" applyFill="1" applyFont="1" borderId="1" fillId="3" fontId="10" numFmtId="0" xfId="0">
      <alignment horizontal="center" wrapText="1"/>
    </xf>
    <xf applyAlignment="1" applyFill="1" applyFont="1" borderId="0" fillId="3" fontId="10" numFmtId="0" xfId="0">
      <alignment horizontal="center" wrapText="1"/>
    </xf>
    <xf applyAlignment="1" applyBorder="1" applyFill="1" applyFont="1" borderId="1" fillId="2" fontId="10" numFmtId="0" xfId="0">
      <alignment horizontal="center" wrapText="1"/>
    </xf>
    <xf applyAlignment="1" applyBorder="1" applyFill="1" applyFont="1" borderId="0" fillId="2" fontId="11" numFmtId="0" xfId="0">
      <alignment horizontal="center"/>
    </xf>
    <xf applyFont="1" borderId="0" fillId="0" fontId="0" numFmtId="44" xfId="2"/>
    <xf applyAlignment="1" applyFont="1" borderId="0" fillId="0" fontId="2" numFmtId="0" xfId="0">
      <alignment horizontal="left" wrapText="1"/>
    </xf>
    <xf applyAlignment="1" applyBorder="1" applyFill="1" applyFont="1" applyNumberFormat="1" applyProtection="1" borderId="2" fillId="0" fontId="5" numFmtId="0" xfId="0">
      <alignment horizontal="center"/>
      <protection hidden="1"/>
    </xf>
    <xf applyBorder="1" applyFill="1" applyNumberFormat="1" applyProtection="1" borderId="2" fillId="0" fontId="0" numFmtId="3" xfId="0">
      <protection hidden="1"/>
    </xf>
    <xf applyAlignment="1" applyBorder="1" applyFill="1" applyFont="1" applyNumberFormat="1" applyProtection="1" borderId="2" fillId="0" fontId="5" numFmtId="3" xfId="0">
      <alignment horizontal="center" vertical="center"/>
      <protection hidden="1"/>
    </xf>
    <xf applyBorder="1" applyFill="1" applyFont="1" applyNumberFormat="1" applyProtection="1" borderId="3" fillId="0" fontId="5" numFmtId="168" xfId="0">
      <protection locked="0"/>
    </xf>
    <xf applyBorder="1" applyFill="1" applyFont="1" applyProtection="1" borderId="3" fillId="0" fontId="5" numFmtId="0" xfId="0">
      <protection locked="0"/>
    </xf>
    <xf applyBorder="1" applyFont="1" applyNumberFormat="1" borderId="3" fillId="0" fontId="5" numFmtId="168" xfId="0"/>
    <xf applyBorder="1" applyFont="1" borderId="3" fillId="0" fontId="5" numFmtId="0" xfId="0"/>
    <xf applyAlignment="1" applyBorder="1" applyFill="1" applyFont="1" applyNumberFormat="1" applyProtection="1" borderId="3" fillId="0" fontId="5" numFmtId="168" xfId="0">
      <protection locked="0"/>
    </xf>
    <xf applyAlignment="1" applyBorder="1" applyFont="1" applyNumberFormat="1" borderId="3" fillId="0" fontId="5" numFmtId="3" xfId="0"/>
    <xf applyFont="1" borderId="0" fillId="0" fontId="5" numFmtId="0" xfId="0"/>
    <xf applyBorder="1" borderId="4" fillId="0" fontId="0" numFmtId="0" xfId="0"/>
    <xf applyAlignment="1" applyBorder="1" applyFill="1" applyFont="1" applyProtection="1" borderId="4" fillId="2" fontId="10" numFmtId="0" xfId="0">
      <alignment horizontal="center"/>
      <protection hidden="1"/>
    </xf>
    <xf applyBorder="1" applyFill="1" applyFont="1" applyNumberFormat="1" applyProtection="1" borderId="4" fillId="3" fontId="10" numFmtId="165" xfId="1">
      <protection hidden="1"/>
    </xf>
    <xf applyAlignment="1" applyBorder="1" applyFill="1" applyFont="1" applyProtection="1" borderId="5" fillId="2" fontId="10" numFmtId="0" xfId="0">
      <alignment horizontal="center"/>
      <protection hidden="1"/>
    </xf>
    <xf applyBorder="1" applyFill="1" applyFont="1" applyNumberFormat="1" applyProtection="1" borderId="5" fillId="3" fontId="10" numFmtId="165" xfId="1">
      <protection hidden="1"/>
    </xf>
    <xf applyBorder="1" applyFill="1" applyFont="1" applyNumberFormat="1" applyProtection="1" borderId="5" fillId="3" fontId="10" numFmtId="164" xfId="1">
      <protection hidden="1"/>
    </xf>
    <xf applyAlignment="1" applyBorder="1" applyFill="1" applyFont="1" applyNumberFormat="1" applyProtection="1" borderId="5" fillId="3" fontId="10" numFmtId="164" xfId="3">
      <alignment horizontal="center"/>
      <protection hidden="1"/>
    </xf>
    <xf applyBorder="1" applyFill="1" applyFont="1" applyNumberFormat="1" applyProtection="1" borderId="5" fillId="2" fontId="10" numFmtId="165" xfId="1">
      <protection hidden="1"/>
    </xf>
    <xf applyBorder="1" applyFill="1" applyFont="1" applyNumberFormat="1" applyProtection="1" borderId="5" fillId="2" fontId="10" numFmtId="164" xfId="1">
      <protection hidden="1"/>
    </xf>
    <xf applyAlignment="1" applyBorder="1" applyFill="1" applyFont="1" applyNumberFormat="1" applyProtection="1" borderId="5" fillId="2" fontId="10" numFmtId="164" xfId="3">
      <alignment horizontal="center"/>
      <protection hidden="1"/>
    </xf>
  </cellXfs>
  <cellStyles count="5">
    <cellStyle builtinId="3" name="Comma" xfId="1"/>
    <cellStyle builtinId="4" name="Currency" xfId="2"/>
    <cellStyle builtinId="8" name="Hyperlink" xfId="4"/>
    <cellStyle builtinId="0" name="Normal" xfId="0"/>
    <cellStyle builtinId="5" name="Percent" xfId="3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_rels/vmlDrawing2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_rels/vmlDrawing3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theme/theme1.xml><?xml version="1.0" encoding="utf-8"?>
<a:theme xmlns:a="http://schemas.openxmlformats.org/drawingml/2006/main" name="Office Theme">
  <a:themeElements>
    <a:clrScheme name="Angles Custom">
      <a:dk1>
        <a:sysClr lastClr="000000" val="windowText"/>
      </a:dk1>
      <a:lt1>
        <a:sysClr lastClr="FFFFFF" val="window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vmlDrawing2.vml" Type="http://schemas.openxmlformats.org/officeDocument/2006/relationships/vml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3.vml" Type="http://schemas.openxmlformats.org/officeDocument/2006/relationships/vmlDrawing"/></Relationships>
</file>

<file path=xl/worksheets/_rels/sheet5.xml.rels><?xml version="1.0" encoding="UTF-8" standalone="yes"?><Relationships xmlns="http://schemas.openxmlformats.org/package/2006/relationships"><Relationship Id="rId1" Target="https://www.educateiowa.gov/education-statistics" TargetMode="External" Type="http://schemas.openxmlformats.org/officeDocument/2006/relationships/hyperlink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"/>
  <dimension ref="A1:Z54"/>
  <sheetViews>
    <sheetView workbookViewId="0" zoomScaleNormal="100">
      <selection activeCell="O13" sqref="O13"/>
    </sheetView>
  </sheetViews>
  <sheetFormatPr defaultRowHeight="12" x14ac:dyDescent="0.2"/>
  <cols>
    <col min="1" max="1" customWidth="true" width="6.85546875" collapsed="false"/>
    <col min="2" max="2" customWidth="true" width="0.28515625" collapsed="false"/>
    <col min="3" max="3" customWidth="true" width="8.42578125" collapsed="false"/>
    <col min="4" max="4" customWidth="true" width="0.42578125" collapsed="false"/>
    <col min="5" max="5" customWidth="true" width="8.42578125" collapsed="false"/>
    <col min="6" max="6" customWidth="true" width="0.42578125" collapsed="false"/>
    <col min="7" max="7" bestFit="true" customWidth="true" width="7.7109375" collapsed="false"/>
    <col min="8" max="8" customWidth="true" width="0.42578125" collapsed="false"/>
    <col min="9" max="9" customWidth="true" width="8.5703125" collapsed="false"/>
    <col min="10" max="10" customWidth="true" width="0.42578125" collapsed="false"/>
    <col min="11" max="11" bestFit="true" customWidth="true" width="7.7109375" collapsed="false"/>
    <col min="12" max="12" customWidth="true" width="0.42578125" collapsed="false"/>
    <col min="13" max="13" customWidth="true" width="7.7109375" collapsed="false"/>
    <col min="14" max="14" customWidth="true" width="0.42578125" collapsed="false"/>
    <col min="15" max="15" bestFit="true" customWidth="true" width="7.7109375" collapsed="false"/>
    <col min="16" max="16" customWidth="true" width="0.42578125" collapsed="false"/>
    <col min="17" max="17" bestFit="true" customWidth="true" width="8.5703125" collapsed="false"/>
    <col min="18" max="18" customWidth="true" width="0.42578125" collapsed="false"/>
    <col min="19" max="19" bestFit="true" customWidth="true" width="7.7109375" collapsed="false"/>
    <col min="20" max="20" customWidth="true" width="0.42578125" collapsed="false"/>
    <col min="21" max="21" customWidth="true" width="8.5703125" collapsed="false"/>
    <col min="22" max="22" customWidth="true" width="0.42578125" collapsed="false"/>
    <col min="23" max="23" customWidth="true" width="8.42578125" collapsed="false"/>
    <col min="24" max="24" customWidth="true" width="0.140625" collapsed="false"/>
    <col min="25" max="25" customWidth="true" width="9.28515625" collapsed="false"/>
  </cols>
  <sheetData>
    <row customHeight="1" ht="19.5" r="1" spans="1:25" x14ac:dyDescent="0.25">
      <c r="A1" s="65" t="s">
        <v>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ht="15.75" r="2" spans="1:25" x14ac:dyDescent="0.25">
      <c r="A2" s="64" t="s">
        <v>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customHeight="1" ht="5.45" r="3" spans="1:2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customFormat="1" ht="33.75" r="4" s="2" spans="1:25" x14ac:dyDescent="0.2">
      <c r="A4" s="33" t="s">
        <v>0</v>
      </c>
      <c r="B4" s="34"/>
      <c r="C4" s="33" t="s">
        <v>10</v>
      </c>
      <c r="D4" s="34"/>
      <c r="E4" s="33" t="s">
        <v>2</v>
      </c>
      <c r="F4" s="34"/>
      <c r="G4" s="33" t="s">
        <v>3</v>
      </c>
      <c r="H4" s="34"/>
      <c r="I4" s="33" t="s">
        <v>4</v>
      </c>
      <c r="J4" s="34"/>
      <c r="K4" s="33" t="s">
        <v>5</v>
      </c>
      <c r="L4" s="34"/>
      <c r="M4" s="33" t="s">
        <v>6</v>
      </c>
      <c r="N4" s="34"/>
      <c r="O4" s="33" t="s">
        <v>7</v>
      </c>
      <c r="P4" s="34"/>
      <c r="Q4" s="33" t="s">
        <v>8</v>
      </c>
      <c r="R4" s="34"/>
      <c r="S4" s="33" t="s">
        <v>9</v>
      </c>
      <c r="T4" s="34"/>
      <c r="U4" s="33" t="s">
        <v>1</v>
      </c>
      <c r="V4" s="34"/>
      <c r="W4" s="33" t="s">
        <v>33</v>
      </c>
      <c r="X4" s="35"/>
      <c r="Y4" s="34"/>
    </row>
    <row r="5" spans="1:25" x14ac:dyDescent="0.2">
      <c r="A5" s="36">
        <f>LARGE(Data!$A$2:$A$100,11)</f>
        <v>2008</v>
      </c>
      <c r="B5" s="36"/>
      <c r="C5" s="37">
        <f>INDEX(Data!$A$2:$X$100,MATCH('Factbook (old)'!$A5,Data!$A$2:$A$100,0),2)</f>
        <v>26500</v>
      </c>
      <c r="D5" s="38"/>
      <c r="E5" s="37">
        <f>INDEX(Data!$A$2:$X$100,MATCH('Factbook (old)'!$A5,Data!$A$2:$A$100,0),3)</f>
        <v>36357.82</v>
      </c>
      <c r="F5" s="38"/>
      <c r="G5" s="37">
        <f>INDEX(Data!$A$2:$X$100,MATCH('Factbook (old)'!$A5,Data!$A$2:$A$100,0),4)</f>
        <v>38259.26</v>
      </c>
      <c r="H5" s="38"/>
      <c r="I5" s="37">
        <f>INDEX(Data!$A$2:$X$100,MATCH('Factbook (old)'!$A5,Data!$A$2:$A$100,0),5)</f>
        <v>40132.519999999997</v>
      </c>
      <c r="J5" s="38"/>
      <c r="K5" s="37">
        <f>INDEX(Data!$A$2:$X$100,MATCH('Factbook (old)'!$A5,Data!$A$2:$A$100,0),6)</f>
        <v>42491.82</v>
      </c>
      <c r="L5" s="38"/>
      <c r="M5" s="37">
        <f>INDEX(Data!$A$2:$X$100,MATCH('Factbook (old)'!$A5,Data!$A$2:$A$100,0),7)</f>
        <v>45210.67</v>
      </c>
      <c r="N5" s="38"/>
      <c r="O5" s="37">
        <f>INDEX(Data!$A$2:$X$100,MATCH('Factbook (old)'!$A5,Data!$A$2:$A$100,0),8)</f>
        <v>47453.35</v>
      </c>
      <c r="P5" s="38"/>
      <c r="Q5" s="37">
        <f>INDEX(Data!$A$2:$X$100,MATCH('Factbook (old)'!$A5,Data!$A$2:$A$100,0),9)</f>
        <v>49112.6</v>
      </c>
      <c r="R5" s="38"/>
      <c r="S5" s="37">
        <f>INDEX(Data!$A$2:$X$100,MATCH('Factbook (old)'!$A5,Data!$A$2:$A$100,0),10)</f>
        <v>48806.74</v>
      </c>
      <c r="T5" s="38"/>
      <c r="U5" s="37">
        <f>INDEX(Data!$A$2:$X$100,MATCH('Factbook (old)'!$A5,Data!$A$2:$A$100,0),11)</f>
        <v>45463</v>
      </c>
      <c r="V5" s="38"/>
      <c r="W5" s="37">
        <f>INDEX(Data!$A$2:$X$100,MATCH('Factbook (old)'!$A5,Data!$A$2:$A$100,0),12)</f>
        <v>52308</v>
      </c>
      <c r="X5" s="39"/>
      <c r="Y5" s="40"/>
    </row>
    <row r="6" spans="1:25" x14ac:dyDescent="0.2">
      <c r="A6" s="36">
        <f>LARGE(Data!$A$2:$A$100,10)</f>
        <v>2009</v>
      </c>
      <c r="B6" s="36"/>
      <c r="C6" s="38">
        <f>INDEX(Data!$A$2:$X$100,MATCH('Factbook (old)'!$A6,Data!$A$2:$A$100,0),2)</f>
        <v>28000</v>
      </c>
      <c r="D6" s="38"/>
      <c r="E6" s="38">
        <f>INDEX(Data!$A$2:$X$100,MATCH('Factbook (old)'!$A6,Data!$A$2:$A$100,0),3)</f>
        <v>38715</v>
      </c>
      <c r="F6" s="38"/>
      <c r="G6" s="38">
        <f>INDEX(Data!$A$2:$X$100,MATCH('Factbook (old)'!$A6,Data!$A$2:$A$100,0),4)</f>
        <v>41486</v>
      </c>
      <c r="H6" s="38"/>
      <c r="I6" s="38">
        <f>INDEX(Data!$A$2:$X$100,MATCH('Factbook (old)'!$A6,Data!$A$2:$A$100,0),5)</f>
        <v>42863</v>
      </c>
      <c r="J6" s="38"/>
      <c r="K6" s="38">
        <f>INDEX(Data!$A$2:$X$100,MATCH('Factbook (old)'!$A6,Data!$A$2:$A$100,0),6)</f>
        <v>45792</v>
      </c>
      <c r="L6" s="38"/>
      <c r="M6" s="38">
        <f>INDEX(Data!$A$2:$X$100,MATCH('Factbook (old)'!$A6,Data!$A$2:$A$100,0),7)</f>
        <v>48121</v>
      </c>
      <c r="N6" s="38"/>
      <c r="O6" s="38">
        <f>INDEX(Data!$A$2:$X$100,MATCH('Factbook (old)'!$A6,Data!$A$2:$A$100,0),8)</f>
        <v>50689</v>
      </c>
      <c r="P6" s="38"/>
      <c r="Q6" s="38">
        <f>INDEX(Data!$A$2:$X$100,MATCH('Factbook (old)'!$A6,Data!$A$2:$A$100,0),9)</f>
        <v>52001</v>
      </c>
      <c r="R6" s="38"/>
      <c r="S6" s="38">
        <f>INDEX(Data!$A$2:$X$100,MATCH('Factbook (old)'!$A6,Data!$A$2:$A$100,0),10)</f>
        <v>52846</v>
      </c>
      <c r="T6" s="38"/>
      <c r="U6" s="38">
        <f>INDEX(Data!$A$2:$X$100,MATCH('Factbook (old)'!$A6,Data!$A$2:$A$100,0),11)</f>
        <v>48489.69</v>
      </c>
      <c r="V6" s="38"/>
      <c r="W6" s="38">
        <f>INDEX(Data!$A$2:$X$100,MATCH('Factbook (old)'!$A6,Data!$A$2:$A$100,0),12)</f>
        <v>54319</v>
      </c>
      <c r="X6" s="39"/>
      <c r="Y6" s="40"/>
    </row>
    <row r="7" spans="1:25" x14ac:dyDescent="0.2">
      <c r="A7" s="36">
        <f>LARGE(Data!$A$2:$A$100,9)</f>
        <v>2010</v>
      </c>
      <c r="B7" s="36"/>
      <c r="C7" s="38">
        <f>INDEX(Data!$A$2:$X$100,MATCH('Factbook (old)'!$A7,Data!$A$2:$A$100,0),2)</f>
        <v>28000</v>
      </c>
      <c r="D7" s="38"/>
      <c r="E7" s="38">
        <f>INDEX(Data!$A$2:$X$100,MATCH('Factbook (old)'!$A7,Data!$A$2:$A$100,0),3)</f>
        <v>39887</v>
      </c>
      <c r="F7" s="38"/>
      <c r="G7" s="38">
        <f>INDEX(Data!$A$2:$X$100,MATCH('Factbook (old)'!$A7,Data!$A$2:$A$100,0),4)</f>
        <v>42211</v>
      </c>
      <c r="H7" s="38"/>
      <c r="I7" s="38">
        <f>INDEX(Data!$A$2:$X$100,MATCH('Factbook (old)'!$A7,Data!$A$2:$A$100,0),5)</f>
        <v>43572</v>
      </c>
      <c r="J7" s="38"/>
      <c r="K7" s="38">
        <f>INDEX(Data!$A$2:$X$100,MATCH('Factbook (old)'!$A7,Data!$A$2:$A$100,0),6)</f>
        <v>46286</v>
      </c>
      <c r="L7" s="38"/>
      <c r="M7" s="38">
        <f>INDEX(Data!$A$2:$X$100,MATCH('Factbook (old)'!$A7,Data!$A$2:$A$100,0),7)</f>
        <v>49112</v>
      </c>
      <c r="N7" s="38"/>
      <c r="O7" s="38">
        <f>INDEX(Data!$A$2:$X$100,MATCH('Factbook (old)'!$A7,Data!$A$2:$A$100,0),8)</f>
        <v>51926</v>
      </c>
      <c r="P7" s="38"/>
      <c r="Q7" s="38">
        <f>INDEX(Data!$A$2:$X$100,MATCH('Factbook (old)'!$A7,Data!$A$2:$A$100,0),9)</f>
        <v>53285</v>
      </c>
      <c r="R7" s="38"/>
      <c r="S7" s="38">
        <f>INDEX(Data!$A$2:$X$100,MATCH('Factbook (old)'!$A7,Data!$A$2:$A$100,0),10)</f>
        <v>52279</v>
      </c>
      <c r="T7" s="38"/>
      <c r="U7" s="38">
        <f>INDEX(Data!$A$2:$X$100,MATCH('Factbook (old)'!$A7,Data!$A$2:$A$100,0),11)</f>
        <v>49472.62</v>
      </c>
      <c r="V7" s="38"/>
      <c r="W7" s="38">
        <f>INDEX(Data!$A$2:$X$100,MATCH('Factbook (old)'!$A7,Data!$A$2:$A$100,0),12)</f>
        <v>55202</v>
      </c>
      <c r="X7" s="39"/>
      <c r="Y7" s="40"/>
    </row>
    <row r="8" spans="1:25" x14ac:dyDescent="0.2">
      <c r="A8" s="36">
        <f>LARGE(Data!$A$2:$A$100,8)</f>
        <v>2011</v>
      </c>
      <c r="B8" s="36"/>
      <c r="C8" s="38">
        <f>INDEX(Data!$A$2:$X$100,MATCH('Factbook (old)'!$A8,Data!$A$2:$A$100,0),2)</f>
        <v>28000</v>
      </c>
      <c r="D8" s="38"/>
      <c r="E8" s="38">
        <f>INDEX(Data!$A$2:$X$100,MATCH('Factbook (old)'!$A8,Data!$A$2:$A$100,0),3)</f>
        <v>39916</v>
      </c>
      <c r="F8" s="38"/>
      <c r="G8" s="38">
        <f>INDEX(Data!$A$2:$X$100,MATCH('Factbook (old)'!$A8,Data!$A$2:$A$100,0),4)</f>
        <v>42293</v>
      </c>
      <c r="H8" s="38"/>
      <c r="I8" s="38">
        <f>INDEX(Data!$A$2:$X$100,MATCH('Factbook (old)'!$A8,Data!$A$2:$A$100,0),5)</f>
        <v>44121</v>
      </c>
      <c r="J8" s="38"/>
      <c r="K8" s="38">
        <f>INDEX(Data!$A$2:$X$100,MATCH('Factbook (old)'!$A8,Data!$A$2:$A$100,0),6)</f>
        <v>46521</v>
      </c>
      <c r="L8" s="38"/>
      <c r="M8" s="38">
        <f>INDEX(Data!$A$2:$X$100,MATCH('Factbook (old)'!$A8,Data!$A$2:$A$100,0),7)</f>
        <v>49362</v>
      </c>
      <c r="N8" s="38"/>
      <c r="O8" s="38">
        <f>INDEX(Data!$A$2:$X$100,MATCH('Factbook (old)'!$A8,Data!$A$2:$A$100,0),8)</f>
        <v>52527</v>
      </c>
      <c r="P8" s="38"/>
      <c r="Q8" s="38">
        <f>INDEX(Data!$A$2:$X$100,MATCH('Factbook (old)'!$A8,Data!$A$2:$A$100,0),9)</f>
        <v>53441</v>
      </c>
      <c r="R8" s="38"/>
      <c r="S8" s="38">
        <f>INDEX(Data!$A$2:$X$100,MATCH('Factbook (old)'!$A8,Data!$A$2:$A$100,0),10)</f>
        <v>53880</v>
      </c>
      <c r="T8" s="38"/>
      <c r="U8" s="38">
        <f>INDEX(Data!$A$2:$X$100,MATCH('Factbook (old)'!$A8,Data!$A$2:$A$100,0),11)</f>
        <v>49794</v>
      </c>
      <c r="V8" s="38"/>
      <c r="W8" s="38">
        <f>INDEX(Data!$A$2:$X$100,MATCH('Factbook (old)'!$A8,Data!$A$2:$A$100,0),12)</f>
        <v>55623</v>
      </c>
      <c r="X8" s="39"/>
      <c r="Y8" s="40"/>
    </row>
    <row r="9" spans="1:25" x14ac:dyDescent="0.2">
      <c r="A9" s="36">
        <f>LARGE(Data!$A$2:$A$100,7)</f>
        <v>2012</v>
      </c>
      <c r="B9" s="36"/>
      <c r="C9" s="38">
        <f>INDEX(Data!$A$2:$X$100,MATCH('Factbook (old)'!$A9,Data!$A$2:$A$100,0),2)</f>
        <v>28000</v>
      </c>
      <c r="D9" s="38"/>
      <c r="E9" s="38">
        <f>INDEX(Data!$A$2:$X$100,MATCH('Factbook (old)'!$A9,Data!$A$2:$A$100,0),3)</f>
        <v>39977</v>
      </c>
      <c r="F9" s="38"/>
      <c r="G9" s="38">
        <f>INDEX(Data!$A$2:$X$100,MATCH('Factbook (old)'!$A9,Data!$A$2:$A$100,0),4)</f>
        <v>42583</v>
      </c>
      <c r="H9" s="38"/>
      <c r="I9" s="38">
        <f>INDEX(Data!$A$2:$X$100,MATCH('Factbook (old)'!$A9,Data!$A$2:$A$100,0),5)</f>
        <v>44470</v>
      </c>
      <c r="J9" s="38"/>
      <c r="K9" s="38">
        <f>INDEX(Data!$A$2:$X$100,MATCH('Factbook (old)'!$A9,Data!$A$2:$A$100,0),6)</f>
        <v>46828</v>
      </c>
      <c r="L9" s="38"/>
      <c r="M9" s="38">
        <f>INDEX(Data!$A$2:$X$100,MATCH('Factbook (old)'!$A9,Data!$A$2:$A$100,0),7)</f>
        <v>49830</v>
      </c>
      <c r="N9" s="38"/>
      <c r="O9" s="38">
        <f>INDEX(Data!$A$2:$X$100,MATCH('Factbook (old)'!$A9,Data!$A$2:$A$100,0),8)</f>
        <v>52653</v>
      </c>
      <c r="P9" s="38"/>
      <c r="Q9" s="38">
        <f>INDEX(Data!$A$2:$X$100,MATCH('Factbook (old)'!$A9,Data!$A$2:$A$100,0),9)</f>
        <v>53875</v>
      </c>
      <c r="R9" s="38"/>
      <c r="S9" s="38">
        <f>INDEX(Data!$A$2:$X$100,MATCH('Factbook (old)'!$A9,Data!$A$2:$A$100,0),10)</f>
        <v>54685</v>
      </c>
      <c r="T9" s="38"/>
      <c r="U9" s="38">
        <f>INDEX(Data!$A$2:$X$100,MATCH('Factbook (old)'!$A9,Data!$A$2:$A$100,0),11)</f>
        <v>50218</v>
      </c>
      <c r="V9" s="38"/>
      <c r="W9" s="38">
        <f>INDEX(Data!$A$2:$X$100,MATCH('Factbook (old)'!$A9,Data!$A$2:$A$100,0),12)</f>
        <v>55418</v>
      </c>
      <c r="X9" s="39"/>
      <c r="Y9" s="40"/>
    </row>
    <row r="10" spans="1:25" x14ac:dyDescent="0.2">
      <c r="A10" s="36">
        <f>LARGE(Data!$A$2:$A$100,6)</f>
        <v>2013</v>
      </c>
      <c r="B10" s="36"/>
      <c r="C10" s="38">
        <f>INDEX(Data!$A$2:$X$100,MATCH('Factbook (old)'!$A10,Data!$A$2:$A$100,0),2)</f>
        <v>28000</v>
      </c>
      <c r="D10" s="38"/>
      <c r="E10" s="38">
        <f>INDEX(Data!$A$2:$X$100,MATCH('Factbook (old)'!$A10,Data!$A$2:$A$100,0),3)</f>
        <v>40243</v>
      </c>
      <c r="F10" s="38"/>
      <c r="G10" s="38">
        <f>INDEX(Data!$A$2:$X$100,MATCH('Factbook (old)'!$A10,Data!$A$2:$A$100,0),4)</f>
        <v>42658</v>
      </c>
      <c r="H10" s="38"/>
      <c r="I10" s="38">
        <f>INDEX(Data!$A$2:$X$100,MATCH('Factbook (old)'!$A10,Data!$A$2:$A$100,0),5)</f>
        <v>45407</v>
      </c>
      <c r="J10" s="38"/>
      <c r="K10" s="38">
        <f>INDEX(Data!$A$2:$X$100,MATCH('Factbook (old)'!$A10,Data!$A$2:$A$100,0),6)</f>
        <v>47305</v>
      </c>
      <c r="L10" s="38"/>
      <c r="M10" s="38">
        <f>INDEX(Data!$A$2:$X$100,MATCH('Factbook (old)'!$A10,Data!$A$2:$A$100,0),7)</f>
        <v>50382</v>
      </c>
      <c r="N10" s="38"/>
      <c r="O10" s="38">
        <f>INDEX(Data!$A$2:$X$100,MATCH('Factbook (old)'!$A10,Data!$A$2:$A$100,0),8)</f>
        <v>53725</v>
      </c>
      <c r="P10" s="38"/>
      <c r="Q10" s="38">
        <f>INDEX(Data!$A$2:$X$100,MATCH('Factbook (old)'!$A10,Data!$A$2:$A$100,0),9)</f>
        <v>54465</v>
      </c>
      <c r="R10" s="38"/>
      <c r="S10" s="38">
        <f>INDEX(Data!$A$2:$X$100,MATCH('Factbook (old)'!$A10,Data!$A$2:$A$100,0),10)</f>
        <v>58480</v>
      </c>
      <c r="T10" s="38"/>
      <c r="U10" s="38">
        <f>INDEX(Data!$A$2:$X$100,MATCH('Factbook (old)'!$A10,Data!$A$2:$A$100,0),11)</f>
        <v>50914</v>
      </c>
      <c r="V10" s="38"/>
      <c r="W10" s="38">
        <f>INDEX(Data!$A$2:$X$100,MATCH('Factbook (old)'!$A10,Data!$A$2:$A$100,0),12)</f>
        <v>56103</v>
      </c>
      <c r="X10" s="39"/>
      <c r="Y10" s="40"/>
    </row>
    <row r="11" spans="1:25" x14ac:dyDescent="0.2">
      <c r="A11" s="36">
        <f>LARGE(Data!$A$2:$A$100,5)</f>
        <v>2014</v>
      </c>
      <c r="B11" s="36"/>
      <c r="C11" s="38">
        <f>INDEX(Data!$A$2:$X$100,MATCH('Factbook (old)'!$A11,Data!$A$2:$A$100,0),2)</f>
        <v>28000</v>
      </c>
      <c r="D11" s="38"/>
      <c r="E11" s="38">
        <f>INDEX(Data!$A$2:$X$100,MATCH('Factbook (old)'!$A11,Data!$A$2:$A$100,0),3)</f>
        <v>41082</v>
      </c>
      <c r="F11" s="38"/>
      <c r="G11" s="38">
        <f>INDEX(Data!$A$2:$X$100,MATCH('Factbook (old)'!$A11,Data!$A$2:$A$100,0),4)</f>
        <v>43197</v>
      </c>
      <c r="H11" s="38"/>
      <c r="I11" s="38">
        <f>INDEX(Data!$A$2:$X$100,MATCH('Factbook (old)'!$A11,Data!$A$2:$A$100,0),5)</f>
        <v>46112</v>
      </c>
      <c r="J11" s="38"/>
      <c r="K11" s="38">
        <f>INDEX(Data!$A$2:$X$100,MATCH('Factbook (old)'!$A11,Data!$A$2:$A$100,0),6)</f>
        <v>48281</v>
      </c>
      <c r="L11" s="38"/>
      <c r="M11" s="38">
        <f>INDEX(Data!$A$2:$X$100,MATCH('Factbook (old)'!$A11,Data!$A$2:$A$100,0),7)</f>
        <v>51290</v>
      </c>
      <c r="N11" s="38"/>
      <c r="O11" s="38">
        <f>INDEX(Data!$A$2:$X$100,MATCH('Factbook (old)'!$A11,Data!$A$2:$A$100,0),8)</f>
        <v>54985</v>
      </c>
      <c r="P11" s="38"/>
      <c r="Q11" s="38">
        <f>INDEX(Data!$A$2:$X$100,MATCH('Factbook (old)'!$A11,Data!$A$2:$A$100,0),9)</f>
        <v>55670</v>
      </c>
      <c r="R11" s="38"/>
      <c r="S11" s="38">
        <f>INDEX(Data!$A$2:$X$100,MATCH('Factbook (old)'!$A11,Data!$A$2:$A$100,0),10)</f>
        <v>59474</v>
      </c>
      <c r="T11" s="38"/>
      <c r="U11" s="38">
        <f>INDEX(Data!$A$2:$X$100,MATCH('Factbook (old)'!$A11,Data!$A$2:$A$100,0),11)</f>
        <v>52001</v>
      </c>
      <c r="V11" s="38"/>
      <c r="W11" s="38">
        <f>INDEX(Data!$A$2:$X$100,MATCH('Factbook (old)'!$A11,Data!$A$2:$A$100,0),12)</f>
        <v>56610</v>
      </c>
      <c r="X11" s="39"/>
      <c r="Y11" s="40"/>
    </row>
    <row r="12" spans="1:25" x14ac:dyDescent="0.2">
      <c r="A12" s="36">
        <f>LARGE(Data!$A$2:$A$100,4)</f>
        <v>2015</v>
      </c>
      <c r="B12" s="36"/>
      <c r="C12" s="38">
        <f>INDEX(Data!$A$2:$X$100,MATCH('Factbook (old)'!$A12,Data!$A$2:$A$100,0),2)</f>
        <v>28000</v>
      </c>
      <c r="D12" s="38"/>
      <c r="E12" s="38">
        <f>INDEX(Data!$A$2:$X$100,MATCH('Factbook (old)'!$A12,Data!$A$2:$A$100,0),3)</f>
        <v>42573.05</v>
      </c>
      <c r="F12" s="38"/>
      <c r="G12" s="38">
        <f>INDEX(Data!$A$2:$X$100,MATCH('Factbook (old)'!$A12,Data!$A$2:$A$100,0),4)</f>
        <v>43778.89</v>
      </c>
      <c r="H12" s="38"/>
      <c r="I12" s="38">
        <f>INDEX(Data!$A$2:$X$100,MATCH('Factbook (old)'!$A12,Data!$A$2:$A$100,0),5)</f>
        <v>47033.96</v>
      </c>
      <c r="J12" s="38"/>
      <c r="K12" s="38">
        <f>INDEX(Data!$A$2:$X$100,MATCH('Factbook (old)'!$A12,Data!$A$2:$A$100,0),6)</f>
        <v>49326.74</v>
      </c>
      <c r="L12" s="38"/>
      <c r="M12" s="38">
        <f>INDEX(Data!$A$2:$X$100,MATCH('Factbook (old)'!$A12,Data!$A$2:$A$100,0),7)</f>
        <v>52664.91</v>
      </c>
      <c r="N12" s="38"/>
      <c r="O12" s="38">
        <f>INDEX(Data!$A$2:$X$100,MATCH('Factbook (old)'!$A12,Data!$A$2:$A$100,0),8)</f>
        <v>56344.45</v>
      </c>
      <c r="P12" s="38"/>
      <c r="Q12" s="38">
        <f>INDEX(Data!$A$2:$X$100,MATCH('Factbook (old)'!$A12,Data!$A$2:$A$100,0),9)</f>
        <v>56916.59</v>
      </c>
      <c r="R12" s="38"/>
      <c r="S12" s="38">
        <f>INDEX(Data!$A$2:$X$100,MATCH('Factbook (old)'!$A12,Data!$A$2:$A$100,0),10)</f>
        <v>61237.86</v>
      </c>
      <c r="T12" s="38"/>
      <c r="U12" s="38">
        <f>INDEX(Data!$A$2:$X$100,MATCH('Factbook (old)'!$A12,Data!$A$2:$A$100,0),11)</f>
        <v>53267.81</v>
      </c>
      <c r="V12" s="38"/>
      <c r="W12" s="38">
        <f>INDEX(Data!$A$2:$X$100,MATCH('Factbook (old)'!$A12,Data!$A$2:$A$100,0),12)</f>
        <v>57420</v>
      </c>
      <c r="X12" s="39"/>
      <c r="Y12" s="40"/>
    </row>
    <row r="13" spans="1:25" x14ac:dyDescent="0.2">
      <c r="A13" s="36">
        <f>LARGE(Data!$A$2:$A$100,3)</f>
        <v>2016</v>
      </c>
      <c r="B13" s="36"/>
      <c r="C13" s="38">
        <f>INDEX(Data!$A$2:$X$100,MATCH('Factbook (old)'!$A13,Data!$A$2:$A$100,0),2)</f>
        <v>28000</v>
      </c>
      <c r="D13" s="38"/>
      <c r="E13" s="38">
        <f>INDEX(Data!$A$2:$X$100,MATCH('Factbook (old)'!$A13,Data!$A$2:$A$100,0),3)</f>
        <v>43031.199999999997</v>
      </c>
      <c r="F13" s="38"/>
      <c r="G13" s="38">
        <f>INDEX(Data!$A$2:$X$100,MATCH('Factbook (old)'!$A13,Data!$A$2:$A$100,0),4)</f>
        <v>44767.83</v>
      </c>
      <c r="H13" s="38"/>
      <c r="I13" s="38">
        <f>INDEX(Data!$A$2:$X$100,MATCH('Factbook (old)'!$A13,Data!$A$2:$A$100,0),5)</f>
        <v>48023.28</v>
      </c>
      <c r="J13" s="38"/>
      <c r="K13" s="38">
        <f>INDEX(Data!$A$2:$X$100,MATCH('Factbook (old)'!$A13,Data!$A$2:$A$100,0),6)</f>
        <v>49976.84</v>
      </c>
      <c r="L13" s="38"/>
      <c r="M13" s="38">
        <f>INDEX(Data!$A$2:$X$100,MATCH('Factbook (old)'!$A13,Data!$A$2:$A$100,0),7)</f>
        <v>53482.07</v>
      </c>
      <c r="N13" s="38"/>
      <c r="O13" s="38">
        <f>INDEX(Data!$A$2:$X$100,MATCH('Factbook (old)'!$A13,Data!$A$2:$A$100,0),8)</f>
        <v>57324.98</v>
      </c>
      <c r="P13" s="38"/>
      <c r="Q13" s="38">
        <f>INDEX(Data!$A$2:$X$100,MATCH('Factbook (old)'!$A13,Data!$A$2:$A$100,0),9)</f>
        <v>57605.2</v>
      </c>
      <c r="R13" s="38"/>
      <c r="S13" s="38">
        <f>INDEX(Data!$A$2:$X$100,MATCH('Factbook (old)'!$A13,Data!$A$2:$A$100,0),10)</f>
        <v>62838</v>
      </c>
      <c r="T13" s="38"/>
      <c r="U13" s="38">
        <f>INDEX(Data!$A$2:$X$100,MATCH('Factbook (old)'!$A13,Data!$A$2:$A$100,0),11)</f>
        <v>54144.36</v>
      </c>
      <c r="V13" s="38"/>
      <c r="W13" s="38">
        <f>INDEX(Data!$A$2:$X$100,MATCH('Factbook (old)'!$A13,Data!$A$2:$A$100,0),12)</f>
        <v>58353</v>
      </c>
      <c r="X13" s="39"/>
      <c r="Y13" s="40"/>
    </row>
    <row customHeight="1" ht="11.45" r="14" spans="1:25" x14ac:dyDescent="0.2">
      <c r="A14" s="36">
        <f>LARGE(Data!$A$2:$A$100,2)</f>
        <v>2017</v>
      </c>
      <c r="B14" s="36"/>
      <c r="C14" s="38">
        <f>INDEX(Data!$A$2:$X$100,MATCH('Factbook (old)'!$A14,Data!$A$2:$A$100,0),2)</f>
        <v>33500</v>
      </c>
      <c r="D14" s="38"/>
      <c r="E14" s="38">
        <f>INDEX(Data!$A$2:$X$100,MATCH('Factbook (old)'!$A14,Data!$A$2:$A$100,0),3)</f>
        <v>43774</v>
      </c>
      <c r="F14" s="38"/>
      <c r="G14" s="38">
        <f>INDEX(Data!$A$2:$X$100,MATCH('Factbook (old)'!$A14,Data!$A$2:$A$100,0),4)</f>
        <v>45430</v>
      </c>
      <c r="H14" s="38"/>
      <c r="I14" s="38">
        <f>INDEX(Data!$A$2:$X$100,MATCH('Factbook (old)'!$A14,Data!$A$2:$A$100,0),5)</f>
        <v>49011</v>
      </c>
      <c r="J14" s="38"/>
      <c r="K14" s="38">
        <f>INDEX(Data!$A$2:$X$100,MATCH('Factbook (old)'!$A14,Data!$A$2:$A$100,0),6)</f>
        <v>50576</v>
      </c>
      <c r="L14" s="38"/>
      <c r="M14" s="38">
        <f>INDEX(Data!$A$2:$X$100,MATCH('Factbook (old)'!$A14,Data!$A$2:$A$100,0),7)</f>
        <v>54838</v>
      </c>
      <c r="N14" s="38"/>
      <c r="O14" s="38">
        <f>INDEX(Data!$A$2:$X$100,MATCH('Factbook (old)'!$A14,Data!$A$2:$A$100,0),8)</f>
        <v>58260</v>
      </c>
      <c r="P14" s="38"/>
      <c r="Q14" s="38">
        <f>INDEX(Data!$A$2:$X$100,MATCH('Factbook (old)'!$A14,Data!$A$2:$A$100,0),9)</f>
        <v>59262</v>
      </c>
      <c r="R14" s="38"/>
      <c r="S14" s="38">
        <f>INDEX(Data!$A$2:$X$100,MATCH('Factbook (old)'!$A14,Data!$A$2:$A$100,0),10)</f>
        <v>65313</v>
      </c>
      <c r="T14" s="38"/>
      <c r="U14" s="38">
        <f>INDEX(Data!$A$2:$X$100,MATCH('Factbook (old)'!$A14,Data!$A$2:$A$100,0),11)</f>
        <v>55397</v>
      </c>
      <c r="V14" s="41"/>
      <c r="W14" s="38">
        <f>INDEX(Data!$A$2:$X$100,MATCH('Factbook (old)'!$A14,Data!$A$2:$A$100,0),12)</f>
        <v>59660</v>
      </c>
      <c r="X14" s="40"/>
      <c r="Y14" s="40"/>
    </row>
    <row customHeight="1" ht="11.45" r="15" spans="1:25" x14ac:dyDescent="0.2">
      <c r="A15" s="36">
        <f>LARGE(Data!$A$2:$A$100,1)</f>
        <v>2018</v>
      </c>
      <c r="B15" s="36"/>
      <c r="C15" s="38">
        <f>INDEX(Data!$A$2:$X$100,MATCH('Factbook (old)'!$A15,Data!$A$2:$A$100,0),2)</f>
        <v>33500</v>
      </c>
      <c r="D15" s="38"/>
      <c r="E15" s="38">
        <f>INDEX(Data!$A$2:$X$100,MATCH('Factbook (old)'!$A15,Data!$A$2:$A$100,0),3)</f>
        <v>43117</v>
      </c>
      <c r="F15" s="38"/>
      <c r="G15" s="38">
        <f>INDEX(Data!$A$2:$X$100,MATCH('Factbook (old)'!$A15,Data!$A$2:$A$100,0),4)</f>
        <v>44700</v>
      </c>
      <c r="H15" s="38"/>
      <c r="I15" s="38">
        <f>INDEX(Data!$A$2:$X$100,MATCH('Factbook (old)'!$A15,Data!$A$2:$A$100,0),5)</f>
        <v>48349</v>
      </c>
      <c r="J15" s="38"/>
      <c r="K15" s="38">
        <f>INDEX(Data!$A$2:$X$100,MATCH('Factbook (old)'!$A15,Data!$A$2:$A$100,0),6)</f>
        <v>49875</v>
      </c>
      <c r="L15" s="38"/>
      <c r="M15" s="38">
        <f>INDEX(Data!$A$2:$X$100,MATCH('Factbook (old)'!$A15,Data!$A$2:$A$100,0),7)</f>
        <v>53703</v>
      </c>
      <c r="N15" s="38"/>
      <c r="O15" s="38">
        <f>INDEX(Data!$A$2:$X$100,MATCH('Factbook (old)'!$A15,Data!$A$2:$A$100,0),8)</f>
        <v>57092</v>
      </c>
      <c r="P15" s="38"/>
      <c r="Q15" s="38">
        <f>INDEX(Data!$A$2:$X$100,MATCH('Factbook (old)'!$A15,Data!$A$2:$A$100,0),9)</f>
        <v>57605</v>
      </c>
      <c r="R15" s="38"/>
      <c r="S15" s="38">
        <f>INDEX(Data!$A$2:$X$100,MATCH('Factbook (old)'!$A15,Data!$A$2:$A$100,0),10)</f>
        <v>67060</v>
      </c>
      <c r="T15" s="38"/>
      <c r="U15" s="38">
        <f>INDEX(Data!$A$2:$X$100,MATCH('Factbook (old)'!$A15,Data!$A$2:$A$100,0),11)</f>
        <v>56978</v>
      </c>
      <c r="V15" s="41"/>
      <c r="W15" s="38">
        <f>INDEX(Data!$A$2:$X$100,MATCH('Factbook (old)'!$A15,Data!$A$2:$A$100,0),12)</f>
        <v>60483</v>
      </c>
      <c r="X15" s="40"/>
      <c r="Y15" s="40"/>
    </row>
    <row customHeight="1" ht="4.1500000000000004" r="16" spans="1:25" x14ac:dyDescent="0.2">
      <c r="A16" s="42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0"/>
      <c r="W16" s="39"/>
      <c r="X16" s="40"/>
      <c r="Y16" s="40"/>
    </row>
    <row customHeight="1" ht="10.15" r="17" spans="1:25" x14ac:dyDescent="0.2">
      <c r="A17" s="40" t="s">
        <v>78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x14ac:dyDescent="0.2">
      <c r="A18" s="40" t="s">
        <v>82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x14ac:dyDescent="0.2">
      <c r="A19" s="40" t="s">
        <v>79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x14ac:dyDescent="0.2">
      <c r="A20" s="40" t="s">
        <v>31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x14ac:dyDescent="0.2">
      <c r="A21" s="40" t="s">
        <v>12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customHeight="1" ht="5.45" r="23" spans="1: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customHeight="1" ht="19.149999999999999" r="24" spans="1:25" x14ac:dyDescent="0.2">
      <c r="A24" s="63" t="s">
        <v>57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</row>
    <row customHeight="1" hidden="1" ht="9" r="25" spans="1: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 t="s">
        <v>58</v>
      </c>
      <c r="T25" s="35"/>
      <c r="U25" s="35"/>
      <c r="V25" s="35"/>
      <c r="W25" s="35"/>
      <c r="X25" s="35"/>
      <c r="Y25" s="35" t="s">
        <v>58</v>
      </c>
    </row>
    <row customHeight="1" hidden="1" ht="11.45" r="26" spans="1:25" x14ac:dyDescent="0.2">
      <c r="A26" s="35"/>
      <c r="B26" s="35"/>
      <c r="C26" s="35"/>
      <c r="D26" s="35"/>
      <c r="E26" s="35"/>
      <c r="F26" s="35"/>
      <c r="G26" s="35" t="s">
        <v>58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4" t="s">
        <v>61</v>
      </c>
      <c r="T26" s="35"/>
      <c r="U26" s="35"/>
      <c r="V26" s="35"/>
      <c r="W26" s="35"/>
      <c r="X26" s="35"/>
      <c r="Y26" s="34" t="s">
        <v>59</v>
      </c>
    </row>
    <row customHeight="1" hidden="1" ht="11.45" r="27" spans="1:25" x14ac:dyDescent="0.2">
      <c r="A27" s="34" t="s">
        <v>13</v>
      </c>
      <c r="B27" s="34"/>
      <c r="C27" s="34"/>
      <c r="D27" s="34"/>
      <c r="E27" s="34"/>
      <c r="F27" s="34"/>
      <c r="G27" s="34" t="s">
        <v>59</v>
      </c>
      <c r="H27" s="34"/>
      <c r="I27" s="34"/>
      <c r="J27" s="34"/>
      <c r="K27" s="34" t="s">
        <v>19</v>
      </c>
      <c r="L27" s="34"/>
      <c r="M27" s="34" t="s">
        <v>58</v>
      </c>
      <c r="N27" s="34"/>
      <c r="O27" s="34"/>
      <c r="P27" s="34"/>
      <c r="Q27" s="34" t="s">
        <v>23</v>
      </c>
      <c r="R27" s="34"/>
      <c r="S27" s="34" t="s">
        <v>23</v>
      </c>
      <c r="T27" s="34"/>
      <c r="U27" s="34" t="s">
        <v>16</v>
      </c>
      <c r="V27" s="34"/>
      <c r="W27" s="34" t="s">
        <v>25</v>
      </c>
      <c r="X27" s="34"/>
      <c r="Y27" s="34" t="s">
        <v>27</v>
      </c>
    </row>
    <row customHeight="1" hidden="1" ht="11.45" r="28" spans="1:25" x14ac:dyDescent="0.2">
      <c r="A28" s="34" t="s">
        <v>14</v>
      </c>
      <c r="B28" s="34"/>
      <c r="C28" s="34" t="s">
        <v>16</v>
      </c>
      <c r="D28" s="34"/>
      <c r="E28" s="34" t="s">
        <v>22</v>
      </c>
      <c r="F28" s="34"/>
      <c r="G28" s="34" t="s">
        <v>23</v>
      </c>
      <c r="H28" s="34"/>
      <c r="I28" s="34"/>
      <c r="J28" s="34"/>
      <c r="K28" s="34" t="s">
        <v>20</v>
      </c>
      <c r="L28" s="34"/>
      <c r="M28" s="34" t="s">
        <v>23</v>
      </c>
      <c r="N28" s="34"/>
      <c r="O28" s="34"/>
      <c r="P28" s="34"/>
      <c r="Q28" s="34" t="s">
        <v>29</v>
      </c>
      <c r="R28" s="34"/>
      <c r="S28" s="34" t="s">
        <v>29</v>
      </c>
      <c r="T28" s="34"/>
      <c r="U28" s="34" t="s">
        <v>26</v>
      </c>
      <c r="V28" s="34"/>
      <c r="W28" s="34" t="s">
        <v>28</v>
      </c>
      <c r="X28" s="34"/>
      <c r="Y28" s="34" t="s">
        <v>60</v>
      </c>
    </row>
    <row customFormat="1" customHeight="1" hidden="1" ht="26.25" r="29" s="31" spans="1:25" x14ac:dyDescent="0.2">
      <c r="A29" s="43" t="s">
        <v>15</v>
      </c>
      <c r="B29" s="43"/>
      <c r="C29" s="43" t="s">
        <v>17</v>
      </c>
      <c r="D29" s="43"/>
      <c r="E29" s="43" t="s">
        <v>21</v>
      </c>
      <c r="F29" s="43"/>
      <c r="G29" s="43" t="s">
        <v>30</v>
      </c>
      <c r="H29" s="43"/>
      <c r="I29" s="43" t="s">
        <v>24</v>
      </c>
      <c r="J29" s="43"/>
      <c r="K29" s="43" t="s">
        <v>21</v>
      </c>
      <c r="L29" s="43"/>
      <c r="M29" s="43" t="s">
        <v>18</v>
      </c>
      <c r="N29" s="43"/>
      <c r="O29" s="43" t="s">
        <v>29</v>
      </c>
      <c r="P29" s="43"/>
      <c r="Q29" s="43" t="s">
        <v>21</v>
      </c>
      <c r="R29" s="43"/>
      <c r="S29" s="43" t="s">
        <v>21</v>
      </c>
      <c r="T29" s="43"/>
      <c r="U29" s="43" t="s">
        <v>25</v>
      </c>
      <c r="V29" s="43"/>
      <c r="W29" s="43" t="s">
        <v>21</v>
      </c>
      <c r="X29" s="43"/>
      <c r="Y29" s="43" t="s">
        <v>21</v>
      </c>
    </row>
    <row customFormat="1" customHeight="1" ht="5.45" r="30" s="31" spans="1: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ht="67.5" r="31" spans="1:25" x14ac:dyDescent="0.2">
      <c r="A31" s="33" t="s">
        <v>0</v>
      </c>
      <c r="B31" s="34"/>
      <c r="C31" s="33" t="s">
        <v>62</v>
      </c>
      <c r="D31" s="34"/>
      <c r="E31" s="33" t="s">
        <v>63</v>
      </c>
      <c r="F31" s="34"/>
      <c r="G31" s="33" t="s">
        <v>64</v>
      </c>
      <c r="H31" s="34"/>
      <c r="I31" s="33" t="s">
        <v>71</v>
      </c>
      <c r="J31" s="34"/>
      <c r="K31" s="33" t="s">
        <v>65</v>
      </c>
      <c r="L31" s="34"/>
      <c r="M31" s="33" t="s">
        <v>66</v>
      </c>
      <c r="N31" s="34"/>
      <c r="O31" s="33" t="s">
        <v>72</v>
      </c>
      <c r="P31" s="34"/>
      <c r="Q31" s="33" t="s">
        <v>67</v>
      </c>
      <c r="R31" s="34"/>
      <c r="S31" s="33" t="s">
        <v>68</v>
      </c>
      <c r="T31" s="34"/>
      <c r="U31" s="33" t="s">
        <v>69</v>
      </c>
      <c r="V31" s="34"/>
      <c r="W31" s="33" t="s">
        <v>80</v>
      </c>
      <c r="X31" s="35"/>
      <c r="Y31" s="33" t="s">
        <v>70</v>
      </c>
    </row>
    <row r="32" spans="1:25" x14ac:dyDescent="0.2">
      <c r="A32" s="36">
        <f>LARGE(Data!$A$2:$A$100,11)</f>
        <v>2008</v>
      </c>
      <c r="B32" s="36"/>
      <c r="C32" s="38">
        <f>INDEX(Data!$A$2:$X$100,MATCH('Factbook (old)'!$A32,Data!$A$2:$A$100,0),13)</f>
        <v>34823</v>
      </c>
      <c r="D32" s="38"/>
      <c r="E32" s="37">
        <f>INDEX(Data!$A$2:$X$100,MATCH('Factbook (old)'!$A32,Data!$A$2:$A$100,0),14)</f>
        <v>45463</v>
      </c>
      <c r="F32" s="38"/>
      <c r="G32" s="44">
        <f>INDEX(Data!$A$2:$X$100,MATCH('Factbook (old)'!$A32,Data!$A$2:$A$100,0),15)</f>
        <v>5.9200410046130081E-2</v>
      </c>
      <c r="H32" s="45"/>
      <c r="I32" s="38">
        <f>INDEX(Data!$A$2:$X$100,MATCH('Factbook (old)'!$A32,Data!$A$2:$A$100,0),16)</f>
        <v>1141</v>
      </c>
      <c r="J32" s="38"/>
      <c r="K32" s="37">
        <f>INDEX(Data!$A$2:$X$100,MATCH('Factbook (old)'!$A32,Data!$A$2:$A$100,0),17)</f>
        <v>80402.740000000005</v>
      </c>
      <c r="L32" s="38"/>
      <c r="M32" s="44">
        <f>INDEX(Data!$A$2:$X$100,MATCH('Factbook (old)'!$A32,Data!$A$2:$A$100,0),18)</f>
        <v>3.6811485210207717E-2</v>
      </c>
      <c r="N32" s="45"/>
      <c r="O32" s="38">
        <f>INDEX(Data!$A$2:$X$100,MATCH('Factbook (old)'!$A32,Data!$A$2:$A$100,0),19)</f>
        <v>322</v>
      </c>
      <c r="P32" s="38"/>
      <c r="Q32" s="37">
        <f>INDEX(Data!$A$2:$X$100,MATCH('Factbook (old)'!$A32,Data!$A$2:$A$100,0),20)</f>
        <v>105985.93</v>
      </c>
      <c r="R32" s="38"/>
      <c r="S32" s="44">
        <f>INDEX(Data!$A$2:$X$100,MATCH('Factbook (old)'!$A32,Data!$A$2:$A$100,0),21)</f>
        <v>4.0079994732178603E-2</v>
      </c>
      <c r="T32" s="45"/>
      <c r="U32" s="38">
        <f>INDEX(Data!$A$2:$X$100,MATCH('Factbook (old)'!$A32,Data!$A$2:$A$100,0),22)</f>
        <v>2317</v>
      </c>
      <c r="V32" s="38"/>
      <c r="W32" s="37">
        <f>INDEX(Data!$A$2:$X$100,MATCH('Factbook (old)'!$A32,Data!$A$2:$A$100,0),23)</f>
        <v>56615.83</v>
      </c>
      <c r="X32" s="38"/>
      <c r="Y32" s="44">
        <f>INDEX(Data!$A$2:$X$100,MATCH('Factbook (old)'!$A32,Data!$A$2:$A$100,0),24)</f>
        <v>6.6915933571205288E-2</v>
      </c>
    </row>
    <row r="33" spans="1:25" x14ac:dyDescent="0.2">
      <c r="A33" s="36">
        <f>LARGE(Data!$A$2:$A$100,10)</f>
        <v>2009</v>
      </c>
      <c r="B33" s="36"/>
      <c r="C33" s="38">
        <f>INDEX(Data!$A$2:$X$100,MATCH('Factbook (old)'!$A33,Data!$A$2:$A$100,0),13)</f>
        <v>34744</v>
      </c>
      <c r="D33" s="38"/>
      <c r="E33" s="38">
        <f>INDEX(Data!$A$2:$X$100,MATCH('Factbook (old)'!$A33,Data!$A$2:$A$100,0),14)</f>
        <v>48489.69</v>
      </c>
      <c r="F33" s="38"/>
      <c r="G33" s="44">
        <f>INDEX(Data!$A$2:$X$100,MATCH('Factbook (old)'!$A33,Data!$A$2:$A$100,0),15)</f>
        <v>6.6574797087741722E-2</v>
      </c>
      <c r="H33" s="45"/>
      <c r="I33" s="38">
        <f>INDEX(Data!$A$2:$X$100,MATCH('Factbook (old)'!$A33,Data!$A$2:$A$100,0),16)</f>
        <v>1158</v>
      </c>
      <c r="J33" s="38"/>
      <c r="K33" s="38">
        <f>INDEX(Data!$A$2:$X$100,MATCH('Factbook (old)'!$A33,Data!$A$2:$A$100,0),17)</f>
        <v>83328.89</v>
      </c>
      <c r="L33" s="38"/>
      <c r="M33" s="44">
        <f>INDEX(Data!$A$2:$X$100,MATCH('Factbook (old)'!$A33,Data!$A$2:$A$100,0),18)</f>
        <v>3.6393660216057278E-2</v>
      </c>
      <c r="N33" s="45"/>
      <c r="O33" s="38">
        <f>INDEX(Data!$A$2:$X$100,MATCH('Factbook (old)'!$A33,Data!$A$2:$A$100,0),19)</f>
        <v>319</v>
      </c>
      <c r="P33" s="38"/>
      <c r="Q33" s="38">
        <f>INDEX(Data!$A$2:$X$100,MATCH('Factbook (old)'!$A33,Data!$A$2:$A$100,0),20)</f>
        <v>111333.16</v>
      </c>
      <c r="R33" s="38"/>
      <c r="S33" s="44">
        <f>INDEX(Data!$A$2:$X$100,MATCH('Factbook (old)'!$A33,Data!$A$2:$A$100,0),21)</f>
        <v>5.0452262861683694E-2</v>
      </c>
      <c r="T33" s="45"/>
      <c r="U33" s="38">
        <f>INDEX(Data!$A$2:$X$100,MATCH('Factbook (old)'!$A33,Data!$A$2:$A$100,0),22)</f>
        <v>2334</v>
      </c>
      <c r="V33" s="38"/>
      <c r="W33" s="38">
        <f>INDEX(Data!$A$2:$X$100,MATCH('Factbook (old)'!$A33,Data!$A$2:$A$100,0),23)</f>
        <v>60905.120000000003</v>
      </c>
      <c r="X33" s="38"/>
      <c r="Y33" s="44">
        <f>INDEX(Data!$A$2:$X$100,MATCH('Factbook (old)'!$A33,Data!$A$2:$A$100,0),24)</f>
        <v>7.5761319758095969E-2</v>
      </c>
    </row>
    <row r="34" spans="1:25" x14ac:dyDescent="0.2">
      <c r="A34" s="36">
        <f>LARGE(Data!$A$2:$A$100,9)</f>
        <v>2010</v>
      </c>
      <c r="B34" s="36"/>
      <c r="C34" s="38">
        <f>INDEX(Data!$A$2:$X$100,MATCH('Factbook (old)'!$A34,Data!$A$2:$A$100,0),13)</f>
        <v>34643</v>
      </c>
      <c r="D34" s="41"/>
      <c r="E34" s="38">
        <f>INDEX(Data!$A$2:$X$100,MATCH('Factbook (old)'!$A34,Data!$A$2:$A$100,0),14)</f>
        <v>49472.62</v>
      </c>
      <c r="F34" s="38"/>
      <c r="G34" s="44">
        <f>INDEX(Data!$A$2:$X$100,MATCH('Factbook (old)'!$A34,Data!$A$2:$A$100,0),15)</f>
        <v>2.0270907073235644E-2</v>
      </c>
      <c r="H34" s="45"/>
      <c r="I34" s="38">
        <f>INDEX(Data!$A$2:$X$100,MATCH('Factbook (old)'!$A34,Data!$A$2:$A$100,0),16)</f>
        <v>1164</v>
      </c>
      <c r="J34" s="38"/>
      <c r="K34" s="38">
        <f>INDEX(Data!$A$2:$X$100,MATCH('Factbook (old)'!$A34,Data!$A$2:$A$100,0),17)</f>
        <v>85525.91</v>
      </c>
      <c r="L34" s="38"/>
      <c r="M34" s="44">
        <f>INDEX(Data!$A$2:$X$100,MATCH('Factbook (old)'!$A34,Data!$A$2:$A$100,0),18)</f>
        <v>2.6365645816234906E-2</v>
      </c>
      <c r="N34" s="45"/>
      <c r="O34" s="38">
        <f>INDEX(Data!$A$2:$X$100,MATCH('Factbook (old)'!$A34,Data!$A$2:$A$100,0),19)</f>
        <v>314</v>
      </c>
      <c r="P34" s="38"/>
      <c r="Q34" s="38">
        <f>INDEX(Data!$A$2:$X$100,MATCH('Factbook (old)'!$A34,Data!$A$2:$A$100,0),20)</f>
        <v>115053.53</v>
      </c>
      <c r="R34" s="38"/>
      <c r="S34" s="44">
        <f>INDEX(Data!$A$2:$X$100,MATCH('Factbook (old)'!$A34,Data!$A$2:$A$100,0),21)</f>
        <v>3.341654903175284E-2</v>
      </c>
      <c r="T34" s="45"/>
      <c r="U34" s="38">
        <f>INDEX(Data!$A$2:$X$100,MATCH('Factbook (old)'!$A34,Data!$A$2:$A$100,0),22)</f>
        <v>2373</v>
      </c>
      <c r="V34" s="38"/>
      <c r="W34" s="38">
        <f>INDEX(Data!$A$2:$X$100,MATCH('Factbook (old)'!$A34,Data!$A$2:$A$100,0),23)</f>
        <v>62115.56</v>
      </c>
      <c r="X34" s="38"/>
      <c r="Y34" s="44">
        <f>INDEX(Data!$A$2:$X$100,MATCH('Factbook (old)'!$A34,Data!$A$2:$A$100,0),24)</f>
        <v>1.9874191201002311E-2</v>
      </c>
    </row>
    <row r="35" spans="1:25" x14ac:dyDescent="0.2">
      <c r="A35" s="36">
        <f>LARGE(Data!$A$2:$A$100,8)</f>
        <v>2011</v>
      </c>
      <c r="B35" s="36"/>
      <c r="C35" s="38">
        <f>INDEX(Data!$A$2:$X$100,MATCH('Factbook (old)'!$A35,Data!$A$2:$A$100,0),13)</f>
        <v>33916</v>
      </c>
      <c r="D35" s="41"/>
      <c r="E35" s="38">
        <f>INDEX(Data!$A$2:$X$100,MATCH('Factbook (old)'!$A35,Data!$A$2:$A$100,0),14)</f>
        <v>49794</v>
      </c>
      <c r="F35" s="38"/>
      <c r="G35" s="44">
        <f>INDEX(Data!$A$2:$X$100,MATCH('Factbook (old)'!$A35,Data!$A$2:$A$100,0),15)</f>
        <v>0.02</v>
      </c>
      <c r="H35" s="45"/>
      <c r="I35" s="38">
        <f>INDEX(Data!$A$2:$X$100,MATCH('Factbook (old)'!$A35,Data!$A$2:$A$100,0),16)</f>
        <v>1173</v>
      </c>
      <c r="J35" s="38"/>
      <c r="K35" s="38">
        <f>INDEX(Data!$A$2:$X$100,MATCH('Factbook (old)'!$A35,Data!$A$2:$A$100,0),17)</f>
        <v>86410</v>
      </c>
      <c r="L35" s="38"/>
      <c r="M35" s="44">
        <f>INDEX(Data!$A$2:$X$100,MATCH('Factbook (old)'!$A35,Data!$A$2:$A$100,0),18)</f>
        <v>2.5999999999999999E-2</v>
      </c>
      <c r="N35" s="45"/>
      <c r="O35" s="38">
        <f>INDEX(Data!$A$2:$X$100,MATCH('Factbook (old)'!$A35,Data!$A$2:$A$100,0),19)</f>
        <v>301</v>
      </c>
      <c r="P35" s="38"/>
      <c r="Q35" s="38">
        <f>INDEX(Data!$A$2:$X$100,MATCH('Factbook (old)'!$A35,Data!$A$2:$A$100,0),20)</f>
        <v>117320</v>
      </c>
      <c r="R35" s="38"/>
      <c r="S35" s="44">
        <f>INDEX(Data!$A$2:$X$100,MATCH('Factbook (old)'!$A35,Data!$A$2:$A$100,0),21)</f>
        <v>3.3000000000000002E-2</v>
      </c>
      <c r="T35" s="45"/>
      <c r="U35" s="38">
        <f>INDEX(Data!$A$2:$X$100,MATCH('Factbook (old)'!$A35,Data!$A$2:$A$100,0),22)</f>
        <v>2353</v>
      </c>
      <c r="V35" s="38"/>
      <c r="W35" s="38">
        <f>INDEX(Data!$A$2:$X$100,MATCH('Factbook (old)'!$A35,Data!$A$2:$A$100,0),23)</f>
        <v>62564</v>
      </c>
      <c r="X35" s="38"/>
      <c r="Y35" s="44">
        <f>INDEX(Data!$A$2:$X$100,MATCH('Factbook (old)'!$A35,Data!$A$2:$A$100,0),24)</f>
        <v>7.0000000000000001E-3</v>
      </c>
    </row>
    <row r="36" spans="1:25" x14ac:dyDescent="0.2">
      <c r="A36" s="36">
        <f>LARGE(Data!$A$2:$A$100,7)</f>
        <v>2012</v>
      </c>
      <c r="B36" s="36"/>
      <c r="C36" s="38">
        <f>INDEX(Data!$A$2:$X$100,MATCH('Factbook (old)'!$A36,Data!$A$2:$A$100,0),13)</f>
        <v>33938</v>
      </c>
      <c r="D36" s="41"/>
      <c r="E36" s="38">
        <f>INDEX(Data!$A$2:$X$100,MATCH('Factbook (old)'!$A36,Data!$A$2:$A$100,0),14)</f>
        <v>50218</v>
      </c>
      <c r="F36" s="38"/>
      <c r="G36" s="44">
        <f>INDEX(Data!$A$2:$X$100,MATCH('Factbook (old)'!$A36,Data!$A$2:$A$100,0),15)</f>
        <v>8.9999999999999993E-3</v>
      </c>
      <c r="H36" s="45"/>
      <c r="I36" s="38">
        <f>INDEX(Data!$A$2:$X$100,MATCH('Factbook (old)'!$A36,Data!$A$2:$A$100,0),16)</f>
        <v>1158</v>
      </c>
      <c r="J36" s="38"/>
      <c r="K36" s="38">
        <f>INDEX(Data!$A$2:$X$100,MATCH('Factbook (old)'!$A36,Data!$A$2:$A$100,0),17)</f>
        <v>87952</v>
      </c>
      <c r="L36" s="38"/>
      <c r="M36" s="44">
        <f>INDEX(Data!$A$2:$X$100,MATCH('Factbook (old)'!$A36,Data!$A$2:$A$100,0),18)</f>
        <v>1.7999999999999999E-2</v>
      </c>
      <c r="N36" s="45"/>
      <c r="O36" s="38">
        <f>INDEX(Data!$A$2:$X$100,MATCH('Factbook (old)'!$A36,Data!$A$2:$A$100,0),19)</f>
        <v>301</v>
      </c>
      <c r="P36" s="38"/>
      <c r="Q36" s="38">
        <f>INDEX(Data!$A$2:$X$100,MATCH('Factbook (old)'!$A36,Data!$A$2:$A$100,0),20)</f>
        <v>120947</v>
      </c>
      <c r="R36" s="38"/>
      <c r="S36" s="44">
        <f>INDEX(Data!$A$2:$X$100,MATCH('Factbook (old)'!$A36,Data!$A$2:$A$100,0),21)</f>
        <v>3.1E-2</v>
      </c>
      <c r="T36" s="45"/>
      <c r="U36" s="38">
        <f>INDEX(Data!$A$2:$X$100,MATCH('Factbook (old)'!$A36,Data!$A$2:$A$100,0),22)</f>
        <v>2219</v>
      </c>
      <c r="V36" s="38"/>
      <c r="W36" s="38">
        <f>INDEX(Data!$A$2:$X$100,MATCH('Factbook (old)'!$A36,Data!$A$2:$A$100,0),23)</f>
        <v>63397</v>
      </c>
      <c r="X36" s="38"/>
      <c r="Y36" s="44">
        <f>INDEX(Data!$A$2:$X$100,MATCH('Factbook (old)'!$A36,Data!$A$2:$A$100,0),24)</f>
        <v>1.2999999999999999E-2</v>
      </c>
    </row>
    <row r="37" spans="1:25" x14ac:dyDescent="0.2">
      <c r="A37" s="36">
        <f>LARGE(Data!$A$2:$A$100,6)</f>
        <v>2013</v>
      </c>
      <c r="B37" s="36"/>
      <c r="C37" s="38">
        <f>INDEX(Data!$A$2:$X$100,MATCH('Factbook (old)'!$A37,Data!$A$2:$A$100,0),13)</f>
        <v>34226</v>
      </c>
      <c r="D37" s="41"/>
      <c r="E37" s="38">
        <f>INDEX(Data!$A$2:$X$100,MATCH('Factbook (old)'!$A37,Data!$A$2:$A$100,0),14)</f>
        <v>50914</v>
      </c>
      <c r="F37" s="38"/>
      <c r="G37" s="44">
        <f>INDEX(Data!$A$2:$X$100,MATCH('Factbook (old)'!$A37,Data!$A$2:$A$100,0),15)</f>
        <v>1.4E-2</v>
      </c>
      <c r="H37" s="45"/>
      <c r="I37" s="38">
        <f>INDEX(Data!$A$2:$X$100,MATCH('Factbook (old)'!$A37,Data!$A$2:$A$100,0),16)</f>
        <v>1155</v>
      </c>
      <c r="J37" s="38"/>
      <c r="K37" s="38">
        <f>INDEX(Data!$A$2:$X$100,MATCH('Factbook (old)'!$A37,Data!$A$2:$A$100,0),17)</f>
        <v>90306</v>
      </c>
      <c r="L37" s="38"/>
      <c r="M37" s="44">
        <f>INDEX(Data!$A$2:$X$100,MATCH('Factbook (old)'!$A37,Data!$A$2:$A$100,0),18)</f>
        <v>2.7E-2</v>
      </c>
      <c r="N37" s="45"/>
      <c r="O37" s="38">
        <f>INDEX(Data!$A$2:$X$100,MATCH('Factbook (old)'!$A37,Data!$A$2:$A$100,0),19)</f>
        <v>300</v>
      </c>
      <c r="P37" s="38"/>
      <c r="Q37" s="38">
        <f>INDEX(Data!$A$2:$X$100,MATCH('Factbook (old)'!$A37,Data!$A$2:$A$100,0),20)</f>
        <v>124743</v>
      </c>
      <c r="R37" s="38"/>
      <c r="S37" s="44">
        <f>INDEX(Data!$A$2:$X$100,MATCH('Factbook (old)'!$A37,Data!$A$2:$A$100,0),21)</f>
        <v>3.1E-2</v>
      </c>
      <c r="T37" s="45"/>
      <c r="U37" s="38">
        <f>INDEX(Data!$A$2:$X$100,MATCH('Factbook (old)'!$A37,Data!$A$2:$A$100,0),22)</f>
        <v>2158</v>
      </c>
      <c r="V37" s="38"/>
      <c r="W37" s="38">
        <f>INDEX(Data!$A$2:$X$100,MATCH('Factbook (old)'!$A37,Data!$A$2:$A$100,0),23)</f>
        <v>65397</v>
      </c>
      <c r="X37" s="38"/>
      <c r="Y37" s="44">
        <f>INDEX(Data!$A$2:$X$100,MATCH('Factbook (old)'!$A37,Data!$A$2:$A$100,0),24)</f>
        <v>3.2000000000000001E-2</v>
      </c>
    </row>
    <row customHeight="1" ht="11.45" r="38" spans="1:25" x14ac:dyDescent="0.2">
      <c r="A38" s="36">
        <f>LARGE(Data!$A$2:$A$100,5)</f>
        <v>2014</v>
      </c>
      <c r="B38" s="36"/>
      <c r="C38" s="38">
        <f>INDEX(Data!$A$2:$X$100,MATCH('Factbook (old)'!$A38,Data!$A$2:$A$100,0),13)</f>
        <v>34509</v>
      </c>
      <c r="D38" s="41"/>
      <c r="E38" s="38">
        <f>INDEX(Data!$A$2:$X$100,MATCH('Factbook (old)'!$A38,Data!$A$2:$A$100,0),14)</f>
        <v>52001</v>
      </c>
      <c r="F38" s="38"/>
      <c r="G38" s="44">
        <f>INDEX(Data!$A$2:$X$100,MATCH('Factbook (old)'!$A38,Data!$A$2:$A$100,0),15)</f>
        <v>2.1000000000000001E-2</v>
      </c>
      <c r="H38" s="45"/>
      <c r="I38" s="38">
        <f>INDEX(Data!$A$2:$X$100,MATCH('Factbook (old)'!$A38,Data!$A$2:$A$100,0),16)</f>
        <v>1149</v>
      </c>
      <c r="J38" s="38"/>
      <c r="K38" s="38">
        <f>INDEX(Data!$A$2:$X$100,MATCH('Factbook (old)'!$A38,Data!$A$2:$A$100,0),17)</f>
        <v>92585</v>
      </c>
      <c r="L38" s="38"/>
      <c r="M38" s="44">
        <f>INDEX(Data!$A$2:$X$100,MATCH('Factbook (old)'!$A38,Data!$A$2:$A$100,0),18)</f>
        <v>2.5000000000000001E-2</v>
      </c>
      <c r="N38" s="45"/>
      <c r="O38" s="38">
        <f>INDEX(Data!$A$2:$X$100,MATCH('Factbook (old)'!$A38,Data!$A$2:$A$100,0),19)</f>
        <v>289</v>
      </c>
      <c r="P38" s="38"/>
      <c r="Q38" s="38">
        <f>INDEX(Data!$A$2:$X$100,MATCH('Factbook (old)'!$A38,Data!$A$2:$A$100,0),20)</f>
        <v>130217</v>
      </c>
      <c r="R38" s="38"/>
      <c r="S38" s="44">
        <f>INDEX(Data!$A$2:$X$100,MATCH('Factbook (old)'!$A38,Data!$A$2:$A$100,0),21)</f>
        <v>4.3999999999999997E-2</v>
      </c>
      <c r="T38" s="45"/>
      <c r="U38" s="38">
        <f>INDEX(Data!$A$2:$X$100,MATCH('Factbook (old)'!$A38,Data!$A$2:$A$100,0),22)</f>
        <v>2189</v>
      </c>
      <c r="V38" s="38"/>
      <c r="W38" s="38">
        <f>INDEX(Data!$A$2:$X$100,MATCH('Factbook (old)'!$A38,Data!$A$2:$A$100,0),23)</f>
        <v>66990</v>
      </c>
      <c r="X38" s="38"/>
      <c r="Y38" s="44">
        <f>INDEX(Data!$A$2:$X$100,MATCH('Factbook (old)'!$A38,Data!$A$2:$A$100,0),24)</f>
        <v>2.4E-2</v>
      </c>
    </row>
    <row customHeight="1" ht="11.45" r="39" spans="1:25" x14ac:dyDescent="0.2">
      <c r="A39" s="36">
        <f>LARGE(Data!$A$2:$A$100,4)</f>
        <v>2015</v>
      </c>
      <c r="B39" s="36"/>
      <c r="C39" s="38">
        <f>INDEX(Data!$A$2:$X$100,MATCH('Factbook (old)'!$A39,Data!$A$2:$A$100,0),13)</f>
        <v>34737</v>
      </c>
      <c r="D39" s="41"/>
      <c r="E39" s="38">
        <f>INDEX(Data!$A$2:$X$100,MATCH('Factbook (old)'!$A39,Data!$A$2:$A$100,0),14)</f>
        <v>53268</v>
      </c>
      <c r="F39" s="38"/>
      <c r="G39" s="44">
        <f>INDEX(Data!$A$2:$X$100,MATCH('Factbook (old)'!$A39,Data!$A$2:$A$100,0),15)</f>
        <v>2.4364916059306553E-2</v>
      </c>
      <c r="H39" s="45"/>
      <c r="I39" s="38">
        <f>INDEX(Data!$A$2:$X$100,MATCH('Factbook (old)'!$A39,Data!$A$2:$A$100,0),16)</f>
        <v>1149</v>
      </c>
      <c r="J39" s="38"/>
      <c r="K39" s="38">
        <f>INDEX(Data!$A$2:$X$100,MATCH('Factbook (old)'!$A39,Data!$A$2:$A$100,0),17)</f>
        <v>96018</v>
      </c>
      <c r="L39" s="38"/>
      <c r="M39" s="44">
        <f>INDEX(Data!$A$2:$X$100,MATCH('Factbook (old)'!$A39,Data!$A$2:$A$100,0),18)</f>
        <v>3.707944051412216E-2</v>
      </c>
      <c r="N39" s="45"/>
      <c r="O39" s="38">
        <f>INDEX(Data!$A$2:$X$100,MATCH('Factbook (old)'!$A39,Data!$A$2:$A$100,0),19)</f>
        <v>285</v>
      </c>
      <c r="P39" s="38"/>
      <c r="Q39" s="38">
        <f>INDEX(Data!$A$2:$X$100,MATCH('Factbook (old)'!$A39,Data!$A$2:$A$100,0),20)</f>
        <v>136678</v>
      </c>
      <c r="R39" s="38"/>
      <c r="S39" s="44">
        <f>INDEX(Data!$A$2:$X$100,MATCH('Factbook (old)'!$A39,Data!$A$2:$A$100,0),21)</f>
        <v>4.9617177480666887E-2</v>
      </c>
      <c r="T39" s="45"/>
      <c r="U39" s="38">
        <f>INDEX(Data!$A$2:$X$100,MATCH('Factbook (old)'!$A39,Data!$A$2:$A$100,0),22)</f>
        <v>2231</v>
      </c>
      <c r="V39" s="38"/>
      <c r="W39" s="38">
        <f>INDEX(Data!$A$2:$X$100,MATCH('Factbook (old)'!$A39,Data!$A$2:$A$100,0),23)</f>
        <v>68911</v>
      </c>
      <c r="X39" s="38"/>
      <c r="Y39" s="44">
        <f>INDEX(Data!$A$2:$X$100,MATCH('Factbook (old)'!$A39,Data!$A$2:$A$100,0),24)</f>
        <v>2.8675921779370055E-2</v>
      </c>
    </row>
    <row customHeight="1" ht="11.45" r="40" spans="1:25" x14ac:dyDescent="0.2">
      <c r="A40" s="36">
        <f>LARGE(Data!$A$2:$A$100,3)</f>
        <v>2016</v>
      </c>
      <c r="B40" s="36"/>
      <c r="C40" s="38">
        <f>INDEX(Data!$A$2:$X$100,MATCH('Factbook (old)'!$A40,Data!$A$2:$A$100,0),13)</f>
        <v>34805</v>
      </c>
      <c r="D40" s="41"/>
      <c r="E40" s="38">
        <f>INDEX(Data!$A$2:$X$100,MATCH('Factbook (old)'!$A40,Data!$A$2:$A$100,0),14)</f>
        <v>54179</v>
      </c>
      <c r="F40" s="38"/>
      <c r="G40" s="44">
        <f>INDEX(Data!$A$2:$X$100,MATCH('Factbook (old)'!$A40,Data!$A$2:$A$100,0),15)</f>
        <v>1.7102200195239167E-2</v>
      </c>
      <c r="H40" s="45"/>
      <c r="I40" s="38">
        <f>INDEX(Data!$A$2:$X$100,MATCH('Factbook (old)'!$A40,Data!$A$2:$A$100,0),16)</f>
        <v>1140</v>
      </c>
      <c r="J40" s="38"/>
      <c r="K40" s="38">
        <f>INDEX(Data!$A$2:$X$100,MATCH('Factbook (old)'!$A40,Data!$A$2:$A$100,0),17)</f>
        <v>98882</v>
      </c>
      <c r="L40" s="38"/>
      <c r="M40" s="44">
        <f>INDEX(Data!$A$2:$X$100,MATCH('Factbook (old)'!$A40,Data!$A$2:$A$100,0),18)</f>
        <v>2.982774063196484E-2</v>
      </c>
      <c r="N40" s="45"/>
      <c r="O40" s="38">
        <f>INDEX(Data!$A$2:$X$100,MATCH('Factbook (old)'!$A40,Data!$A$2:$A$100,0),19)</f>
        <v>283</v>
      </c>
      <c r="P40" s="38"/>
      <c r="Q40" s="38">
        <f>INDEX(Data!$A$2:$X$100,MATCH('Factbook (old)'!$A40,Data!$A$2:$A$100,0),20)</f>
        <v>142127</v>
      </c>
      <c r="R40" s="38"/>
      <c r="S40" s="44">
        <f>INDEX(Data!$A$2:$X$100,MATCH('Factbook (old)'!$A40,Data!$A$2:$A$100,0),21)</f>
        <v>3.9867425628118645E-2</v>
      </c>
      <c r="T40" s="45"/>
      <c r="U40" s="38">
        <f>INDEX(Data!$A$2:$X$100,MATCH('Factbook (old)'!$A40,Data!$A$2:$A$100,0),22)</f>
        <v>2224</v>
      </c>
      <c r="V40" s="38"/>
      <c r="W40" s="38">
        <f>INDEX(Data!$A$2:$X$100,MATCH('Factbook (old)'!$A40,Data!$A$2:$A$100,0),23)</f>
        <v>70582.38</v>
      </c>
      <c r="X40" s="38"/>
      <c r="Y40" s="44">
        <f>INDEX(Data!$A$2:$X$100,MATCH('Factbook (old)'!$A40,Data!$A$2:$A$100,0),24)</f>
        <v>2.4254182931607502E-2</v>
      </c>
    </row>
    <row customHeight="1" ht="11.45" r="41" spans="1:25" x14ac:dyDescent="0.2">
      <c r="A41" s="36">
        <f>LARGE(Data!$A$2:$A$100,2)</f>
        <v>2017</v>
      </c>
      <c r="B41" s="36"/>
      <c r="C41" s="38">
        <f>INDEX(Data!$A$2:$X$100,MATCH('Factbook (old)'!$A41,Data!$A$2:$A$100,0),13)</f>
        <v>34551</v>
      </c>
      <c r="D41" s="41"/>
      <c r="E41" s="38">
        <f>INDEX(Data!$A$2:$X$100,MATCH('Factbook (old)'!$A41,Data!$A$2:$A$100,0),14)</f>
        <v>55397</v>
      </c>
      <c r="F41" s="38"/>
      <c r="G41" s="44">
        <f>INDEX(Data!$A$2:$X$100,MATCH('Factbook (old)'!$A41,Data!$A$2:$A$100,0),15)</f>
        <v>2.2481035087395487E-2</v>
      </c>
      <c r="H41" s="45"/>
      <c r="I41" s="38">
        <f>INDEX(Data!$A$2:$X$100,MATCH('Factbook (old)'!$A41,Data!$A$2:$A$100,0),16)</f>
        <v>1139</v>
      </c>
      <c r="J41" s="38"/>
      <c r="K41" s="38">
        <f>INDEX(Data!$A$2:$X$100,MATCH('Factbook (old)'!$A41,Data!$A$2:$A$100,0),17)</f>
        <v>102236</v>
      </c>
      <c r="L41" s="38"/>
      <c r="M41" s="44">
        <f>INDEX(Data!$A$2:$X$100,MATCH('Factbook (old)'!$A41,Data!$A$2:$A$100,0),18)</f>
        <v>3.3919216844319491E-2</v>
      </c>
      <c r="N41" s="45"/>
      <c r="O41" s="38">
        <f>INDEX(Data!$A$2:$X$100,MATCH('Factbook (old)'!$A41,Data!$A$2:$A$100,0),19)</f>
        <v>273</v>
      </c>
      <c r="P41" s="38"/>
      <c r="Q41" s="38">
        <f>INDEX(Data!$A$2:$X$100,MATCH('Factbook (old)'!$A41,Data!$A$2:$A$100,0),20)</f>
        <v>147825</v>
      </c>
      <c r="R41" s="38"/>
      <c r="S41" s="44">
        <f>INDEX(Data!$A$2:$X$100,MATCH('Factbook (old)'!$A41,Data!$A$2:$A$100,0),21)</f>
        <v>4.0090904613479493E-2</v>
      </c>
      <c r="T41" s="45"/>
      <c r="U41" s="38">
        <f>INDEX(Data!$A$2:$X$100,MATCH('Factbook (old)'!$A41,Data!$A$2:$A$100,0),22)</f>
        <v>2186</v>
      </c>
      <c r="V41" s="38"/>
      <c r="W41" s="38">
        <f>INDEX(Data!$A$2:$X$100,MATCH('Factbook (old)'!$A41,Data!$A$2:$A$100,0),23)</f>
        <v>72540</v>
      </c>
      <c r="X41" s="38"/>
      <c r="Y41" s="44">
        <f>INDEX(Data!$A$2:$X$100,MATCH('Factbook (old)'!$A41,Data!$A$2:$A$100,0),24)</f>
        <v>2.4254182931607502E-2</v>
      </c>
    </row>
    <row customFormat="1" customHeight="1" ht="11.45" r="42" s="7" spans="1:25" x14ac:dyDescent="0.2">
      <c r="A42" s="36">
        <f>LARGE(Data!$A$2:$A$100,1)</f>
        <v>2018</v>
      </c>
      <c r="B42" s="46"/>
      <c r="C42" s="38">
        <f>INDEX(Data!$A$2:$X$100,MATCH('Factbook (old)'!$A42,Data!$A$2:$A$100,0),13)</f>
        <v>36786</v>
      </c>
      <c r="D42" s="47"/>
      <c r="E42" s="38">
        <f>INDEX(Data!$A$2:$X$100,MATCH('Factbook (old)'!$A42,Data!$A$2:$A$100,0),14)</f>
        <v>56978</v>
      </c>
      <c r="F42" s="48"/>
      <c r="G42" s="44">
        <f>INDEX(Data!$A$2:$X$100,MATCH('Factbook (old)'!$A42,Data!$A$2:$A$100,0),15)</f>
        <v>2.8539451594851706E-2</v>
      </c>
      <c r="H42" s="49"/>
      <c r="I42" s="38">
        <f>INDEX(Data!$A$2:$X$100,MATCH('Factbook (old)'!$A42,Data!$A$2:$A$100,0),16)</f>
        <v>1133</v>
      </c>
      <c r="J42" s="48"/>
      <c r="K42" s="38">
        <f>INDEX(Data!$A$2:$X$100,MATCH('Factbook (old)'!$A42,Data!$A$2:$A$100,0),17)</f>
        <v>103668</v>
      </c>
      <c r="L42" s="48"/>
      <c r="M42" s="44">
        <f>INDEX(Data!$A$2:$X$100,MATCH('Factbook (old)'!$A42,Data!$A$2:$A$100,0),18)</f>
        <v>1.4006807778082084E-2</v>
      </c>
      <c r="N42" s="49"/>
      <c r="O42" s="38">
        <f>INDEX(Data!$A$2:$X$100,MATCH('Factbook (old)'!$A42,Data!$A$2:$A$100,0),19)</f>
        <v>270</v>
      </c>
      <c r="P42" s="48"/>
      <c r="Q42" s="38">
        <f>INDEX(Data!$A$2:$X$100,MATCH('Factbook (old)'!$A42,Data!$A$2:$A$100,0),20)</f>
        <v>151327</v>
      </c>
      <c r="R42" s="48"/>
      <c r="S42" s="44">
        <f>INDEX(Data!$A$2:$X$100,MATCH('Factbook (old)'!$A42,Data!$A$2:$A$100,0),21)</f>
        <v>2.3690174192457298E-2</v>
      </c>
      <c r="T42" s="49"/>
      <c r="U42" s="38">
        <f>INDEX(Data!$A$2:$X$100,MATCH('Factbook (old)'!$A42,Data!$A$2:$A$100,0),22)</f>
        <v>2217</v>
      </c>
      <c r="V42" s="48"/>
      <c r="W42" s="38">
        <f>INDEX(Data!$A$2:$X$100,MATCH('Factbook (old)'!$A42,Data!$A$2:$A$100,0),23)</f>
        <v>73326</v>
      </c>
      <c r="X42" s="48"/>
      <c r="Y42" s="44">
        <f>INDEX(Data!$A$2:$X$100,MATCH('Factbook (old)'!$A42,Data!$A$2:$A$100,0),24)</f>
        <v>1.0835401157981803E-2</v>
      </c>
    </row>
    <row customHeight="1" ht="6" r="43" spans="1:25" x14ac:dyDescent="0.2">
      <c r="A43" s="3"/>
      <c r="B43" s="3"/>
      <c r="C43" s="1"/>
      <c r="E43" s="1"/>
      <c r="F43" s="1"/>
      <c r="G43" s="4"/>
      <c r="H43" s="4"/>
      <c r="I43" s="1"/>
      <c r="J43" s="1"/>
      <c r="K43" s="1"/>
      <c r="L43" s="1"/>
      <c r="M43" s="4"/>
      <c r="N43" s="4"/>
      <c r="O43" s="1"/>
      <c r="P43" s="1"/>
      <c r="Q43" s="1"/>
      <c r="R43" s="1"/>
      <c r="S43" s="4"/>
      <c r="T43" s="4"/>
      <c r="U43" s="1"/>
      <c r="V43" s="1"/>
      <c r="W43" s="1"/>
      <c r="X43" s="1"/>
      <c r="Y43" s="4"/>
    </row>
    <row r="44" spans="1:25" x14ac:dyDescent="0.2">
      <c r="A44" t="s">
        <v>11</v>
      </c>
    </row>
    <row customHeight="1" ht="1.1499999999999999" r="45" spans="1:25" x14ac:dyDescent="0.2"/>
    <row customHeight="1" ht="5.45" r="46" spans="1:25" x14ac:dyDescent="0.2"/>
    <row r="47" spans="1:25" x14ac:dyDescent="0.2">
      <c r="A47" s="5" t="s">
        <v>78</v>
      </c>
    </row>
    <row r="48" spans="1:25" x14ac:dyDescent="0.2">
      <c r="A48" s="66" t="s">
        <v>84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customHeight="1" ht="11.45" r="49" spans="1:15" x14ac:dyDescent="0.2">
      <c r="A49" s="66" t="s">
        <v>83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5" x14ac:dyDescent="0.2">
      <c r="A50" s="30" t="s">
        <v>32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customHeight="1" ht="1.9" r="51" spans="1:15" x14ac:dyDescent="0.2"/>
    <row r="53" spans="1:15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x14ac:dyDescent="0.2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</sheetData>
  <mergeCells count="5">
    <mergeCell ref="A24:Y24"/>
    <mergeCell ref="A2:X2"/>
    <mergeCell ref="A1:X1"/>
    <mergeCell ref="A49:M49"/>
    <mergeCell ref="A48:P48"/>
  </mergeCells>
  <phoneticPr fontId="3" type="noConversion"/>
  <pageMargins bottom="1" footer="0.25" header="0.5" left="0.5" right="0.25" top="0.7"/>
  <pageSetup cellComments="atEnd" fitToHeight="0" fitToWidth="0" orientation="portrait" r:id="rId1"/>
  <headerFooter>
    <oddFooter><![CDATA[&L&8Sources: Iowa Department of Education, Basic Educational Data Survey (BEDS), 
National Education Association, LSA analysis and calculations
Iowa LSA Staff Contact:  Robin Madison (515.281.5270) &Urobin.madison@legis.iowa.gov&10&U
&C&G
&R&G]]></oddFooter>
  </headerFooter>
  <legacyDrawingHF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4"/>
  <dimension ref="A1:Z54"/>
  <sheetViews>
    <sheetView showGridLines="0" workbookViewId="0" zoomScaleNormal="100">
      <selection activeCell="A3" sqref="A1:W1048576"/>
    </sheetView>
  </sheetViews>
  <sheetFormatPr defaultRowHeight="12" x14ac:dyDescent="0.2"/>
  <cols>
    <col min="1" max="1" customWidth="true" width="6.85546875" collapsed="false"/>
    <col min="2" max="2" customWidth="true" hidden="true" width="3.140625" collapsed="false"/>
    <col min="3" max="3" customWidth="true" width="8.42578125" collapsed="false"/>
    <col min="4" max="4" customWidth="true" hidden="true" width="3.5703125" collapsed="false"/>
    <col min="5" max="5" customWidth="true" width="8.42578125" collapsed="false"/>
    <col min="6" max="6" customWidth="true" hidden="true" width="0.42578125" collapsed="false"/>
    <col min="7" max="7" customWidth="true" width="7.7109375" collapsed="false"/>
    <col min="8" max="8" customWidth="true" width="0.85546875" collapsed="false"/>
    <col min="9" max="9" customWidth="true" width="8.5703125" collapsed="false"/>
    <col min="10" max="10" customWidth="true" hidden="true" width="13.85546875" collapsed="false"/>
    <col min="11" max="11" bestFit="true" customWidth="true" width="7.7109375" collapsed="false"/>
    <col min="12" max="12" customWidth="true" hidden="true" width="7.28515625" collapsed="false"/>
    <col min="13" max="13" customWidth="true" width="8.42578125" collapsed="false"/>
    <col min="14" max="14" customWidth="true" width="0.85546875" collapsed="false"/>
    <col min="15" max="15" customWidth="true" width="8.28515625" collapsed="false"/>
    <col min="16" max="16" customWidth="true" hidden="true" width="0.42578125" collapsed="false"/>
    <col min="17" max="17" bestFit="true" customWidth="true" width="8.5703125" collapsed="false"/>
    <col min="18" max="18" customWidth="true" hidden="true" width="0.42578125" collapsed="false"/>
    <col min="19" max="19" bestFit="true" customWidth="true" width="7.7109375" collapsed="false"/>
    <col min="20" max="20" customWidth="true" width="0.85546875" collapsed="false"/>
    <col min="21" max="21" customWidth="true" width="8.0" collapsed="false"/>
    <col min="22" max="22" customWidth="true" hidden="true" width="0.42578125" collapsed="false"/>
    <col min="23" max="23" customWidth="true" width="7.85546875" collapsed="false"/>
    <col min="24" max="24" customWidth="true" width="0.140625" collapsed="false"/>
    <col min="25" max="25" customWidth="true" width="7.7109375" collapsed="false"/>
  </cols>
  <sheetData>
    <row customHeight="1" ht="19.5" r="1" spans="1:25" x14ac:dyDescent="0.25">
      <c r="A1" s="65" t="s">
        <v>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ht="15.75" r="2" spans="1:25" x14ac:dyDescent="0.25">
      <c r="A2" s="64" t="s">
        <v>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customHeight="1" ht="5.45" r="3" spans="1:2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customFormat="1" ht="22.5" r="4" s="2" spans="1:25" x14ac:dyDescent="0.2">
      <c r="A4" s="69" t="s">
        <v>95</v>
      </c>
      <c r="B4" s="51"/>
      <c r="C4" s="68" t="s">
        <v>91</v>
      </c>
      <c r="D4" s="51"/>
      <c r="E4" s="69" t="s">
        <v>90</v>
      </c>
      <c r="F4" s="51"/>
      <c r="G4" s="78" t="s">
        <v>96</v>
      </c>
      <c r="H4" s="68"/>
      <c r="I4" s="69" t="s">
        <v>97</v>
      </c>
      <c r="J4" s="68"/>
      <c r="K4" s="78" t="s">
        <v>98</v>
      </c>
      <c r="L4" s="68"/>
      <c r="M4" s="68" t="s">
        <v>99</v>
      </c>
      <c r="N4" s="68"/>
      <c r="O4" s="68" t="s">
        <v>104</v>
      </c>
      <c r="P4" s="68"/>
      <c r="Q4" s="78" t="s">
        <v>103</v>
      </c>
      <c r="R4" s="68"/>
      <c r="S4" s="69" t="s">
        <v>101</v>
      </c>
      <c r="T4" s="68"/>
      <c r="U4" s="69" t="s">
        <v>102</v>
      </c>
      <c r="V4" s="68"/>
      <c r="W4" s="69" t="s">
        <v>92</v>
      </c>
      <c r="X4" s="35"/>
      <c r="Y4" s="34"/>
    </row>
    <row r="5" spans="1:25" x14ac:dyDescent="0.2">
      <c r="A5" s="62">
        <f>LARGE(Data!$A$2:$A$100,11)</f>
        <v>2008</v>
      </c>
      <c r="B5" s="62"/>
      <c r="C5" s="54">
        <f>INDEX(Data!$A$2:$X$100,MATCH('Factbook (remake alternative)'!$A5,Data!$A$2:$A$100,0),2)</f>
        <v>26500</v>
      </c>
      <c r="D5" s="53"/>
      <c r="E5" s="54">
        <f>INDEX(Data!$A$2:$X$100,MATCH('Factbook (remake alternative)'!$A5,Data!$A$2:$A$100,0),3)</f>
        <v>36357.82</v>
      </c>
      <c r="F5" s="53"/>
      <c r="G5" s="54">
        <f>INDEX(Data!$A$2:$X$100,MATCH('Factbook (remake alternative)'!$A5,Data!$A$2:$A$100,0),4)</f>
        <v>38259.26</v>
      </c>
      <c r="H5" s="53"/>
      <c r="I5" s="54">
        <f>INDEX(Data!$A$2:$X$100,MATCH('Factbook (remake alternative)'!$A5,Data!$A$2:$A$100,0),5)</f>
        <v>40132.519999999997</v>
      </c>
      <c r="J5" s="53"/>
      <c r="K5" s="54">
        <f>INDEX(Data!$A$2:$X$100,MATCH('Factbook (remake alternative)'!$A5,Data!$A$2:$A$100,0),6)</f>
        <v>42491.82</v>
      </c>
      <c r="L5" s="53"/>
      <c r="M5" s="54">
        <f>INDEX(Data!$A$2:$X$100,MATCH('Factbook (remake alternative)'!$A5,Data!$A$2:$A$100,0),7)</f>
        <v>45210.67</v>
      </c>
      <c r="N5" s="53"/>
      <c r="O5" s="54">
        <f>INDEX(Data!$A$2:$X$100,MATCH('Factbook (remake alternative)'!$A5,Data!$A$2:$A$100,0),8)</f>
        <v>47453.35</v>
      </c>
      <c r="P5" s="53"/>
      <c r="Q5" s="54">
        <f>INDEX(Data!$A$2:$X$100,MATCH('Factbook (remake alternative)'!$A5,Data!$A$2:$A$100,0),9)</f>
        <v>49112.6</v>
      </c>
      <c r="R5" s="53"/>
      <c r="S5" s="54">
        <f>INDEX(Data!$A$2:$X$100,MATCH('Factbook (remake alternative)'!$A5,Data!$A$2:$A$100,0),10)</f>
        <v>48806.74</v>
      </c>
      <c r="T5" s="53"/>
      <c r="U5" s="54">
        <f>INDEX(Data!$A$2:$X$100,MATCH('Factbook (remake alternative)'!$A5,Data!$A$2:$A$100,0),11)</f>
        <v>45463</v>
      </c>
      <c r="V5" s="53"/>
      <c r="W5" s="54">
        <f>INDEX(Data!$A$2:$X$100,MATCH('Factbook (remake alternative)'!$A5,Data!$A$2:$A$100,0),12)</f>
        <v>52308</v>
      </c>
      <c r="X5" s="39"/>
      <c r="Y5" s="40"/>
    </row>
    <row r="6" spans="1:25" x14ac:dyDescent="0.2">
      <c r="A6" s="62">
        <f>LARGE(Data!$A$2:$A$100,10)</f>
        <v>2009</v>
      </c>
      <c r="B6" s="62"/>
      <c r="C6" s="53">
        <f>INDEX(Data!$A$2:$X$100,MATCH('Factbook (remake alternative)'!$A6,Data!$A$2:$A$100,0),2)</f>
        <v>28000</v>
      </c>
      <c r="D6" s="53"/>
      <c r="E6" s="53">
        <f>INDEX(Data!$A$2:$X$100,MATCH('Factbook (remake alternative)'!$A6,Data!$A$2:$A$100,0),3)</f>
        <v>38715</v>
      </c>
      <c r="F6" s="53"/>
      <c r="G6" s="53">
        <f>INDEX(Data!$A$2:$X$100,MATCH('Factbook (remake alternative)'!$A6,Data!$A$2:$A$100,0),4)</f>
        <v>41486</v>
      </c>
      <c r="H6" s="53"/>
      <c r="I6" s="53">
        <f>INDEX(Data!$A$2:$X$100,MATCH('Factbook (remake alternative)'!$A6,Data!$A$2:$A$100,0),5)</f>
        <v>42863</v>
      </c>
      <c r="J6" s="53"/>
      <c r="K6" s="53">
        <f>INDEX(Data!$A$2:$X$100,MATCH('Factbook (remake alternative)'!$A6,Data!$A$2:$A$100,0),6)</f>
        <v>45792</v>
      </c>
      <c r="L6" s="53"/>
      <c r="M6" s="53">
        <f>INDEX(Data!$A$2:$X$100,MATCH('Factbook (remake alternative)'!$A6,Data!$A$2:$A$100,0),7)</f>
        <v>48121</v>
      </c>
      <c r="N6" s="53"/>
      <c r="O6" s="53">
        <f>INDEX(Data!$A$2:$X$100,MATCH('Factbook (remake alternative)'!$A6,Data!$A$2:$A$100,0),8)</f>
        <v>50689</v>
      </c>
      <c r="P6" s="53"/>
      <c r="Q6" s="53">
        <f>INDEX(Data!$A$2:$X$100,MATCH('Factbook (remake alternative)'!$A6,Data!$A$2:$A$100,0),9)</f>
        <v>52001</v>
      </c>
      <c r="R6" s="53"/>
      <c r="S6" s="53">
        <f>INDEX(Data!$A$2:$X$100,MATCH('Factbook (remake alternative)'!$A6,Data!$A$2:$A$100,0),10)</f>
        <v>52846</v>
      </c>
      <c r="T6" s="53"/>
      <c r="U6" s="53">
        <f>INDEX(Data!$A$2:$X$100,MATCH('Factbook (remake alternative)'!$A6,Data!$A$2:$A$100,0),11)</f>
        <v>48489.69</v>
      </c>
      <c r="V6" s="53"/>
      <c r="W6" s="53">
        <f>INDEX(Data!$A$2:$X$100,MATCH('Factbook (remake alternative)'!$A6,Data!$A$2:$A$100,0),12)</f>
        <v>54319</v>
      </c>
      <c r="X6" s="39"/>
      <c r="Y6" s="40"/>
    </row>
    <row r="7" spans="1:25" x14ac:dyDescent="0.2">
      <c r="A7" s="62">
        <f>LARGE(Data!$A$2:$A$100,9)</f>
        <v>2010</v>
      </c>
      <c r="B7" s="62"/>
      <c r="C7" s="53">
        <f>INDEX(Data!$A$2:$X$100,MATCH('Factbook (remake alternative)'!$A7,Data!$A$2:$A$100,0),2)</f>
        <v>28000</v>
      </c>
      <c r="D7" s="53"/>
      <c r="E7" s="53">
        <f>INDEX(Data!$A$2:$X$100,MATCH('Factbook (remake alternative)'!$A7,Data!$A$2:$A$100,0),3)</f>
        <v>39887</v>
      </c>
      <c r="F7" s="53"/>
      <c r="G7" s="53">
        <f>INDEX(Data!$A$2:$X$100,MATCH('Factbook (remake alternative)'!$A7,Data!$A$2:$A$100,0),4)</f>
        <v>42211</v>
      </c>
      <c r="H7" s="53"/>
      <c r="I7" s="53">
        <f>INDEX(Data!$A$2:$X$100,MATCH('Factbook (remake alternative)'!$A7,Data!$A$2:$A$100,0),5)</f>
        <v>43572</v>
      </c>
      <c r="J7" s="53"/>
      <c r="K7" s="53">
        <f>INDEX(Data!$A$2:$X$100,MATCH('Factbook (remake alternative)'!$A7,Data!$A$2:$A$100,0),6)</f>
        <v>46286</v>
      </c>
      <c r="L7" s="53"/>
      <c r="M7" s="53">
        <f>INDEX(Data!$A$2:$X$100,MATCH('Factbook (remake alternative)'!$A7,Data!$A$2:$A$100,0),7)</f>
        <v>49112</v>
      </c>
      <c r="N7" s="53"/>
      <c r="O7" s="53">
        <f>INDEX(Data!$A$2:$X$100,MATCH('Factbook (remake alternative)'!$A7,Data!$A$2:$A$100,0),8)</f>
        <v>51926</v>
      </c>
      <c r="P7" s="53"/>
      <c r="Q7" s="53">
        <f>INDEX(Data!$A$2:$X$100,MATCH('Factbook (remake alternative)'!$A7,Data!$A$2:$A$100,0),9)</f>
        <v>53285</v>
      </c>
      <c r="R7" s="53"/>
      <c r="S7" s="53">
        <f>INDEX(Data!$A$2:$X$100,MATCH('Factbook (remake alternative)'!$A7,Data!$A$2:$A$100,0),10)</f>
        <v>52279</v>
      </c>
      <c r="T7" s="53"/>
      <c r="U7" s="53">
        <f>INDEX(Data!$A$2:$X$100,MATCH('Factbook (remake alternative)'!$A7,Data!$A$2:$A$100,0),11)</f>
        <v>49472.62</v>
      </c>
      <c r="V7" s="53"/>
      <c r="W7" s="53">
        <f>INDEX(Data!$A$2:$X$100,MATCH('Factbook (remake alternative)'!$A7,Data!$A$2:$A$100,0),12)</f>
        <v>55202</v>
      </c>
      <c r="X7" s="39"/>
      <c r="Y7" s="40"/>
    </row>
    <row r="8" spans="1:25" x14ac:dyDescent="0.2">
      <c r="A8" s="62">
        <f>LARGE(Data!$A$2:$A$100,8)</f>
        <v>2011</v>
      </c>
      <c r="B8" s="62"/>
      <c r="C8" s="53">
        <f>INDEX(Data!$A$2:$X$100,MATCH('Factbook (remake alternative)'!$A8,Data!$A$2:$A$100,0),2)</f>
        <v>28000</v>
      </c>
      <c r="D8" s="53"/>
      <c r="E8" s="53">
        <f>INDEX(Data!$A$2:$X$100,MATCH('Factbook (remake alternative)'!$A8,Data!$A$2:$A$100,0),3)</f>
        <v>39916</v>
      </c>
      <c r="F8" s="53"/>
      <c r="G8" s="53">
        <f>INDEX(Data!$A$2:$X$100,MATCH('Factbook (remake alternative)'!$A8,Data!$A$2:$A$100,0),4)</f>
        <v>42293</v>
      </c>
      <c r="H8" s="53"/>
      <c r="I8" s="53">
        <f>INDEX(Data!$A$2:$X$100,MATCH('Factbook (remake alternative)'!$A8,Data!$A$2:$A$100,0),5)</f>
        <v>44121</v>
      </c>
      <c r="J8" s="53"/>
      <c r="K8" s="53">
        <f>INDEX(Data!$A$2:$X$100,MATCH('Factbook (remake alternative)'!$A8,Data!$A$2:$A$100,0),6)</f>
        <v>46521</v>
      </c>
      <c r="L8" s="53"/>
      <c r="M8" s="53">
        <f>INDEX(Data!$A$2:$X$100,MATCH('Factbook (remake alternative)'!$A8,Data!$A$2:$A$100,0),7)</f>
        <v>49362</v>
      </c>
      <c r="N8" s="53"/>
      <c r="O8" s="53">
        <f>INDEX(Data!$A$2:$X$100,MATCH('Factbook (remake alternative)'!$A8,Data!$A$2:$A$100,0),8)</f>
        <v>52527</v>
      </c>
      <c r="P8" s="53"/>
      <c r="Q8" s="53">
        <f>INDEX(Data!$A$2:$X$100,MATCH('Factbook (remake alternative)'!$A8,Data!$A$2:$A$100,0),9)</f>
        <v>53441</v>
      </c>
      <c r="R8" s="53"/>
      <c r="S8" s="53">
        <f>INDEX(Data!$A$2:$X$100,MATCH('Factbook (remake alternative)'!$A8,Data!$A$2:$A$100,0),10)</f>
        <v>53880</v>
      </c>
      <c r="T8" s="53"/>
      <c r="U8" s="53">
        <f>INDEX(Data!$A$2:$X$100,MATCH('Factbook (remake alternative)'!$A8,Data!$A$2:$A$100,0),11)</f>
        <v>49794</v>
      </c>
      <c r="V8" s="53"/>
      <c r="W8" s="53">
        <f>INDEX(Data!$A$2:$X$100,MATCH('Factbook (remake alternative)'!$A8,Data!$A$2:$A$100,0),12)</f>
        <v>55623</v>
      </c>
      <c r="X8" s="39"/>
      <c r="Y8" s="40"/>
    </row>
    <row r="9" spans="1:25" x14ac:dyDescent="0.2">
      <c r="A9" s="62">
        <f>LARGE(Data!$A$2:$A$100,7)</f>
        <v>2012</v>
      </c>
      <c r="B9" s="62"/>
      <c r="C9" s="53">
        <f>INDEX(Data!$A$2:$X$100,MATCH('Factbook (remake alternative)'!$A9,Data!$A$2:$A$100,0),2)</f>
        <v>28000</v>
      </c>
      <c r="D9" s="53"/>
      <c r="E9" s="53">
        <f>INDEX(Data!$A$2:$X$100,MATCH('Factbook (remake alternative)'!$A9,Data!$A$2:$A$100,0),3)</f>
        <v>39977</v>
      </c>
      <c r="F9" s="53"/>
      <c r="G9" s="53">
        <f>INDEX(Data!$A$2:$X$100,MATCH('Factbook (remake alternative)'!$A9,Data!$A$2:$A$100,0),4)</f>
        <v>42583</v>
      </c>
      <c r="H9" s="53"/>
      <c r="I9" s="53">
        <f>INDEX(Data!$A$2:$X$100,MATCH('Factbook (remake alternative)'!$A9,Data!$A$2:$A$100,0),5)</f>
        <v>44470</v>
      </c>
      <c r="J9" s="53"/>
      <c r="K9" s="53">
        <f>INDEX(Data!$A$2:$X$100,MATCH('Factbook (remake alternative)'!$A9,Data!$A$2:$A$100,0),6)</f>
        <v>46828</v>
      </c>
      <c r="L9" s="53"/>
      <c r="M9" s="53">
        <f>INDEX(Data!$A$2:$X$100,MATCH('Factbook (remake alternative)'!$A9,Data!$A$2:$A$100,0),7)</f>
        <v>49830</v>
      </c>
      <c r="N9" s="53"/>
      <c r="O9" s="53">
        <f>INDEX(Data!$A$2:$X$100,MATCH('Factbook (remake alternative)'!$A9,Data!$A$2:$A$100,0),8)</f>
        <v>52653</v>
      </c>
      <c r="P9" s="53"/>
      <c r="Q9" s="53">
        <f>INDEX(Data!$A$2:$X$100,MATCH('Factbook (remake alternative)'!$A9,Data!$A$2:$A$100,0),9)</f>
        <v>53875</v>
      </c>
      <c r="R9" s="53"/>
      <c r="S9" s="53">
        <f>INDEX(Data!$A$2:$X$100,MATCH('Factbook (remake alternative)'!$A9,Data!$A$2:$A$100,0),10)</f>
        <v>54685</v>
      </c>
      <c r="T9" s="53"/>
      <c r="U9" s="53">
        <f>INDEX(Data!$A$2:$X$100,MATCH('Factbook (remake alternative)'!$A9,Data!$A$2:$A$100,0),11)</f>
        <v>50218</v>
      </c>
      <c r="V9" s="53"/>
      <c r="W9" s="53">
        <f>INDEX(Data!$A$2:$X$100,MATCH('Factbook (remake alternative)'!$A9,Data!$A$2:$A$100,0),12)</f>
        <v>55418</v>
      </c>
      <c r="X9" s="39"/>
      <c r="Y9" s="40"/>
    </row>
    <row r="10" spans="1:25" x14ac:dyDescent="0.2">
      <c r="A10" s="62">
        <f>LARGE(Data!$A$2:$A$100,6)</f>
        <v>2013</v>
      </c>
      <c r="B10" s="62"/>
      <c r="C10" s="53">
        <f>INDEX(Data!$A$2:$X$100,MATCH('Factbook (remake alternative)'!$A10,Data!$A$2:$A$100,0),2)</f>
        <v>28000</v>
      </c>
      <c r="D10" s="53"/>
      <c r="E10" s="53">
        <f>INDEX(Data!$A$2:$X$100,MATCH('Factbook (remake alternative)'!$A10,Data!$A$2:$A$100,0),3)</f>
        <v>40243</v>
      </c>
      <c r="F10" s="53"/>
      <c r="G10" s="53">
        <f>INDEX(Data!$A$2:$X$100,MATCH('Factbook (remake alternative)'!$A10,Data!$A$2:$A$100,0),4)</f>
        <v>42658</v>
      </c>
      <c r="H10" s="53"/>
      <c r="I10" s="53">
        <f>INDEX(Data!$A$2:$X$100,MATCH('Factbook (remake alternative)'!$A10,Data!$A$2:$A$100,0),5)</f>
        <v>45407</v>
      </c>
      <c r="J10" s="53"/>
      <c r="K10" s="53">
        <f>INDEX(Data!$A$2:$X$100,MATCH('Factbook (remake alternative)'!$A10,Data!$A$2:$A$100,0),6)</f>
        <v>47305</v>
      </c>
      <c r="L10" s="53"/>
      <c r="M10" s="53">
        <f>INDEX(Data!$A$2:$X$100,MATCH('Factbook (remake alternative)'!$A10,Data!$A$2:$A$100,0),7)</f>
        <v>50382</v>
      </c>
      <c r="N10" s="53"/>
      <c r="O10" s="53">
        <f>INDEX(Data!$A$2:$X$100,MATCH('Factbook (remake alternative)'!$A10,Data!$A$2:$A$100,0),8)</f>
        <v>53725</v>
      </c>
      <c r="P10" s="53"/>
      <c r="Q10" s="53">
        <f>INDEX(Data!$A$2:$X$100,MATCH('Factbook (remake alternative)'!$A10,Data!$A$2:$A$100,0),9)</f>
        <v>54465</v>
      </c>
      <c r="R10" s="53"/>
      <c r="S10" s="53">
        <f>INDEX(Data!$A$2:$X$100,MATCH('Factbook (remake alternative)'!$A10,Data!$A$2:$A$100,0),10)</f>
        <v>58480</v>
      </c>
      <c r="T10" s="53"/>
      <c r="U10" s="53">
        <f>INDEX(Data!$A$2:$X$100,MATCH('Factbook (remake alternative)'!$A10,Data!$A$2:$A$100,0),11)</f>
        <v>50914</v>
      </c>
      <c r="V10" s="53"/>
      <c r="W10" s="53">
        <f>INDEX(Data!$A$2:$X$100,MATCH('Factbook (remake alternative)'!$A10,Data!$A$2:$A$100,0),12)</f>
        <v>56103</v>
      </c>
      <c r="X10" s="39"/>
      <c r="Y10" s="40"/>
    </row>
    <row r="11" spans="1:25" x14ac:dyDescent="0.2">
      <c r="A11" s="62">
        <f>LARGE(Data!$A$2:$A$100,5)</f>
        <v>2014</v>
      </c>
      <c r="B11" s="62"/>
      <c r="C11" s="53">
        <f>INDEX(Data!$A$2:$X$100,MATCH('Factbook (remake alternative)'!$A11,Data!$A$2:$A$100,0),2)</f>
        <v>28000</v>
      </c>
      <c r="D11" s="53"/>
      <c r="E11" s="53">
        <f>INDEX(Data!$A$2:$X$100,MATCH('Factbook (remake alternative)'!$A11,Data!$A$2:$A$100,0),3)</f>
        <v>41082</v>
      </c>
      <c r="F11" s="53"/>
      <c r="G11" s="53">
        <f>INDEX(Data!$A$2:$X$100,MATCH('Factbook (remake alternative)'!$A11,Data!$A$2:$A$100,0),4)</f>
        <v>43197</v>
      </c>
      <c r="H11" s="53"/>
      <c r="I11" s="53">
        <f>INDEX(Data!$A$2:$X$100,MATCH('Factbook (remake alternative)'!$A11,Data!$A$2:$A$100,0),5)</f>
        <v>46112</v>
      </c>
      <c r="J11" s="53"/>
      <c r="K11" s="53">
        <f>INDEX(Data!$A$2:$X$100,MATCH('Factbook (remake alternative)'!$A11,Data!$A$2:$A$100,0),6)</f>
        <v>48281</v>
      </c>
      <c r="L11" s="53"/>
      <c r="M11" s="53">
        <f>INDEX(Data!$A$2:$X$100,MATCH('Factbook (remake alternative)'!$A11,Data!$A$2:$A$100,0),7)</f>
        <v>51290</v>
      </c>
      <c r="N11" s="53"/>
      <c r="O11" s="53">
        <f>INDEX(Data!$A$2:$X$100,MATCH('Factbook (remake alternative)'!$A11,Data!$A$2:$A$100,0),8)</f>
        <v>54985</v>
      </c>
      <c r="P11" s="53"/>
      <c r="Q11" s="53">
        <f>INDEX(Data!$A$2:$X$100,MATCH('Factbook (remake alternative)'!$A11,Data!$A$2:$A$100,0),9)</f>
        <v>55670</v>
      </c>
      <c r="R11" s="53"/>
      <c r="S11" s="53">
        <f>INDEX(Data!$A$2:$X$100,MATCH('Factbook (remake alternative)'!$A11,Data!$A$2:$A$100,0),10)</f>
        <v>59474</v>
      </c>
      <c r="T11" s="53"/>
      <c r="U11" s="53">
        <f>INDEX(Data!$A$2:$X$100,MATCH('Factbook (remake alternative)'!$A11,Data!$A$2:$A$100,0),11)</f>
        <v>52001</v>
      </c>
      <c r="V11" s="53"/>
      <c r="W11" s="53">
        <f>INDEX(Data!$A$2:$X$100,MATCH('Factbook (remake alternative)'!$A11,Data!$A$2:$A$100,0),12)</f>
        <v>56610</v>
      </c>
      <c r="X11" s="39"/>
      <c r="Y11" s="40"/>
    </row>
    <row r="12" spans="1:25" x14ac:dyDescent="0.2">
      <c r="A12" s="62">
        <f>LARGE(Data!$A$2:$A$100,4)</f>
        <v>2015</v>
      </c>
      <c r="B12" s="62"/>
      <c r="C12" s="53">
        <f>INDEX(Data!$A$2:$X$100,MATCH('Factbook (remake alternative)'!$A12,Data!$A$2:$A$100,0),2)</f>
        <v>28000</v>
      </c>
      <c r="D12" s="53"/>
      <c r="E12" s="53">
        <f>INDEX(Data!$A$2:$X$100,MATCH('Factbook (remake alternative)'!$A12,Data!$A$2:$A$100,0),3)</f>
        <v>42573.05</v>
      </c>
      <c r="F12" s="53"/>
      <c r="G12" s="53">
        <f>INDEX(Data!$A$2:$X$100,MATCH('Factbook (remake alternative)'!$A12,Data!$A$2:$A$100,0),4)</f>
        <v>43778.89</v>
      </c>
      <c r="H12" s="53"/>
      <c r="I12" s="53">
        <f>INDEX(Data!$A$2:$X$100,MATCH('Factbook (remake alternative)'!$A12,Data!$A$2:$A$100,0),5)</f>
        <v>47033.96</v>
      </c>
      <c r="J12" s="53"/>
      <c r="K12" s="53">
        <f>INDEX(Data!$A$2:$X$100,MATCH('Factbook (remake alternative)'!$A12,Data!$A$2:$A$100,0),6)</f>
        <v>49326.74</v>
      </c>
      <c r="L12" s="53"/>
      <c r="M12" s="53">
        <f>INDEX(Data!$A$2:$X$100,MATCH('Factbook (remake alternative)'!$A12,Data!$A$2:$A$100,0),7)</f>
        <v>52664.91</v>
      </c>
      <c r="N12" s="53"/>
      <c r="O12" s="53">
        <f>INDEX(Data!$A$2:$X$100,MATCH('Factbook (remake alternative)'!$A12,Data!$A$2:$A$100,0),8)</f>
        <v>56344.45</v>
      </c>
      <c r="P12" s="53"/>
      <c r="Q12" s="53">
        <f>INDEX(Data!$A$2:$X$100,MATCH('Factbook (remake alternative)'!$A12,Data!$A$2:$A$100,0),9)</f>
        <v>56916.59</v>
      </c>
      <c r="R12" s="53"/>
      <c r="S12" s="53">
        <f>INDEX(Data!$A$2:$X$100,MATCH('Factbook (remake alternative)'!$A12,Data!$A$2:$A$100,0),10)</f>
        <v>61237.86</v>
      </c>
      <c r="T12" s="53"/>
      <c r="U12" s="53">
        <f>INDEX(Data!$A$2:$X$100,MATCH('Factbook (remake alternative)'!$A12,Data!$A$2:$A$100,0),11)</f>
        <v>53267.81</v>
      </c>
      <c r="V12" s="53"/>
      <c r="W12" s="53">
        <f>INDEX(Data!$A$2:$X$100,MATCH('Factbook (remake alternative)'!$A12,Data!$A$2:$A$100,0),12)</f>
        <v>57420</v>
      </c>
      <c r="X12" s="39"/>
      <c r="Y12" s="40"/>
    </row>
    <row r="13" spans="1:25" x14ac:dyDescent="0.2">
      <c r="A13" s="62">
        <f>LARGE(Data!$A$2:$A$100,3)</f>
        <v>2016</v>
      </c>
      <c r="B13" s="62"/>
      <c r="C13" s="53">
        <f>INDEX(Data!$A$2:$X$100,MATCH('Factbook (remake alternative)'!$A13,Data!$A$2:$A$100,0),2)</f>
        <v>28000</v>
      </c>
      <c r="D13" s="53"/>
      <c r="E13" s="53">
        <f>INDEX(Data!$A$2:$X$100,MATCH('Factbook (remake alternative)'!$A13,Data!$A$2:$A$100,0),3)</f>
        <v>43031.199999999997</v>
      </c>
      <c r="F13" s="53"/>
      <c r="G13" s="53">
        <f>INDEX(Data!$A$2:$X$100,MATCH('Factbook (remake alternative)'!$A13,Data!$A$2:$A$100,0),4)</f>
        <v>44767.83</v>
      </c>
      <c r="H13" s="53"/>
      <c r="I13" s="53">
        <f>INDEX(Data!$A$2:$X$100,MATCH('Factbook (remake alternative)'!$A13,Data!$A$2:$A$100,0),5)</f>
        <v>48023.28</v>
      </c>
      <c r="J13" s="53"/>
      <c r="K13" s="53">
        <f>INDEX(Data!$A$2:$X$100,MATCH('Factbook (remake alternative)'!$A13,Data!$A$2:$A$100,0),6)</f>
        <v>49976.84</v>
      </c>
      <c r="L13" s="53"/>
      <c r="M13" s="53">
        <f>INDEX(Data!$A$2:$X$100,MATCH('Factbook (remake alternative)'!$A13,Data!$A$2:$A$100,0),7)</f>
        <v>53482.07</v>
      </c>
      <c r="N13" s="53"/>
      <c r="O13" s="53">
        <f>INDEX(Data!$A$2:$X$100,MATCH('Factbook (remake alternative)'!$A13,Data!$A$2:$A$100,0),8)</f>
        <v>57324.98</v>
      </c>
      <c r="P13" s="53"/>
      <c r="Q13" s="53">
        <f>INDEX(Data!$A$2:$X$100,MATCH('Factbook (remake alternative)'!$A13,Data!$A$2:$A$100,0),9)</f>
        <v>57605.2</v>
      </c>
      <c r="R13" s="53"/>
      <c r="S13" s="53">
        <f>INDEX(Data!$A$2:$X$100,MATCH('Factbook (remake alternative)'!$A13,Data!$A$2:$A$100,0),10)</f>
        <v>62838</v>
      </c>
      <c r="T13" s="53"/>
      <c r="U13" s="53">
        <f>INDEX(Data!$A$2:$X$100,MATCH('Factbook (remake alternative)'!$A13,Data!$A$2:$A$100,0),11)</f>
        <v>54144.36</v>
      </c>
      <c r="V13" s="53"/>
      <c r="W13" s="53">
        <f>INDEX(Data!$A$2:$X$100,MATCH('Factbook (remake alternative)'!$A13,Data!$A$2:$A$100,0),12)</f>
        <v>58353</v>
      </c>
      <c r="X13" s="39"/>
      <c r="Y13" s="40"/>
    </row>
    <row customHeight="1" ht="11.45" r="14" spans="1:25" x14ac:dyDescent="0.2">
      <c r="A14" s="62">
        <f>LARGE(Data!$A$2:$A$100,2)</f>
        <v>2017</v>
      </c>
      <c r="B14" s="62"/>
      <c r="C14" s="53">
        <f>INDEX(Data!$A$2:$X$100,MATCH('Factbook (remake alternative)'!$A14,Data!$A$2:$A$100,0),2)</f>
        <v>33500</v>
      </c>
      <c r="D14" s="53"/>
      <c r="E14" s="53">
        <f>INDEX(Data!$A$2:$X$100,MATCH('Factbook (remake alternative)'!$A14,Data!$A$2:$A$100,0),3)</f>
        <v>43774</v>
      </c>
      <c r="F14" s="53"/>
      <c r="G14" s="53">
        <f>INDEX(Data!$A$2:$X$100,MATCH('Factbook (remake alternative)'!$A14,Data!$A$2:$A$100,0),4)</f>
        <v>45430</v>
      </c>
      <c r="H14" s="53"/>
      <c r="I14" s="53">
        <f>INDEX(Data!$A$2:$X$100,MATCH('Factbook (remake alternative)'!$A14,Data!$A$2:$A$100,0),5)</f>
        <v>49011</v>
      </c>
      <c r="J14" s="53"/>
      <c r="K14" s="53">
        <f>INDEX(Data!$A$2:$X$100,MATCH('Factbook (remake alternative)'!$A14,Data!$A$2:$A$100,0),6)</f>
        <v>50576</v>
      </c>
      <c r="L14" s="53"/>
      <c r="M14" s="53">
        <f>INDEX(Data!$A$2:$X$100,MATCH('Factbook (remake alternative)'!$A14,Data!$A$2:$A$100,0),7)</f>
        <v>54838</v>
      </c>
      <c r="N14" s="53"/>
      <c r="O14" s="53">
        <f>INDEX(Data!$A$2:$X$100,MATCH('Factbook (remake alternative)'!$A14,Data!$A$2:$A$100,0),8)</f>
        <v>58260</v>
      </c>
      <c r="P14" s="53"/>
      <c r="Q14" s="53">
        <f>INDEX(Data!$A$2:$X$100,MATCH('Factbook (remake alternative)'!$A14,Data!$A$2:$A$100,0),9)</f>
        <v>59262</v>
      </c>
      <c r="R14" s="53"/>
      <c r="S14" s="53">
        <f>INDEX(Data!$A$2:$X$100,MATCH('Factbook (remake alternative)'!$A14,Data!$A$2:$A$100,0),10)</f>
        <v>65313</v>
      </c>
      <c r="T14" s="53"/>
      <c r="U14" s="53">
        <f>INDEX(Data!$A$2:$X$100,MATCH('Factbook (remake alternative)'!$A14,Data!$A$2:$A$100,0),11)</f>
        <v>55397</v>
      </c>
      <c r="V14" s="61"/>
      <c r="W14" s="53">
        <f>INDEX(Data!$A$2:$X$100,MATCH('Factbook (remake alternative)'!$A14,Data!$A$2:$A$100,0),12)</f>
        <v>59660</v>
      </c>
      <c r="X14" s="40"/>
      <c r="Y14" s="40"/>
    </row>
    <row customHeight="1" ht="11.45" r="15" spans="1:25" x14ac:dyDescent="0.2">
      <c r="A15" s="62">
        <f>LARGE(Data!$A$2:$A$100,1)</f>
        <v>2018</v>
      </c>
      <c r="B15" s="62"/>
      <c r="C15" s="53">
        <f>INDEX(Data!$A$2:$X$100,MATCH('Factbook (remake alternative)'!$A15,Data!$A$2:$A$100,0),2)</f>
        <v>33500</v>
      </c>
      <c r="D15" s="53"/>
      <c r="E15" s="53">
        <f>INDEX(Data!$A$2:$X$100,MATCH('Factbook (remake alternative)'!$A15,Data!$A$2:$A$100,0),3)</f>
        <v>43117</v>
      </c>
      <c r="F15" s="53"/>
      <c r="G15" s="53">
        <f>INDEX(Data!$A$2:$X$100,MATCH('Factbook (remake alternative)'!$A15,Data!$A$2:$A$100,0),4)</f>
        <v>44700</v>
      </c>
      <c r="H15" s="53"/>
      <c r="I15" s="53">
        <f>INDEX(Data!$A$2:$X$100,MATCH('Factbook (remake alternative)'!$A15,Data!$A$2:$A$100,0),5)</f>
        <v>48349</v>
      </c>
      <c r="J15" s="53"/>
      <c r="K15" s="53">
        <f>INDEX(Data!$A$2:$X$100,MATCH('Factbook (remake alternative)'!$A15,Data!$A$2:$A$100,0),6)</f>
        <v>49875</v>
      </c>
      <c r="L15" s="53"/>
      <c r="M15" s="53">
        <f>INDEX(Data!$A$2:$X$100,MATCH('Factbook (remake alternative)'!$A15,Data!$A$2:$A$100,0),7)</f>
        <v>53703</v>
      </c>
      <c r="N15" s="53"/>
      <c r="O15" s="53">
        <f>INDEX(Data!$A$2:$X$100,MATCH('Factbook (remake alternative)'!$A15,Data!$A$2:$A$100,0),8)</f>
        <v>57092</v>
      </c>
      <c r="P15" s="53"/>
      <c r="Q15" s="53">
        <f>INDEX(Data!$A$2:$X$100,MATCH('Factbook (remake alternative)'!$A15,Data!$A$2:$A$100,0),9)</f>
        <v>57605</v>
      </c>
      <c r="R15" s="53"/>
      <c r="S15" s="53">
        <f>INDEX(Data!$A$2:$X$100,MATCH('Factbook (remake alternative)'!$A15,Data!$A$2:$A$100,0),10)</f>
        <v>67060</v>
      </c>
      <c r="T15" s="53"/>
      <c r="U15" s="53">
        <f>INDEX(Data!$A$2:$X$100,MATCH('Factbook (remake alternative)'!$A15,Data!$A$2:$A$100,0),11)</f>
        <v>56978</v>
      </c>
      <c r="V15" s="61"/>
      <c r="W15" s="53">
        <f>INDEX(Data!$A$2:$X$100,MATCH('Factbook (remake alternative)'!$A15,Data!$A$2:$A$100,0),12)</f>
        <v>60483</v>
      </c>
      <c r="X15" s="40"/>
      <c r="Y15" s="40"/>
    </row>
    <row customHeight="1" ht="4.1500000000000004" r="16" spans="1:25" x14ac:dyDescent="0.2">
      <c r="A16" s="42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0"/>
      <c r="W16" s="39"/>
      <c r="X16" s="40"/>
      <c r="Y16" s="40"/>
    </row>
    <row customHeight="1" ht="10.15" r="17" spans="1:25" x14ac:dyDescent="0.2">
      <c r="A17" s="40" t="s">
        <v>78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x14ac:dyDescent="0.2">
      <c r="A18" s="40" t="s">
        <v>82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x14ac:dyDescent="0.2">
      <c r="A19" s="40" t="s">
        <v>79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x14ac:dyDescent="0.2">
      <c r="A20" s="40" t="s">
        <v>31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x14ac:dyDescent="0.2">
      <c r="A21" s="40" t="s">
        <v>12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customHeight="1" ht="5.45" r="23" spans="1: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customHeight="1" ht="19.149999999999999" r="24" spans="1:25" x14ac:dyDescent="0.25">
      <c r="A24" s="64" t="s">
        <v>93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</row>
    <row customHeight="1" hidden="1" ht="9" r="25" spans="1: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 t="s">
        <v>58</v>
      </c>
      <c r="T25" s="35"/>
      <c r="U25" s="35"/>
      <c r="V25" s="35"/>
      <c r="W25" s="35"/>
      <c r="X25" s="35"/>
      <c r="Y25" s="35" t="s">
        <v>58</v>
      </c>
    </row>
    <row customHeight="1" hidden="1" ht="11.45" r="26" spans="1:25" x14ac:dyDescent="0.2">
      <c r="A26" s="35"/>
      <c r="B26" s="35"/>
      <c r="C26" s="35"/>
      <c r="D26" s="35"/>
      <c r="E26" s="35"/>
      <c r="F26" s="35"/>
      <c r="G26" s="35" t="s">
        <v>58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4" t="s">
        <v>61</v>
      </c>
      <c r="T26" s="35"/>
      <c r="U26" s="35"/>
      <c r="V26" s="35"/>
      <c r="W26" s="35"/>
      <c r="X26" s="35"/>
      <c r="Y26" s="34" t="s">
        <v>59</v>
      </c>
    </row>
    <row customHeight="1" hidden="1" ht="11.45" r="27" spans="1:25" x14ac:dyDescent="0.2">
      <c r="A27" s="34" t="s">
        <v>13</v>
      </c>
      <c r="B27" s="34"/>
      <c r="C27" s="34"/>
      <c r="D27" s="34"/>
      <c r="E27" s="34"/>
      <c r="F27" s="34"/>
      <c r="G27" s="34" t="s">
        <v>59</v>
      </c>
      <c r="H27" s="34"/>
      <c r="I27" s="34"/>
      <c r="J27" s="34"/>
      <c r="K27" s="34" t="s">
        <v>19</v>
      </c>
      <c r="L27" s="34"/>
      <c r="M27" s="34" t="s">
        <v>58</v>
      </c>
      <c r="N27" s="34"/>
      <c r="O27" s="34"/>
      <c r="P27" s="34"/>
      <c r="Q27" s="34" t="s">
        <v>23</v>
      </c>
      <c r="R27" s="34"/>
      <c r="S27" s="34" t="s">
        <v>23</v>
      </c>
      <c r="T27" s="34"/>
      <c r="U27" s="34" t="s">
        <v>16</v>
      </c>
      <c r="V27" s="34"/>
      <c r="W27" s="34" t="s">
        <v>25</v>
      </c>
      <c r="X27" s="34"/>
      <c r="Y27" s="34" t="s">
        <v>27</v>
      </c>
    </row>
    <row customHeight="1" hidden="1" ht="11.45" r="28" spans="1:25" x14ac:dyDescent="0.2">
      <c r="A28" s="34" t="s">
        <v>14</v>
      </c>
      <c r="B28" s="34"/>
      <c r="C28" s="34" t="s">
        <v>16</v>
      </c>
      <c r="D28" s="34"/>
      <c r="E28" s="34" t="s">
        <v>22</v>
      </c>
      <c r="F28" s="34"/>
      <c r="G28" s="34" t="s">
        <v>23</v>
      </c>
      <c r="H28" s="34"/>
      <c r="I28" s="34"/>
      <c r="J28" s="34"/>
      <c r="K28" s="34" t="s">
        <v>20</v>
      </c>
      <c r="L28" s="34"/>
      <c r="M28" s="34" t="s">
        <v>23</v>
      </c>
      <c r="N28" s="34"/>
      <c r="O28" s="34"/>
      <c r="P28" s="34"/>
      <c r="Q28" s="34" t="s">
        <v>29</v>
      </c>
      <c r="R28" s="34"/>
      <c r="S28" s="34" t="s">
        <v>29</v>
      </c>
      <c r="T28" s="34"/>
      <c r="U28" s="34" t="s">
        <v>26</v>
      </c>
      <c r="V28" s="34"/>
      <c r="W28" s="34" t="s">
        <v>28</v>
      </c>
      <c r="X28" s="34"/>
      <c r="Y28" s="34" t="s">
        <v>60</v>
      </c>
    </row>
    <row customFormat="1" customHeight="1" hidden="1" ht="26.25" r="29" s="31" spans="1:25" x14ac:dyDescent="0.2">
      <c r="A29" s="43" t="s">
        <v>15</v>
      </c>
      <c r="B29" s="43"/>
      <c r="C29" s="43" t="s">
        <v>17</v>
      </c>
      <c r="D29" s="43"/>
      <c r="E29" s="43" t="s">
        <v>21</v>
      </c>
      <c r="F29" s="43"/>
      <c r="G29" s="43" t="s">
        <v>30</v>
      </c>
      <c r="H29" s="43"/>
      <c r="I29" s="43" t="s">
        <v>24</v>
      </c>
      <c r="J29" s="43"/>
      <c r="K29" s="43" t="s">
        <v>21</v>
      </c>
      <c r="L29" s="43"/>
      <c r="M29" s="43" t="s">
        <v>18</v>
      </c>
      <c r="N29" s="43"/>
      <c r="O29" s="43" t="s">
        <v>29</v>
      </c>
      <c r="P29" s="43"/>
      <c r="Q29" s="43" t="s">
        <v>21</v>
      </c>
      <c r="R29" s="43"/>
      <c r="S29" s="43" t="s">
        <v>21</v>
      </c>
      <c r="T29" s="43"/>
      <c r="U29" s="43" t="s">
        <v>25</v>
      </c>
      <c r="V29" s="43"/>
      <c r="W29" s="43" t="s">
        <v>21</v>
      </c>
      <c r="X29" s="43"/>
      <c r="Y29" s="43" t="s">
        <v>21</v>
      </c>
    </row>
    <row customFormat="1" customHeight="1" ht="12" r="30" s="31" spans="1:25" x14ac:dyDescent="0.2">
      <c r="A30" s="52"/>
      <c r="B30" s="52"/>
      <c r="C30" s="72" t="s">
        <v>17</v>
      </c>
      <c r="D30" s="72"/>
      <c r="E30" s="72"/>
      <c r="F30" s="72"/>
      <c r="G30" s="72"/>
      <c r="H30" s="72"/>
      <c r="I30" s="67" t="s">
        <v>24</v>
      </c>
      <c r="J30" s="67"/>
      <c r="K30" s="67"/>
      <c r="L30" s="67"/>
      <c r="M30" s="67"/>
      <c r="N30" s="52"/>
      <c r="O30" s="73" t="s">
        <v>89</v>
      </c>
      <c r="P30" s="73"/>
      <c r="Q30" s="73"/>
      <c r="R30" s="73"/>
      <c r="S30" s="73"/>
      <c r="T30" s="72"/>
      <c r="U30" s="67" t="s">
        <v>88</v>
      </c>
      <c r="V30" s="67"/>
      <c r="W30" s="67"/>
      <c r="X30" s="67"/>
      <c r="Y30" s="67"/>
    </row>
    <row ht="22.5" r="31" spans="1:25" x14ac:dyDescent="0.2">
      <c r="A31" s="77" t="s">
        <v>14</v>
      </c>
      <c r="B31" s="74"/>
      <c r="C31" s="75" t="s">
        <v>85</v>
      </c>
      <c r="D31" s="75"/>
      <c r="E31" s="75" t="s">
        <v>86</v>
      </c>
      <c r="F31" s="75"/>
      <c r="G31" s="75" t="s">
        <v>87</v>
      </c>
      <c r="H31" s="76"/>
      <c r="I31" s="77" t="s">
        <v>85</v>
      </c>
      <c r="J31" s="77"/>
      <c r="K31" s="77" t="s">
        <v>86</v>
      </c>
      <c r="L31" s="77"/>
      <c r="M31" s="77" t="s">
        <v>87</v>
      </c>
      <c r="N31" s="74"/>
      <c r="O31" s="75" t="s">
        <v>85</v>
      </c>
      <c r="P31" s="75"/>
      <c r="Q31" s="75" t="s">
        <v>86</v>
      </c>
      <c r="R31" s="75"/>
      <c r="S31" s="75" t="s">
        <v>87</v>
      </c>
      <c r="T31" s="76"/>
      <c r="U31" s="77" t="s">
        <v>85</v>
      </c>
      <c r="V31" s="77"/>
      <c r="W31" s="77" t="s">
        <v>86</v>
      </c>
      <c r="X31" s="77"/>
      <c r="Y31" s="77" t="s">
        <v>87</v>
      </c>
    </row>
    <row r="32" spans="1:25" x14ac:dyDescent="0.2">
      <c r="A32" s="62">
        <f>LARGE(Data!$A$2:$A$100,11)</f>
        <v>2008</v>
      </c>
      <c r="B32" s="62"/>
      <c r="C32" s="53">
        <f>INDEX(Data!$A$2:$X$100,MATCH('Factbook (remake alternative)'!$A32,Data!$A$2:$A$100,0),13)</f>
        <v>34823</v>
      </c>
      <c r="D32" s="53"/>
      <c r="E32" s="54">
        <f>INDEX(Data!$A$2:$X$100,MATCH('Factbook (remake alternative)'!$A32,Data!$A$2:$A$100,0),14)</f>
        <v>45463</v>
      </c>
      <c r="F32" s="53"/>
      <c r="G32" s="55">
        <f>INDEX(Data!$A$2:$X$100,MATCH('Factbook (remake alternative)'!$A32,Data!$A$2:$A$100,0),15)</f>
        <v>5.9200410046130081E-2</v>
      </c>
      <c r="H32" s="56"/>
      <c r="I32" s="57">
        <f>INDEX(Data!$A$2:$X$100,MATCH('Factbook (remake alternative)'!$A32,Data!$A$2:$A$100,0),16)</f>
        <v>1141</v>
      </c>
      <c r="J32" s="57"/>
      <c r="K32" s="58">
        <f>INDEX(Data!$A$2:$X$100,MATCH('Factbook (remake alternative)'!$A32,Data!$A$2:$A$100,0),17)</f>
        <v>80402.740000000005</v>
      </c>
      <c r="L32" s="57"/>
      <c r="M32" s="59">
        <f>INDEX(Data!$A$2:$X$100,MATCH('Factbook (remake alternative)'!$A32,Data!$A$2:$A$100,0),18)</f>
        <v>3.6811485210207717E-2</v>
      </c>
      <c r="N32" s="60"/>
      <c r="O32" s="53">
        <f>INDEX(Data!$A$2:$X$100,MATCH('Factbook (remake alternative)'!$A32,Data!$A$2:$A$100,0),19)</f>
        <v>322</v>
      </c>
      <c r="P32" s="53"/>
      <c r="Q32" s="54">
        <f>INDEX(Data!$A$2:$X$100,MATCH('Factbook (remake alternative)'!$A32,Data!$A$2:$A$100,0),20)</f>
        <v>105985.93</v>
      </c>
      <c r="R32" s="53"/>
      <c r="S32" s="55">
        <f>INDEX(Data!$A$2:$X$100,MATCH('Factbook (remake alternative)'!$A32,Data!$A$2:$A$100,0),21)</f>
        <v>4.0079994732178603E-2</v>
      </c>
      <c r="T32" s="56"/>
      <c r="U32" s="57">
        <f>INDEX(Data!$A$2:$X$100,MATCH('Factbook (remake alternative)'!$A32,Data!$A$2:$A$100,0),22)</f>
        <v>2317</v>
      </c>
      <c r="V32" s="57"/>
      <c r="W32" s="58">
        <f>INDEX(Data!$A$2:$X$100,MATCH('Factbook (remake alternative)'!$A32,Data!$A$2:$A$100,0),23)</f>
        <v>56615.83</v>
      </c>
      <c r="X32" s="57"/>
      <c r="Y32" s="59">
        <f>INDEX(Data!$A$2:$X$100,MATCH('Factbook (remake alternative)'!$A32,Data!$A$2:$A$100,0),24)</f>
        <v>6.6915933571205288E-2</v>
      </c>
    </row>
    <row r="33" spans="1:25" x14ac:dyDescent="0.2">
      <c r="A33" s="62">
        <f>LARGE(Data!$A$2:$A$100,10)</f>
        <v>2009</v>
      </c>
      <c r="B33" s="62"/>
      <c r="C33" s="53">
        <f>INDEX(Data!$A$2:$X$100,MATCH('Factbook (remake alternative)'!$A33,Data!$A$2:$A$100,0),13)</f>
        <v>34744</v>
      </c>
      <c r="D33" s="53"/>
      <c r="E33" s="53">
        <f>INDEX(Data!$A$2:$X$100,MATCH('Factbook (remake alternative)'!$A33,Data!$A$2:$A$100,0),14)</f>
        <v>48489.69</v>
      </c>
      <c r="F33" s="53"/>
      <c r="G33" s="55">
        <f>INDEX(Data!$A$2:$X$100,MATCH('Factbook (remake alternative)'!$A33,Data!$A$2:$A$100,0),15)</f>
        <v>6.6574797087741722E-2</v>
      </c>
      <c r="H33" s="56"/>
      <c r="I33" s="57">
        <f>INDEX(Data!$A$2:$X$100,MATCH('Factbook (remake alternative)'!$A33,Data!$A$2:$A$100,0),16)</f>
        <v>1158</v>
      </c>
      <c r="J33" s="57"/>
      <c r="K33" s="57">
        <f>INDEX(Data!$A$2:$X$100,MATCH('Factbook (remake alternative)'!$A33,Data!$A$2:$A$100,0),17)</f>
        <v>83328.89</v>
      </c>
      <c r="L33" s="57"/>
      <c r="M33" s="59">
        <f>INDEX(Data!$A$2:$X$100,MATCH('Factbook (remake alternative)'!$A33,Data!$A$2:$A$100,0),18)</f>
        <v>3.6393660216057278E-2</v>
      </c>
      <c r="N33" s="60"/>
      <c r="O33" s="53">
        <f>INDEX(Data!$A$2:$X$100,MATCH('Factbook (remake alternative)'!$A33,Data!$A$2:$A$100,0),19)</f>
        <v>319</v>
      </c>
      <c r="P33" s="53"/>
      <c r="Q33" s="53">
        <f>INDEX(Data!$A$2:$X$100,MATCH('Factbook (remake alternative)'!$A33,Data!$A$2:$A$100,0),20)</f>
        <v>111333.16</v>
      </c>
      <c r="R33" s="53"/>
      <c r="S33" s="55">
        <f>INDEX(Data!$A$2:$X$100,MATCH('Factbook (remake alternative)'!$A33,Data!$A$2:$A$100,0),21)</f>
        <v>5.0452262861683694E-2</v>
      </c>
      <c r="T33" s="56"/>
      <c r="U33" s="57">
        <f>INDEX(Data!$A$2:$X$100,MATCH('Factbook (remake alternative)'!$A33,Data!$A$2:$A$100,0),22)</f>
        <v>2334</v>
      </c>
      <c r="V33" s="57"/>
      <c r="W33" s="57">
        <f>INDEX(Data!$A$2:$X$100,MATCH('Factbook (remake alternative)'!$A33,Data!$A$2:$A$100,0),23)</f>
        <v>60905.120000000003</v>
      </c>
      <c r="X33" s="57"/>
      <c r="Y33" s="59">
        <f>INDEX(Data!$A$2:$X$100,MATCH('Factbook (remake alternative)'!$A33,Data!$A$2:$A$100,0),24)</f>
        <v>7.5761319758095969E-2</v>
      </c>
    </row>
    <row r="34" spans="1:25" x14ac:dyDescent="0.2">
      <c r="A34" s="62">
        <f>LARGE(Data!$A$2:$A$100,9)</f>
        <v>2010</v>
      </c>
      <c r="B34" s="62"/>
      <c r="C34" s="53">
        <f>INDEX(Data!$A$2:$X$100,MATCH('Factbook (remake alternative)'!$A34,Data!$A$2:$A$100,0),13)</f>
        <v>34643</v>
      </c>
      <c r="D34" s="61"/>
      <c r="E34" s="53">
        <f>INDEX(Data!$A$2:$X$100,MATCH('Factbook (remake alternative)'!$A34,Data!$A$2:$A$100,0),14)</f>
        <v>49472.62</v>
      </c>
      <c r="F34" s="53"/>
      <c r="G34" s="55">
        <f>INDEX(Data!$A$2:$X$100,MATCH('Factbook (remake alternative)'!$A34,Data!$A$2:$A$100,0),15)</f>
        <v>2.0270907073235644E-2</v>
      </c>
      <c r="H34" s="56"/>
      <c r="I34" s="57">
        <f>INDEX(Data!$A$2:$X$100,MATCH('Factbook (remake alternative)'!$A34,Data!$A$2:$A$100,0),16)</f>
        <v>1164</v>
      </c>
      <c r="J34" s="57"/>
      <c r="K34" s="57">
        <f>INDEX(Data!$A$2:$X$100,MATCH('Factbook (remake alternative)'!$A34,Data!$A$2:$A$100,0),17)</f>
        <v>85525.91</v>
      </c>
      <c r="L34" s="57"/>
      <c r="M34" s="59">
        <f>INDEX(Data!$A$2:$X$100,MATCH('Factbook (remake alternative)'!$A34,Data!$A$2:$A$100,0),18)</f>
        <v>2.6365645816234906E-2</v>
      </c>
      <c r="N34" s="60"/>
      <c r="O34" s="53">
        <f>INDEX(Data!$A$2:$X$100,MATCH('Factbook (remake alternative)'!$A34,Data!$A$2:$A$100,0),19)</f>
        <v>314</v>
      </c>
      <c r="P34" s="61"/>
      <c r="Q34" s="53">
        <f>INDEX(Data!$A$2:$X$100,MATCH('Factbook (remake alternative)'!$A34,Data!$A$2:$A$100,0),20)</f>
        <v>115053.53</v>
      </c>
      <c r="R34" s="53"/>
      <c r="S34" s="55">
        <f>INDEX(Data!$A$2:$X$100,MATCH('Factbook (remake alternative)'!$A34,Data!$A$2:$A$100,0),21)</f>
        <v>3.341654903175284E-2</v>
      </c>
      <c r="T34" s="56"/>
      <c r="U34" s="57">
        <f>INDEX(Data!$A$2:$X$100,MATCH('Factbook (remake alternative)'!$A34,Data!$A$2:$A$100,0),22)</f>
        <v>2373</v>
      </c>
      <c r="V34" s="57"/>
      <c r="W34" s="57">
        <f>INDEX(Data!$A$2:$X$100,MATCH('Factbook (remake alternative)'!$A34,Data!$A$2:$A$100,0),23)</f>
        <v>62115.56</v>
      </c>
      <c r="X34" s="57"/>
      <c r="Y34" s="59">
        <f>INDEX(Data!$A$2:$X$100,MATCH('Factbook (remake alternative)'!$A34,Data!$A$2:$A$100,0),24)</f>
        <v>1.9874191201002311E-2</v>
      </c>
    </row>
    <row r="35" spans="1:25" x14ac:dyDescent="0.2">
      <c r="A35" s="62">
        <f>LARGE(Data!$A$2:$A$100,8)</f>
        <v>2011</v>
      </c>
      <c r="B35" s="62"/>
      <c r="C35" s="53">
        <f>INDEX(Data!$A$2:$X$100,MATCH('Factbook (remake alternative)'!$A35,Data!$A$2:$A$100,0),13)</f>
        <v>33916</v>
      </c>
      <c r="D35" s="61"/>
      <c r="E35" s="53">
        <f>INDEX(Data!$A$2:$X$100,MATCH('Factbook (remake alternative)'!$A35,Data!$A$2:$A$100,0),14)</f>
        <v>49794</v>
      </c>
      <c r="F35" s="53"/>
      <c r="G35" s="55">
        <f>INDEX(Data!$A$2:$X$100,MATCH('Factbook (remake alternative)'!$A35,Data!$A$2:$A$100,0),15)</f>
        <v>0.02</v>
      </c>
      <c r="H35" s="56"/>
      <c r="I35" s="57">
        <f>INDEX(Data!$A$2:$X$100,MATCH('Factbook (remake alternative)'!$A35,Data!$A$2:$A$100,0),16)</f>
        <v>1173</v>
      </c>
      <c r="J35" s="57"/>
      <c r="K35" s="57">
        <f>INDEX(Data!$A$2:$X$100,MATCH('Factbook (remake alternative)'!$A35,Data!$A$2:$A$100,0),17)</f>
        <v>86410</v>
      </c>
      <c r="L35" s="57"/>
      <c r="M35" s="59">
        <f>INDEX(Data!$A$2:$X$100,MATCH('Factbook (remake alternative)'!$A35,Data!$A$2:$A$100,0),18)</f>
        <v>2.5999999999999999E-2</v>
      </c>
      <c r="N35" s="60"/>
      <c r="O35" s="53">
        <f>INDEX(Data!$A$2:$X$100,MATCH('Factbook (remake alternative)'!$A35,Data!$A$2:$A$100,0),19)</f>
        <v>301</v>
      </c>
      <c r="P35" s="61"/>
      <c r="Q35" s="53">
        <f>INDEX(Data!$A$2:$X$100,MATCH('Factbook (remake alternative)'!$A35,Data!$A$2:$A$100,0),20)</f>
        <v>117320</v>
      </c>
      <c r="R35" s="53"/>
      <c r="S35" s="55">
        <f>INDEX(Data!$A$2:$X$100,MATCH('Factbook (remake alternative)'!$A35,Data!$A$2:$A$100,0),21)</f>
        <v>3.3000000000000002E-2</v>
      </c>
      <c r="T35" s="56"/>
      <c r="U35" s="57">
        <f>INDEX(Data!$A$2:$X$100,MATCH('Factbook (remake alternative)'!$A35,Data!$A$2:$A$100,0),22)</f>
        <v>2353</v>
      </c>
      <c r="V35" s="57"/>
      <c r="W35" s="57">
        <f>INDEX(Data!$A$2:$X$100,MATCH('Factbook (remake alternative)'!$A35,Data!$A$2:$A$100,0),23)</f>
        <v>62564</v>
      </c>
      <c r="X35" s="57"/>
      <c r="Y35" s="59">
        <f>INDEX(Data!$A$2:$X$100,MATCH('Factbook (remake alternative)'!$A35,Data!$A$2:$A$100,0),24)</f>
        <v>7.0000000000000001E-3</v>
      </c>
    </row>
    <row r="36" spans="1:25" x14ac:dyDescent="0.2">
      <c r="A36" s="62">
        <f>LARGE(Data!$A$2:$A$100,7)</f>
        <v>2012</v>
      </c>
      <c r="B36" s="62"/>
      <c r="C36" s="53">
        <f>INDEX(Data!$A$2:$X$100,MATCH('Factbook (remake alternative)'!$A36,Data!$A$2:$A$100,0),13)</f>
        <v>33938</v>
      </c>
      <c r="D36" s="61"/>
      <c r="E36" s="53">
        <f>INDEX(Data!$A$2:$X$100,MATCH('Factbook (remake alternative)'!$A36,Data!$A$2:$A$100,0),14)</f>
        <v>50218</v>
      </c>
      <c r="F36" s="53"/>
      <c r="G36" s="55">
        <f>INDEX(Data!$A$2:$X$100,MATCH('Factbook (remake alternative)'!$A36,Data!$A$2:$A$100,0),15)</f>
        <v>8.9999999999999993E-3</v>
      </c>
      <c r="H36" s="56"/>
      <c r="I36" s="57">
        <f>INDEX(Data!$A$2:$X$100,MATCH('Factbook (remake alternative)'!$A36,Data!$A$2:$A$100,0),16)</f>
        <v>1158</v>
      </c>
      <c r="J36" s="57"/>
      <c r="K36" s="57">
        <f>INDEX(Data!$A$2:$X$100,MATCH('Factbook (remake alternative)'!$A36,Data!$A$2:$A$100,0),17)</f>
        <v>87952</v>
      </c>
      <c r="L36" s="57"/>
      <c r="M36" s="59">
        <f>INDEX(Data!$A$2:$X$100,MATCH('Factbook (remake alternative)'!$A36,Data!$A$2:$A$100,0),18)</f>
        <v>1.7999999999999999E-2</v>
      </c>
      <c r="N36" s="60"/>
      <c r="O36" s="53">
        <f>INDEX(Data!$A$2:$X$100,MATCH('Factbook (remake alternative)'!$A36,Data!$A$2:$A$100,0),19)</f>
        <v>301</v>
      </c>
      <c r="P36" s="61"/>
      <c r="Q36" s="53">
        <f>INDEX(Data!$A$2:$X$100,MATCH('Factbook (remake alternative)'!$A36,Data!$A$2:$A$100,0),20)</f>
        <v>120947</v>
      </c>
      <c r="R36" s="53"/>
      <c r="S36" s="55">
        <f>INDEX(Data!$A$2:$X$100,MATCH('Factbook (remake alternative)'!$A36,Data!$A$2:$A$100,0),21)</f>
        <v>3.1E-2</v>
      </c>
      <c r="T36" s="56"/>
      <c r="U36" s="57">
        <f>INDEX(Data!$A$2:$X$100,MATCH('Factbook (remake alternative)'!$A36,Data!$A$2:$A$100,0),22)</f>
        <v>2219</v>
      </c>
      <c r="V36" s="57"/>
      <c r="W36" s="57">
        <f>INDEX(Data!$A$2:$X$100,MATCH('Factbook (remake alternative)'!$A36,Data!$A$2:$A$100,0),23)</f>
        <v>63397</v>
      </c>
      <c r="X36" s="57"/>
      <c r="Y36" s="59">
        <f>INDEX(Data!$A$2:$X$100,MATCH('Factbook (remake alternative)'!$A36,Data!$A$2:$A$100,0),24)</f>
        <v>1.2999999999999999E-2</v>
      </c>
    </row>
    <row r="37" spans="1:25" x14ac:dyDescent="0.2">
      <c r="A37" s="62">
        <f>LARGE(Data!$A$2:$A$100,6)</f>
        <v>2013</v>
      </c>
      <c r="B37" s="62"/>
      <c r="C37" s="53">
        <f>INDEX(Data!$A$2:$X$100,MATCH('Factbook (remake alternative)'!$A37,Data!$A$2:$A$100,0),13)</f>
        <v>34226</v>
      </c>
      <c r="D37" s="61"/>
      <c r="E37" s="53">
        <f>INDEX(Data!$A$2:$X$100,MATCH('Factbook (remake alternative)'!$A37,Data!$A$2:$A$100,0),14)</f>
        <v>50914</v>
      </c>
      <c r="F37" s="53"/>
      <c r="G37" s="55">
        <f>INDEX(Data!$A$2:$X$100,MATCH('Factbook (remake alternative)'!$A37,Data!$A$2:$A$100,0),15)</f>
        <v>1.4E-2</v>
      </c>
      <c r="H37" s="56"/>
      <c r="I37" s="57">
        <f>INDEX(Data!$A$2:$X$100,MATCH('Factbook (remake alternative)'!$A37,Data!$A$2:$A$100,0),16)</f>
        <v>1155</v>
      </c>
      <c r="J37" s="57"/>
      <c r="K37" s="57">
        <f>INDEX(Data!$A$2:$X$100,MATCH('Factbook (remake alternative)'!$A37,Data!$A$2:$A$100,0),17)</f>
        <v>90306</v>
      </c>
      <c r="L37" s="57"/>
      <c r="M37" s="59">
        <f>INDEX(Data!$A$2:$X$100,MATCH('Factbook (remake alternative)'!$A37,Data!$A$2:$A$100,0),18)</f>
        <v>2.7E-2</v>
      </c>
      <c r="N37" s="60"/>
      <c r="O37" s="53">
        <f>INDEX(Data!$A$2:$X$100,MATCH('Factbook (remake alternative)'!$A37,Data!$A$2:$A$100,0),19)</f>
        <v>300</v>
      </c>
      <c r="P37" s="61"/>
      <c r="Q37" s="53">
        <f>INDEX(Data!$A$2:$X$100,MATCH('Factbook (remake alternative)'!$A37,Data!$A$2:$A$100,0),20)</f>
        <v>124743</v>
      </c>
      <c r="R37" s="53"/>
      <c r="S37" s="55">
        <f>INDEX(Data!$A$2:$X$100,MATCH('Factbook (remake alternative)'!$A37,Data!$A$2:$A$100,0),21)</f>
        <v>3.1E-2</v>
      </c>
      <c r="T37" s="56"/>
      <c r="U37" s="57">
        <f>INDEX(Data!$A$2:$X$100,MATCH('Factbook (remake alternative)'!$A37,Data!$A$2:$A$100,0),22)</f>
        <v>2158</v>
      </c>
      <c r="V37" s="57"/>
      <c r="W37" s="57">
        <f>INDEX(Data!$A$2:$X$100,MATCH('Factbook (remake alternative)'!$A37,Data!$A$2:$A$100,0),23)</f>
        <v>65397</v>
      </c>
      <c r="X37" s="57"/>
      <c r="Y37" s="59">
        <f>INDEX(Data!$A$2:$X$100,MATCH('Factbook (remake alternative)'!$A37,Data!$A$2:$A$100,0),24)</f>
        <v>3.2000000000000001E-2</v>
      </c>
    </row>
    <row customHeight="1" ht="11.45" r="38" spans="1:25" x14ac:dyDescent="0.2">
      <c r="A38" s="62">
        <f>LARGE(Data!$A$2:$A$100,5)</f>
        <v>2014</v>
      </c>
      <c r="B38" s="62"/>
      <c r="C38" s="53">
        <f>INDEX(Data!$A$2:$X$100,MATCH('Factbook (remake alternative)'!$A38,Data!$A$2:$A$100,0),13)</f>
        <v>34509</v>
      </c>
      <c r="D38" s="61"/>
      <c r="E38" s="53">
        <f>INDEX(Data!$A$2:$X$100,MATCH('Factbook (remake alternative)'!$A38,Data!$A$2:$A$100,0),14)</f>
        <v>52001</v>
      </c>
      <c r="F38" s="53"/>
      <c r="G38" s="55">
        <f>INDEX(Data!$A$2:$X$100,MATCH('Factbook (remake alternative)'!$A38,Data!$A$2:$A$100,0),15)</f>
        <v>2.1000000000000001E-2</v>
      </c>
      <c r="H38" s="56"/>
      <c r="I38" s="57">
        <f>INDEX(Data!$A$2:$X$100,MATCH('Factbook (remake alternative)'!$A38,Data!$A$2:$A$100,0),16)</f>
        <v>1149</v>
      </c>
      <c r="J38" s="57"/>
      <c r="K38" s="57">
        <f>INDEX(Data!$A$2:$X$100,MATCH('Factbook (remake alternative)'!$A38,Data!$A$2:$A$100,0),17)</f>
        <v>92585</v>
      </c>
      <c r="L38" s="57"/>
      <c r="M38" s="59">
        <f>INDEX(Data!$A$2:$X$100,MATCH('Factbook (remake alternative)'!$A38,Data!$A$2:$A$100,0),18)</f>
        <v>2.5000000000000001E-2</v>
      </c>
      <c r="N38" s="60"/>
      <c r="O38" s="53">
        <f>INDEX(Data!$A$2:$X$100,MATCH('Factbook (remake alternative)'!$A38,Data!$A$2:$A$100,0),19)</f>
        <v>289</v>
      </c>
      <c r="P38" s="61"/>
      <c r="Q38" s="53">
        <f>INDEX(Data!$A$2:$X$100,MATCH('Factbook (remake alternative)'!$A38,Data!$A$2:$A$100,0),20)</f>
        <v>130217</v>
      </c>
      <c r="R38" s="53"/>
      <c r="S38" s="55">
        <f>INDEX(Data!$A$2:$X$100,MATCH('Factbook (remake alternative)'!$A38,Data!$A$2:$A$100,0),21)</f>
        <v>4.3999999999999997E-2</v>
      </c>
      <c r="T38" s="56"/>
      <c r="U38" s="57">
        <f>INDEX(Data!$A$2:$X$100,MATCH('Factbook (remake alternative)'!$A38,Data!$A$2:$A$100,0),22)</f>
        <v>2189</v>
      </c>
      <c r="V38" s="57"/>
      <c r="W38" s="57">
        <f>INDEX(Data!$A$2:$X$100,MATCH('Factbook (remake alternative)'!$A38,Data!$A$2:$A$100,0),23)</f>
        <v>66990</v>
      </c>
      <c r="X38" s="57"/>
      <c r="Y38" s="59">
        <f>INDEX(Data!$A$2:$X$100,MATCH('Factbook (remake alternative)'!$A38,Data!$A$2:$A$100,0),24)</f>
        <v>2.4E-2</v>
      </c>
    </row>
    <row customHeight="1" ht="11.45" r="39" spans="1:25" x14ac:dyDescent="0.2">
      <c r="A39" s="62">
        <f>LARGE(Data!$A$2:$A$100,4)</f>
        <v>2015</v>
      </c>
      <c r="B39" s="62"/>
      <c r="C39" s="53">
        <f>INDEX(Data!$A$2:$X$100,MATCH('Factbook (remake alternative)'!$A39,Data!$A$2:$A$100,0),13)</f>
        <v>34737</v>
      </c>
      <c r="D39" s="61"/>
      <c r="E39" s="53">
        <f>INDEX(Data!$A$2:$X$100,MATCH('Factbook (remake alternative)'!$A39,Data!$A$2:$A$100,0),14)</f>
        <v>53268</v>
      </c>
      <c r="F39" s="53"/>
      <c r="G39" s="55">
        <f>INDEX(Data!$A$2:$X$100,MATCH('Factbook (remake alternative)'!$A39,Data!$A$2:$A$100,0),15)</f>
        <v>2.4364916059306553E-2</v>
      </c>
      <c r="H39" s="56"/>
      <c r="I39" s="57">
        <f>INDEX(Data!$A$2:$X$100,MATCH('Factbook (remake alternative)'!$A39,Data!$A$2:$A$100,0),16)</f>
        <v>1149</v>
      </c>
      <c r="J39" s="57"/>
      <c r="K39" s="57">
        <f>INDEX(Data!$A$2:$X$100,MATCH('Factbook (remake alternative)'!$A39,Data!$A$2:$A$100,0),17)</f>
        <v>96018</v>
      </c>
      <c r="L39" s="57"/>
      <c r="M39" s="59">
        <f>INDEX(Data!$A$2:$X$100,MATCH('Factbook (remake alternative)'!$A39,Data!$A$2:$A$100,0),18)</f>
        <v>3.707944051412216E-2</v>
      </c>
      <c r="N39" s="60"/>
      <c r="O39" s="53">
        <f>INDEX(Data!$A$2:$X$100,MATCH('Factbook (remake alternative)'!$A39,Data!$A$2:$A$100,0),19)</f>
        <v>285</v>
      </c>
      <c r="P39" s="61"/>
      <c r="Q39" s="53">
        <f>INDEX(Data!$A$2:$X$100,MATCH('Factbook (remake alternative)'!$A39,Data!$A$2:$A$100,0),20)</f>
        <v>136678</v>
      </c>
      <c r="R39" s="53"/>
      <c r="S39" s="55">
        <f>INDEX(Data!$A$2:$X$100,MATCH('Factbook (remake alternative)'!$A39,Data!$A$2:$A$100,0),21)</f>
        <v>4.9617177480666887E-2</v>
      </c>
      <c r="T39" s="56"/>
      <c r="U39" s="57">
        <f>INDEX(Data!$A$2:$X$100,MATCH('Factbook (remake alternative)'!$A39,Data!$A$2:$A$100,0),22)</f>
        <v>2231</v>
      </c>
      <c r="V39" s="57"/>
      <c r="W39" s="57">
        <f>INDEX(Data!$A$2:$X$100,MATCH('Factbook (remake alternative)'!$A39,Data!$A$2:$A$100,0),23)</f>
        <v>68911</v>
      </c>
      <c r="X39" s="57"/>
      <c r="Y39" s="59">
        <f>INDEX(Data!$A$2:$X$100,MATCH('Factbook (remake alternative)'!$A39,Data!$A$2:$A$100,0),24)</f>
        <v>2.8675921779370055E-2</v>
      </c>
    </row>
    <row customHeight="1" ht="11.45" r="40" spans="1:25" x14ac:dyDescent="0.2">
      <c r="A40" s="62">
        <f>LARGE(Data!$A$2:$A$100,3)</f>
        <v>2016</v>
      </c>
      <c r="B40" s="62"/>
      <c r="C40" s="53">
        <f>INDEX(Data!$A$2:$X$100,MATCH('Factbook (remake alternative)'!$A40,Data!$A$2:$A$100,0),13)</f>
        <v>34805</v>
      </c>
      <c r="D40" s="61"/>
      <c r="E40" s="53">
        <f>INDEX(Data!$A$2:$X$100,MATCH('Factbook (remake alternative)'!$A40,Data!$A$2:$A$100,0),14)</f>
        <v>54179</v>
      </c>
      <c r="F40" s="53"/>
      <c r="G40" s="55">
        <f>INDEX(Data!$A$2:$X$100,MATCH('Factbook (remake alternative)'!$A40,Data!$A$2:$A$100,0),15)</f>
        <v>1.7102200195239167E-2</v>
      </c>
      <c r="H40" s="56"/>
      <c r="I40" s="57">
        <f>INDEX(Data!$A$2:$X$100,MATCH('Factbook (remake alternative)'!$A40,Data!$A$2:$A$100,0),16)</f>
        <v>1140</v>
      </c>
      <c r="J40" s="57"/>
      <c r="K40" s="57">
        <f>INDEX(Data!$A$2:$X$100,MATCH('Factbook (remake alternative)'!$A40,Data!$A$2:$A$100,0),17)</f>
        <v>98882</v>
      </c>
      <c r="L40" s="57"/>
      <c r="M40" s="59">
        <f>INDEX(Data!$A$2:$X$100,MATCH('Factbook (remake alternative)'!$A40,Data!$A$2:$A$100,0),18)</f>
        <v>2.982774063196484E-2</v>
      </c>
      <c r="N40" s="60"/>
      <c r="O40" s="53">
        <f>INDEX(Data!$A$2:$X$100,MATCH('Factbook (remake alternative)'!$A40,Data!$A$2:$A$100,0),19)</f>
        <v>283</v>
      </c>
      <c r="P40" s="61"/>
      <c r="Q40" s="53">
        <f>INDEX(Data!$A$2:$X$100,MATCH('Factbook (remake alternative)'!$A40,Data!$A$2:$A$100,0),20)</f>
        <v>142127</v>
      </c>
      <c r="R40" s="53"/>
      <c r="S40" s="55">
        <f>INDEX(Data!$A$2:$X$100,MATCH('Factbook (remake alternative)'!$A40,Data!$A$2:$A$100,0),21)</f>
        <v>3.9867425628118645E-2</v>
      </c>
      <c r="T40" s="56"/>
      <c r="U40" s="57">
        <f>INDEX(Data!$A$2:$X$100,MATCH('Factbook (remake alternative)'!$A40,Data!$A$2:$A$100,0),22)</f>
        <v>2224</v>
      </c>
      <c r="V40" s="57"/>
      <c r="W40" s="57">
        <f>INDEX(Data!$A$2:$X$100,MATCH('Factbook (remake alternative)'!$A40,Data!$A$2:$A$100,0),23)</f>
        <v>70582.38</v>
      </c>
      <c r="X40" s="57"/>
      <c r="Y40" s="59">
        <f>INDEX(Data!$A$2:$X$100,MATCH('Factbook (remake alternative)'!$A40,Data!$A$2:$A$100,0),24)</f>
        <v>2.4254182931607502E-2</v>
      </c>
    </row>
    <row customHeight="1" ht="11.45" r="41" spans="1:25" x14ac:dyDescent="0.2">
      <c r="A41" s="62">
        <f>LARGE(Data!$A$2:$A$100,2)</f>
        <v>2017</v>
      </c>
      <c r="B41" s="62"/>
      <c r="C41" s="53">
        <f>INDEX(Data!$A$2:$X$100,MATCH('Factbook (remake alternative)'!$A41,Data!$A$2:$A$100,0),13)</f>
        <v>34551</v>
      </c>
      <c r="D41" s="61"/>
      <c r="E41" s="53">
        <f>INDEX(Data!$A$2:$X$100,MATCH('Factbook (remake alternative)'!$A41,Data!$A$2:$A$100,0),14)</f>
        <v>55397</v>
      </c>
      <c r="F41" s="53"/>
      <c r="G41" s="55">
        <f>INDEX(Data!$A$2:$X$100,MATCH('Factbook (remake alternative)'!$A41,Data!$A$2:$A$100,0),15)</f>
        <v>2.2481035087395487E-2</v>
      </c>
      <c r="H41" s="56"/>
      <c r="I41" s="57">
        <f>INDEX(Data!$A$2:$X$100,MATCH('Factbook (remake alternative)'!$A41,Data!$A$2:$A$100,0),16)</f>
        <v>1139</v>
      </c>
      <c r="J41" s="57"/>
      <c r="K41" s="57">
        <f>INDEX(Data!$A$2:$X$100,MATCH('Factbook (remake alternative)'!$A41,Data!$A$2:$A$100,0),17)</f>
        <v>102236</v>
      </c>
      <c r="L41" s="57"/>
      <c r="M41" s="59">
        <f>INDEX(Data!$A$2:$X$100,MATCH('Factbook (remake alternative)'!$A41,Data!$A$2:$A$100,0),18)</f>
        <v>3.3919216844319491E-2</v>
      </c>
      <c r="N41" s="60"/>
      <c r="O41" s="53">
        <f>INDEX(Data!$A$2:$X$100,MATCH('Factbook (remake alternative)'!$A41,Data!$A$2:$A$100,0),19)</f>
        <v>273</v>
      </c>
      <c r="P41" s="61"/>
      <c r="Q41" s="53">
        <f>INDEX(Data!$A$2:$X$100,MATCH('Factbook (remake alternative)'!$A41,Data!$A$2:$A$100,0),20)</f>
        <v>147825</v>
      </c>
      <c r="R41" s="53"/>
      <c r="S41" s="55">
        <f>INDEX(Data!$A$2:$X$100,MATCH('Factbook (remake alternative)'!$A41,Data!$A$2:$A$100,0),21)</f>
        <v>4.0090904613479493E-2</v>
      </c>
      <c r="T41" s="56"/>
      <c r="U41" s="57">
        <f>INDEX(Data!$A$2:$X$100,MATCH('Factbook (remake alternative)'!$A41,Data!$A$2:$A$100,0),22)</f>
        <v>2186</v>
      </c>
      <c r="V41" s="57"/>
      <c r="W41" s="57">
        <f>INDEX(Data!$A$2:$X$100,MATCH('Factbook (remake alternative)'!$A41,Data!$A$2:$A$100,0),23)</f>
        <v>72540</v>
      </c>
      <c r="X41" s="57"/>
      <c r="Y41" s="59">
        <f>INDEX(Data!$A$2:$X$100,MATCH('Factbook (remake alternative)'!$A41,Data!$A$2:$A$100,0),24)</f>
        <v>2.4254182931607502E-2</v>
      </c>
    </row>
    <row customFormat="1" customHeight="1" ht="11.45" r="42" s="7" spans="1:25" x14ac:dyDescent="0.2">
      <c r="A42" s="62">
        <f>LARGE(Data!$A$2:$A$100,1)</f>
        <v>2018</v>
      </c>
      <c r="B42" s="62"/>
      <c r="C42" s="53">
        <f>INDEX(Data!$A$2:$X$100,MATCH('Factbook (remake alternative)'!$A42,Data!$A$2:$A$100,0),13)</f>
        <v>36786</v>
      </c>
      <c r="D42" s="61"/>
      <c r="E42" s="53">
        <f>INDEX(Data!$A$2:$X$100,MATCH('Factbook (remake alternative)'!$A42,Data!$A$2:$A$100,0),14)</f>
        <v>56978</v>
      </c>
      <c r="F42" s="53"/>
      <c r="G42" s="55">
        <f>INDEX(Data!$A$2:$X$100,MATCH('Factbook (remake alternative)'!$A42,Data!$A$2:$A$100,0),15)</f>
        <v>2.8539451594851706E-2</v>
      </c>
      <c r="H42" s="56"/>
      <c r="I42" s="57">
        <f>INDEX(Data!$A$2:$X$100,MATCH('Factbook (remake alternative)'!$A42,Data!$A$2:$A$100,0),16)</f>
        <v>1133</v>
      </c>
      <c r="J42" s="57"/>
      <c r="K42" s="57">
        <f>INDEX(Data!$A$2:$X$100,MATCH('Factbook (remake alternative)'!$A42,Data!$A$2:$A$100,0),17)</f>
        <v>103668</v>
      </c>
      <c r="L42" s="57"/>
      <c r="M42" s="59">
        <f>INDEX(Data!$A$2:$X$100,MATCH('Factbook (remake alternative)'!$A42,Data!$A$2:$A$100,0),18)</f>
        <v>1.4006807778082084E-2</v>
      </c>
      <c r="N42" s="60"/>
      <c r="O42" s="53">
        <f>INDEX(Data!$A$2:$X$100,MATCH('Factbook (remake alternative)'!$A42,Data!$A$2:$A$100,0),19)</f>
        <v>270</v>
      </c>
      <c r="P42" s="61"/>
      <c r="Q42" s="53">
        <f>INDEX(Data!$A$2:$X$100,MATCH('Factbook (remake alternative)'!$A42,Data!$A$2:$A$100,0),20)</f>
        <v>151327</v>
      </c>
      <c r="R42" s="53"/>
      <c r="S42" s="55">
        <f>INDEX(Data!$A$2:$X$100,MATCH('Factbook (remake alternative)'!$A42,Data!$A$2:$A$100,0),21)</f>
        <v>2.3690174192457298E-2</v>
      </c>
      <c r="T42" s="56"/>
      <c r="U42" s="57">
        <f>INDEX(Data!$A$2:$X$100,MATCH('Factbook (remake alternative)'!$A42,Data!$A$2:$A$100,0),22)</f>
        <v>2217</v>
      </c>
      <c r="V42" s="57"/>
      <c r="W42" s="57">
        <f>INDEX(Data!$A$2:$X$100,MATCH('Factbook (remake alternative)'!$A42,Data!$A$2:$A$100,0),23)</f>
        <v>73326</v>
      </c>
      <c r="X42" s="57"/>
      <c r="Y42" s="59">
        <f>INDEX(Data!$A$2:$X$100,MATCH('Factbook (remake alternative)'!$A42,Data!$A$2:$A$100,0),24)</f>
        <v>1.0835401157981803E-2</v>
      </c>
    </row>
    <row customHeight="1" ht="4.3499999999999996" r="43" spans="1:25" x14ac:dyDescent="0.2">
      <c r="A43" s="3"/>
      <c r="B43" s="3"/>
      <c r="C43" s="1"/>
      <c r="E43" s="1"/>
      <c r="F43" s="1"/>
      <c r="G43" s="4"/>
      <c r="H43" s="4"/>
      <c r="I43" s="1"/>
      <c r="J43" s="1"/>
      <c r="K43" s="1"/>
      <c r="L43" s="1"/>
      <c r="M43" s="4"/>
      <c r="N43" s="4"/>
      <c r="O43" s="1"/>
      <c r="P43" s="1"/>
      <c r="Q43" s="1"/>
      <c r="R43" s="1"/>
      <c r="S43" s="4"/>
      <c r="T43" s="4"/>
      <c r="U43" s="1"/>
      <c r="V43" s="1"/>
      <c r="W43" s="1"/>
      <c r="X43" s="1"/>
      <c r="Y43" s="4"/>
    </row>
    <row r="44" spans="1:25" x14ac:dyDescent="0.2">
      <c r="A44" s="40" t="s">
        <v>11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customHeight="1" ht="1.1499999999999999" r="45" spans="1: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customHeight="1" ht="5.45" r="46" spans="1: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25" x14ac:dyDescent="0.2">
      <c r="A47" s="40" t="s">
        <v>78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25" x14ac:dyDescent="0.2">
      <c r="A48" s="70" t="s">
        <v>84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40"/>
    </row>
    <row customHeight="1" ht="11.45" r="49" spans="1:17" x14ac:dyDescent="0.2">
      <c r="A49" s="70" t="s">
        <v>83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40"/>
      <c r="O49" s="40"/>
      <c r="P49" s="40"/>
      <c r="Q49" s="40"/>
    </row>
    <row r="50" spans="1:17" x14ac:dyDescent="0.2">
      <c r="A50" s="71" t="s">
        <v>32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40"/>
      <c r="O50" s="40"/>
      <c r="P50" s="40"/>
      <c r="Q50" s="40"/>
    </row>
    <row customHeight="1" ht="1.9" r="51" spans="1:17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7" x14ac:dyDescent="0.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</sheetData>
  <mergeCells count="8">
    <mergeCell ref="A1:X1"/>
    <mergeCell ref="A2:X2"/>
    <mergeCell ref="A24:Y24"/>
    <mergeCell ref="A48:P48"/>
    <mergeCell ref="A49:M49"/>
    <mergeCell ref="I30:M30"/>
    <mergeCell ref="U30:Y30"/>
    <mergeCell ref="O30:S30"/>
  </mergeCells>
  <pageMargins bottom="1" footer="0.25" header="0.5" left="0.5" right="0.48" top="0.7"/>
  <pageSetup cellComments="atEnd" fitToHeight="0" fitToWidth="0" orientation="portrait" r:id="rId1"/>
  <headerFooter>
    <oddFooter><![CDATA[&L&8Sources: Iowa Department of Education, Basic Educational Data Survey (BEDS), 
National Education Association, LSA analysis and calculations
Iowa LSA Staff Contact:  Robin Madison (515.281.5270) &Urobin.madison@legis.iowa.gov&10&U
&C&G
&R&G]]></oddFooter>
  </headerFooter>
  <legacyDrawingHF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N72"/>
  <sheetViews>
    <sheetView showGridLines="0" tabSelected="1" workbookViewId="0" zoomScaleNormal="100">
      <selection activeCell="AD24" sqref="AD24"/>
    </sheetView>
  </sheetViews>
  <sheetFormatPr defaultRowHeight="12" x14ac:dyDescent="0.2"/>
  <cols>
    <col min="1" max="1" customWidth="true" width="6.85546875" collapsed="false"/>
    <col min="2" max="2" customWidth="true" width="0.42578125" collapsed="false"/>
    <col min="3" max="3" customWidth="true" width="8.28515625" collapsed="false"/>
    <col min="4" max="4" customWidth="true" width="0.42578125" collapsed="false"/>
    <col min="5" max="5" customWidth="true" width="8.28515625" collapsed="false"/>
    <col min="6" max="6" customWidth="true" width="0.42578125" collapsed="false"/>
    <col min="7" max="7" customWidth="true" width="7.7109375" collapsed="false"/>
    <col min="8" max="8" customWidth="true" width="0.42578125" collapsed="false"/>
    <col min="9" max="9" customWidth="true" width="7.7109375" collapsed="false"/>
    <col min="10" max="10" customWidth="true" width="0.42578125" collapsed="false"/>
    <col min="11" max="11" customWidth="true" width="8.28515625" collapsed="false"/>
    <col min="12" max="12" customWidth="true" width="0.42578125" collapsed="false"/>
    <col min="13" max="13" customWidth="true" width="7.7109375" collapsed="false"/>
    <col min="14" max="14" customWidth="true" width="0.42578125" collapsed="false"/>
    <col min="15" max="15" customWidth="true" width="7.7109375" collapsed="false"/>
    <col min="16" max="16" customWidth="true" width="0.42578125" collapsed="false"/>
    <col min="17" max="17" customWidth="true" width="8.28515625" collapsed="false"/>
    <col min="18" max="18" customWidth="true" width="0.42578125" collapsed="false"/>
    <col min="19" max="19" customWidth="true" width="7.7109375" collapsed="false"/>
    <col min="20" max="20" customWidth="true" width="0.42578125" collapsed="false"/>
    <col min="21" max="21" customWidth="true" width="7.7109375" collapsed="false"/>
    <col min="22" max="22" customWidth="true" width="0.42578125" collapsed="false"/>
    <col min="23" max="23" customWidth="true" width="7.7109375" collapsed="false"/>
    <col min="24" max="24" customWidth="true" width="0.42578125" collapsed="false"/>
    <col min="25" max="25" customWidth="true" width="7.7109375" collapsed="false"/>
  </cols>
  <sheetData>
    <row customHeight="1" ht="19.5" r="1" spans="1:32" x14ac:dyDescent="0.25">
      <c r="A1" s="65" t="s">
        <v>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ht="15.75" r="2" spans="1:32" x14ac:dyDescent="0.25">
      <c r="A2" s="64" t="s">
        <v>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customHeight="1" ht="5.45" r="3" spans="1:32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AB3" s="80" t="s">
        <v>108</v>
      </c>
      <c r="AC3" s="80"/>
      <c r="AD3" s="80"/>
      <c r="AE3" s="80"/>
      <c r="AF3" s="80"/>
    </row>
    <row customFormat="1" customHeight="1" ht="22.5" r="4" s="2" spans="1:32" x14ac:dyDescent="0.2">
      <c r="A4" s="50" t="s">
        <v>14</v>
      </c>
      <c r="B4" s="51"/>
      <c r="C4" s="50" t="s">
        <v>105</v>
      </c>
      <c r="D4" s="51"/>
      <c r="E4" s="50" t="s">
        <v>2</v>
      </c>
      <c r="F4" s="51"/>
      <c r="G4" s="50" t="s">
        <v>3</v>
      </c>
      <c r="H4" s="68"/>
      <c r="I4" s="50" t="s">
        <v>4</v>
      </c>
      <c r="J4" s="68"/>
      <c r="K4" s="50" t="s">
        <v>5</v>
      </c>
      <c r="L4" s="68"/>
      <c r="M4" s="50" t="s">
        <v>106</v>
      </c>
      <c r="N4" s="68"/>
      <c r="O4" s="50" t="s">
        <v>100</v>
      </c>
      <c r="P4" s="68"/>
      <c r="Q4" s="50" t="s">
        <v>8</v>
      </c>
      <c r="R4" s="68"/>
      <c r="S4" s="50" t="s">
        <v>9</v>
      </c>
      <c r="T4" s="68"/>
      <c r="U4" s="50" t="s">
        <v>36</v>
      </c>
      <c r="V4" s="68"/>
      <c r="W4" s="50" t="s">
        <v>33</v>
      </c>
      <c r="X4" s="35"/>
      <c r="Y4" s="34"/>
      <c r="AA4" s="2" t="s">
        <v>107</v>
      </c>
      <c r="AB4" s="80"/>
      <c r="AC4" s="80"/>
      <c r="AD4" s="80"/>
      <c r="AE4" s="80"/>
      <c r="AF4" s="80"/>
    </row>
    <row r="5" spans="1:32" x14ac:dyDescent="0.2">
      <c r="A5" s="62">
        <f>LARGE(Data!$A$2:$A$100,11)</f>
        <v>2008</v>
      </c>
      <c r="B5" s="62"/>
      <c r="C5" s="54">
        <f>INDEX(Data!$A$2:$X$100,MATCH(Factbook!$A5,Data!$A$2:$A$100,0),2)</f>
        <v>26500</v>
      </c>
      <c r="D5" s="53"/>
      <c r="E5" s="54">
        <f>INDEX(Data!$A$2:$X$100,MATCH(Factbook!$A5,Data!$A$2:$A$100,0),3)</f>
        <v>36357.82</v>
      </c>
      <c r="F5" s="53"/>
      <c r="G5" s="54">
        <f>INDEX(Data!$A$2:$X$100,MATCH(Factbook!$A5,Data!$A$2:$A$100,0),4)</f>
        <v>38259.26</v>
      </c>
      <c r="H5" s="53"/>
      <c r="I5" s="54">
        <f>INDEX(Data!$A$2:$X$100,MATCH(Factbook!$A5,Data!$A$2:$A$100,0),5)</f>
        <v>40132.519999999997</v>
      </c>
      <c r="J5" s="53"/>
      <c r="K5" s="54">
        <f>INDEX(Data!$A$2:$X$100,MATCH(Factbook!$A5,Data!$A$2:$A$100,0),6)</f>
        <v>42491.82</v>
      </c>
      <c r="L5" s="53"/>
      <c r="M5" s="54">
        <f>INDEX(Data!$A$2:$X$100,MATCH(Factbook!$A5,Data!$A$2:$A$100,0),7)</f>
        <v>45210.67</v>
      </c>
      <c r="N5" s="53"/>
      <c r="O5" s="54">
        <f>INDEX(Data!$A$2:$X$100,MATCH(Factbook!$A5,Data!$A$2:$A$100,0),8)</f>
        <v>47453.35</v>
      </c>
      <c r="P5" s="53"/>
      <c r="Q5" s="54">
        <f>INDEX(Data!$A$2:$X$100,MATCH(Factbook!$A5,Data!$A$2:$A$100,0),9)</f>
        <v>49112.6</v>
      </c>
      <c r="R5" s="53"/>
      <c r="S5" s="54">
        <f>INDEX(Data!$A$2:$X$100,MATCH(Factbook!$A5,Data!$A$2:$A$100,0),10)</f>
        <v>48806.74</v>
      </c>
      <c r="T5" s="53"/>
      <c r="U5" s="54">
        <f>INDEX(Data!$A$2:$X$100,MATCH(Factbook!$A5,Data!$A$2:$A$100,0),11)</f>
        <v>45463</v>
      </c>
      <c r="V5" s="53"/>
      <c r="W5" s="54">
        <f>INDEX(Data!$A$2:$X$100,MATCH(Factbook!$A5,Data!$A$2:$A$100,0),12)</f>
        <v>52308</v>
      </c>
      <c r="X5" s="39"/>
      <c r="Y5" s="40"/>
      <c r="AB5" t="s">
        <v>109</v>
      </c>
    </row>
    <row r="6" spans="1:32" x14ac:dyDescent="0.2">
      <c r="A6" s="62">
        <f>LARGE(Data!$A$2:$A$100,10)</f>
        <v>2009</v>
      </c>
      <c r="B6" s="62"/>
      <c r="C6" s="53">
        <f>INDEX(Data!$A$2:$X$100,MATCH(Factbook!$A6,Data!$A$2:$A$100,0),2)</f>
        <v>28000</v>
      </c>
      <c r="D6" s="53"/>
      <c r="E6" s="53">
        <f>INDEX(Data!$A$2:$X$100,MATCH(Factbook!$A6,Data!$A$2:$A$100,0),3)</f>
        <v>38715</v>
      </c>
      <c r="F6" s="53"/>
      <c r="G6" s="53">
        <f>INDEX(Data!$A$2:$X$100,MATCH(Factbook!$A6,Data!$A$2:$A$100,0),4)</f>
        <v>41486</v>
      </c>
      <c r="H6" s="53"/>
      <c r="I6" s="53">
        <f>INDEX(Data!$A$2:$X$100,MATCH(Factbook!$A6,Data!$A$2:$A$100,0),5)</f>
        <v>42863</v>
      </c>
      <c r="J6" s="53"/>
      <c r="K6" s="53">
        <f>INDEX(Data!$A$2:$X$100,MATCH(Factbook!$A6,Data!$A$2:$A$100,0),6)</f>
        <v>45792</v>
      </c>
      <c r="L6" s="53"/>
      <c r="M6" s="53">
        <f>INDEX(Data!$A$2:$X$100,MATCH(Factbook!$A6,Data!$A$2:$A$100,0),7)</f>
        <v>48121</v>
      </c>
      <c r="N6" s="53"/>
      <c r="O6" s="53">
        <f>INDEX(Data!$A$2:$X$100,MATCH(Factbook!$A6,Data!$A$2:$A$100,0),8)</f>
        <v>50689</v>
      </c>
      <c r="P6" s="53"/>
      <c r="Q6" s="53">
        <f>INDEX(Data!$A$2:$X$100,MATCH(Factbook!$A6,Data!$A$2:$A$100,0),9)</f>
        <v>52001</v>
      </c>
      <c r="R6" s="53"/>
      <c r="S6" s="53">
        <f>INDEX(Data!$A$2:$X$100,MATCH(Factbook!$A6,Data!$A$2:$A$100,0),10)</f>
        <v>52846</v>
      </c>
      <c r="T6" s="53"/>
      <c r="U6" s="53">
        <f>INDEX(Data!$A$2:$X$100,MATCH(Factbook!$A6,Data!$A$2:$A$100,0),11)</f>
        <v>48489.69</v>
      </c>
      <c r="V6" s="53"/>
      <c r="W6" s="53">
        <f>INDEX(Data!$A$2:$X$100,MATCH(Factbook!$A6,Data!$A$2:$A$100,0),12)</f>
        <v>54319</v>
      </c>
      <c r="X6" s="39"/>
      <c r="Y6" s="40"/>
      <c r="AB6" t="s">
        <v>110</v>
      </c>
    </row>
    <row r="7" spans="1:32" x14ac:dyDescent="0.2">
      <c r="A7" s="92">
        <f>LARGE(Data!$A$2:$A$100,9)</f>
        <v>2010</v>
      </c>
      <c r="B7" s="92"/>
      <c r="C7" s="93">
        <f>INDEX(Data!$A$2:$X$100,MATCH(Factbook!$A7,Data!$A$2:$A$100,0),2)</f>
        <v>28000</v>
      </c>
      <c r="D7" s="93"/>
      <c r="E7" s="93">
        <f>INDEX(Data!$A$2:$X$100,MATCH(Factbook!$A7,Data!$A$2:$A$100,0),3)</f>
        <v>39887</v>
      </c>
      <c r="F7" s="93"/>
      <c r="G7" s="93">
        <f>INDEX(Data!$A$2:$X$100,MATCH(Factbook!$A7,Data!$A$2:$A$100,0),4)</f>
        <v>42211</v>
      </c>
      <c r="H7" s="93"/>
      <c r="I7" s="93">
        <f>INDEX(Data!$A$2:$X$100,MATCH(Factbook!$A7,Data!$A$2:$A$100,0),5)</f>
        <v>43572</v>
      </c>
      <c r="J7" s="93"/>
      <c r="K7" s="93">
        <f>INDEX(Data!$A$2:$X$100,MATCH(Factbook!$A7,Data!$A$2:$A$100,0),6)</f>
        <v>46286</v>
      </c>
      <c r="L7" s="93"/>
      <c r="M7" s="93">
        <f>INDEX(Data!$A$2:$X$100,MATCH(Factbook!$A7,Data!$A$2:$A$100,0),7)</f>
        <v>49112</v>
      </c>
      <c r="N7" s="93"/>
      <c r="O7" s="93">
        <f>INDEX(Data!$A$2:$X$100,MATCH(Factbook!$A7,Data!$A$2:$A$100,0),8)</f>
        <v>51926</v>
      </c>
      <c r="P7" s="93"/>
      <c r="Q7" s="93">
        <f>INDEX(Data!$A$2:$X$100,MATCH(Factbook!$A7,Data!$A$2:$A$100,0),9)</f>
        <v>53285</v>
      </c>
      <c r="R7" s="93"/>
      <c r="S7" s="93">
        <f>INDEX(Data!$A$2:$X$100,MATCH(Factbook!$A7,Data!$A$2:$A$100,0),10)</f>
        <v>52279</v>
      </c>
      <c r="T7" s="93"/>
      <c r="U7" s="93">
        <f>INDEX(Data!$A$2:$X$100,MATCH(Factbook!$A7,Data!$A$2:$A$100,0),11)</f>
        <v>49472.62</v>
      </c>
      <c r="V7" s="93"/>
      <c r="W7" s="93">
        <f>INDEX(Data!$A$2:$X$100,MATCH(Factbook!$A7,Data!$A$2:$A$100,0),12)</f>
        <v>55202</v>
      </c>
      <c r="X7" s="39"/>
      <c r="Y7" s="40"/>
    </row>
    <row r="8" spans="1:32" x14ac:dyDescent="0.2">
      <c r="A8" s="62">
        <f>LARGE(Data!$A$2:$A$100,8)</f>
        <v>2011</v>
      </c>
      <c r="B8" s="62"/>
      <c r="C8" s="53">
        <f>INDEX(Data!$A$2:$X$100,MATCH(Factbook!$A8,Data!$A$2:$A$100,0),2)</f>
        <v>28000</v>
      </c>
      <c r="D8" s="53"/>
      <c r="E8" s="53">
        <f>INDEX(Data!$A$2:$X$100,MATCH(Factbook!$A8,Data!$A$2:$A$100,0),3)</f>
        <v>39916</v>
      </c>
      <c r="F8" s="53"/>
      <c r="G8" s="53">
        <f>INDEX(Data!$A$2:$X$100,MATCH(Factbook!$A8,Data!$A$2:$A$100,0),4)</f>
        <v>42293</v>
      </c>
      <c r="H8" s="53"/>
      <c r="I8" s="53">
        <f>INDEX(Data!$A$2:$X$100,MATCH(Factbook!$A8,Data!$A$2:$A$100,0),5)</f>
        <v>44121</v>
      </c>
      <c r="J8" s="53"/>
      <c r="K8" s="53">
        <f>INDEX(Data!$A$2:$X$100,MATCH(Factbook!$A8,Data!$A$2:$A$100,0),6)</f>
        <v>46521</v>
      </c>
      <c r="L8" s="53"/>
      <c r="M8" s="53">
        <f>INDEX(Data!$A$2:$X$100,MATCH(Factbook!$A8,Data!$A$2:$A$100,0),7)</f>
        <v>49362</v>
      </c>
      <c r="N8" s="53"/>
      <c r="O8" s="53">
        <f>INDEX(Data!$A$2:$X$100,MATCH(Factbook!$A8,Data!$A$2:$A$100,0),8)</f>
        <v>52527</v>
      </c>
      <c r="P8" s="53"/>
      <c r="Q8" s="53">
        <f>INDEX(Data!$A$2:$X$100,MATCH(Factbook!$A8,Data!$A$2:$A$100,0),9)</f>
        <v>53441</v>
      </c>
      <c r="R8" s="53"/>
      <c r="S8" s="53">
        <f>INDEX(Data!$A$2:$X$100,MATCH(Factbook!$A8,Data!$A$2:$A$100,0),10)</f>
        <v>53880</v>
      </c>
      <c r="T8" s="53"/>
      <c r="U8" s="53">
        <f>INDEX(Data!$A$2:$X$100,MATCH(Factbook!$A8,Data!$A$2:$A$100,0),11)</f>
        <v>49794</v>
      </c>
      <c r="V8" s="53"/>
      <c r="W8" s="53">
        <f>INDEX(Data!$A$2:$X$100,MATCH(Factbook!$A8,Data!$A$2:$A$100,0),12)</f>
        <v>55623</v>
      </c>
      <c r="X8" s="39"/>
      <c r="Y8" s="40"/>
    </row>
    <row r="9" spans="1:32" x14ac:dyDescent="0.2">
      <c r="A9" s="62">
        <f>LARGE(Data!$A$2:$A$100,7)</f>
        <v>2012</v>
      </c>
      <c r="B9" s="62"/>
      <c r="C9" s="53">
        <f>INDEX(Data!$A$2:$X$100,MATCH(Factbook!$A9,Data!$A$2:$A$100,0),2)</f>
        <v>28000</v>
      </c>
      <c r="D9" s="53"/>
      <c r="E9" s="53">
        <f>INDEX(Data!$A$2:$X$100,MATCH(Factbook!$A9,Data!$A$2:$A$100,0),3)</f>
        <v>39977</v>
      </c>
      <c r="F9" s="53"/>
      <c r="G9" s="53">
        <f>INDEX(Data!$A$2:$X$100,MATCH(Factbook!$A9,Data!$A$2:$A$100,0),4)</f>
        <v>42583</v>
      </c>
      <c r="H9" s="53"/>
      <c r="I9" s="53">
        <f>INDEX(Data!$A$2:$X$100,MATCH(Factbook!$A9,Data!$A$2:$A$100,0),5)</f>
        <v>44470</v>
      </c>
      <c r="J9" s="53"/>
      <c r="K9" s="53">
        <f>INDEX(Data!$A$2:$X$100,MATCH(Factbook!$A9,Data!$A$2:$A$100,0),6)</f>
        <v>46828</v>
      </c>
      <c r="L9" s="53"/>
      <c r="M9" s="53">
        <f>INDEX(Data!$A$2:$X$100,MATCH(Factbook!$A9,Data!$A$2:$A$100,0),7)</f>
        <v>49830</v>
      </c>
      <c r="N9" s="53"/>
      <c r="O9" s="53">
        <f>INDEX(Data!$A$2:$X$100,MATCH(Factbook!$A9,Data!$A$2:$A$100,0),8)</f>
        <v>52653</v>
      </c>
      <c r="P9" s="53"/>
      <c r="Q9" s="53">
        <f>INDEX(Data!$A$2:$X$100,MATCH(Factbook!$A9,Data!$A$2:$A$100,0),9)</f>
        <v>53875</v>
      </c>
      <c r="R9" s="53"/>
      <c r="S9" s="53">
        <f>INDEX(Data!$A$2:$X$100,MATCH(Factbook!$A9,Data!$A$2:$A$100,0),10)</f>
        <v>54685</v>
      </c>
      <c r="T9" s="53"/>
      <c r="U9" s="53">
        <f>INDEX(Data!$A$2:$X$100,MATCH(Factbook!$A9,Data!$A$2:$A$100,0),11)</f>
        <v>50218</v>
      </c>
      <c r="V9" s="53"/>
      <c r="W9" s="53">
        <f>INDEX(Data!$A$2:$X$100,MATCH(Factbook!$A9,Data!$A$2:$A$100,0),12)</f>
        <v>55418</v>
      </c>
      <c r="X9" s="39"/>
      <c r="Y9" s="40"/>
    </row>
    <row r="10" spans="1:32" x14ac:dyDescent="0.2">
      <c r="A10" s="92">
        <f>LARGE(Data!$A$2:$A$100,6)</f>
        <v>2013</v>
      </c>
      <c r="B10" s="92"/>
      <c r="C10" s="93">
        <f>INDEX(Data!$A$2:$X$100,MATCH(Factbook!$A10,Data!$A$2:$A$100,0),2)</f>
        <v>28000</v>
      </c>
      <c r="D10" s="93"/>
      <c r="E10" s="93">
        <f>INDEX(Data!$A$2:$X$100,MATCH(Factbook!$A10,Data!$A$2:$A$100,0),3)</f>
        <v>40243</v>
      </c>
      <c r="F10" s="93"/>
      <c r="G10" s="93">
        <f>INDEX(Data!$A$2:$X$100,MATCH(Factbook!$A10,Data!$A$2:$A$100,0),4)</f>
        <v>42658</v>
      </c>
      <c r="H10" s="93"/>
      <c r="I10" s="93">
        <f>INDEX(Data!$A$2:$X$100,MATCH(Factbook!$A10,Data!$A$2:$A$100,0),5)</f>
        <v>45407</v>
      </c>
      <c r="J10" s="93"/>
      <c r="K10" s="93">
        <f>INDEX(Data!$A$2:$X$100,MATCH(Factbook!$A10,Data!$A$2:$A$100,0),6)</f>
        <v>47305</v>
      </c>
      <c r="L10" s="93"/>
      <c r="M10" s="93">
        <f>INDEX(Data!$A$2:$X$100,MATCH(Factbook!$A10,Data!$A$2:$A$100,0),7)</f>
        <v>50382</v>
      </c>
      <c r="N10" s="93"/>
      <c r="O10" s="93">
        <f>INDEX(Data!$A$2:$X$100,MATCH(Factbook!$A10,Data!$A$2:$A$100,0),8)</f>
        <v>53725</v>
      </c>
      <c r="P10" s="93"/>
      <c r="Q10" s="93">
        <f>INDEX(Data!$A$2:$X$100,MATCH(Factbook!$A10,Data!$A$2:$A$100,0),9)</f>
        <v>54465</v>
      </c>
      <c r="R10" s="93"/>
      <c r="S10" s="93">
        <f>INDEX(Data!$A$2:$X$100,MATCH(Factbook!$A10,Data!$A$2:$A$100,0),10)</f>
        <v>58480</v>
      </c>
      <c r="T10" s="93"/>
      <c r="U10" s="93">
        <f>INDEX(Data!$A$2:$X$100,MATCH(Factbook!$A10,Data!$A$2:$A$100,0),11)</f>
        <v>50914</v>
      </c>
      <c r="V10" s="93"/>
      <c r="W10" s="93">
        <f>INDEX(Data!$A$2:$X$100,MATCH(Factbook!$A10,Data!$A$2:$A$100,0),12)</f>
        <v>56103</v>
      </c>
      <c r="X10" s="39"/>
      <c r="Y10" s="40"/>
    </row>
    <row r="11" spans="1:32" x14ac:dyDescent="0.2">
      <c r="A11" s="62">
        <f>LARGE(Data!$A$2:$A$100,5)</f>
        <v>2014</v>
      </c>
      <c r="B11" s="62"/>
      <c r="C11" s="53">
        <f>INDEX(Data!$A$2:$X$100,MATCH(Factbook!$A11,Data!$A$2:$A$100,0),2)</f>
        <v>28000</v>
      </c>
      <c r="D11" s="53"/>
      <c r="E11" s="53">
        <f>INDEX(Data!$A$2:$X$100,MATCH(Factbook!$A11,Data!$A$2:$A$100,0),3)</f>
        <v>41082</v>
      </c>
      <c r="F11" s="53"/>
      <c r="G11" s="53">
        <f>INDEX(Data!$A$2:$X$100,MATCH(Factbook!$A11,Data!$A$2:$A$100,0),4)</f>
        <v>43197</v>
      </c>
      <c r="H11" s="53"/>
      <c r="I11" s="53">
        <f>INDEX(Data!$A$2:$X$100,MATCH(Factbook!$A11,Data!$A$2:$A$100,0),5)</f>
        <v>46112</v>
      </c>
      <c r="J11" s="53"/>
      <c r="K11" s="53">
        <f>INDEX(Data!$A$2:$X$100,MATCH(Factbook!$A11,Data!$A$2:$A$100,0),6)</f>
        <v>48281</v>
      </c>
      <c r="L11" s="53"/>
      <c r="M11" s="53">
        <f>INDEX(Data!$A$2:$X$100,MATCH(Factbook!$A11,Data!$A$2:$A$100,0),7)</f>
        <v>51290</v>
      </c>
      <c r="N11" s="53"/>
      <c r="O11" s="53">
        <f>INDEX(Data!$A$2:$X$100,MATCH(Factbook!$A11,Data!$A$2:$A$100,0),8)</f>
        <v>54985</v>
      </c>
      <c r="P11" s="53"/>
      <c r="Q11" s="53">
        <f>INDEX(Data!$A$2:$X$100,MATCH(Factbook!$A11,Data!$A$2:$A$100,0),9)</f>
        <v>55670</v>
      </c>
      <c r="R11" s="53"/>
      <c r="S11" s="53">
        <f>INDEX(Data!$A$2:$X$100,MATCH(Factbook!$A11,Data!$A$2:$A$100,0),10)</f>
        <v>59474</v>
      </c>
      <c r="T11" s="53"/>
      <c r="U11" s="53">
        <f>INDEX(Data!$A$2:$X$100,MATCH(Factbook!$A11,Data!$A$2:$A$100,0),11)</f>
        <v>52001</v>
      </c>
      <c r="V11" s="53"/>
      <c r="W11" s="53">
        <f>INDEX(Data!$A$2:$X$100,MATCH(Factbook!$A11,Data!$A$2:$A$100,0),12)</f>
        <v>56610</v>
      </c>
      <c r="X11" s="39"/>
      <c r="Y11" s="40"/>
    </row>
    <row r="12" spans="1:32" x14ac:dyDescent="0.2">
      <c r="A12" s="62">
        <f>LARGE(Data!$A$2:$A$100,4)</f>
        <v>2015</v>
      </c>
      <c r="B12" s="62"/>
      <c r="C12" s="53">
        <f>INDEX(Data!$A$2:$X$100,MATCH(Factbook!$A12,Data!$A$2:$A$100,0),2)</f>
        <v>28000</v>
      </c>
      <c r="D12" s="53"/>
      <c r="E12" s="53">
        <f>INDEX(Data!$A$2:$X$100,MATCH(Factbook!$A12,Data!$A$2:$A$100,0),3)</f>
        <v>42573.05</v>
      </c>
      <c r="F12" s="53"/>
      <c r="G12" s="53">
        <f>INDEX(Data!$A$2:$X$100,MATCH(Factbook!$A12,Data!$A$2:$A$100,0),4)</f>
        <v>43778.89</v>
      </c>
      <c r="H12" s="53"/>
      <c r="I12" s="53">
        <f>INDEX(Data!$A$2:$X$100,MATCH(Factbook!$A12,Data!$A$2:$A$100,0),5)</f>
        <v>47033.96</v>
      </c>
      <c r="J12" s="53"/>
      <c r="K12" s="53">
        <f>INDEX(Data!$A$2:$X$100,MATCH(Factbook!$A12,Data!$A$2:$A$100,0),6)</f>
        <v>49326.74</v>
      </c>
      <c r="L12" s="53"/>
      <c r="M12" s="53">
        <f>INDEX(Data!$A$2:$X$100,MATCH(Factbook!$A12,Data!$A$2:$A$100,0),7)</f>
        <v>52664.91</v>
      </c>
      <c r="N12" s="53"/>
      <c r="O12" s="53">
        <f>INDEX(Data!$A$2:$X$100,MATCH(Factbook!$A12,Data!$A$2:$A$100,0),8)</f>
        <v>56344.45</v>
      </c>
      <c r="P12" s="53"/>
      <c r="Q12" s="53">
        <f>INDEX(Data!$A$2:$X$100,MATCH(Factbook!$A12,Data!$A$2:$A$100,0),9)</f>
        <v>56916.59</v>
      </c>
      <c r="R12" s="53"/>
      <c r="S12" s="53">
        <f>INDEX(Data!$A$2:$X$100,MATCH(Factbook!$A12,Data!$A$2:$A$100,0),10)</f>
        <v>61237.86</v>
      </c>
      <c r="T12" s="53"/>
      <c r="U12" s="53">
        <f>INDEX(Data!$A$2:$X$100,MATCH(Factbook!$A12,Data!$A$2:$A$100,0),11)</f>
        <v>53267.81</v>
      </c>
      <c r="V12" s="53"/>
      <c r="W12" s="53">
        <f>INDEX(Data!$A$2:$X$100,MATCH(Factbook!$A12,Data!$A$2:$A$100,0),12)</f>
        <v>57420</v>
      </c>
      <c r="X12" s="39"/>
      <c r="Y12" s="40"/>
    </row>
    <row r="13" spans="1:32" x14ac:dyDescent="0.2">
      <c r="A13" s="92">
        <f>LARGE(Data!$A$2:$A$100,3)</f>
        <v>2016</v>
      </c>
      <c r="B13" s="92"/>
      <c r="C13" s="93">
        <f>INDEX(Data!$A$2:$X$100,MATCH(Factbook!$A13,Data!$A$2:$A$100,0),2)</f>
        <v>28000</v>
      </c>
      <c r="D13" s="93"/>
      <c r="E13" s="93">
        <f>INDEX(Data!$A$2:$X$100,MATCH(Factbook!$A13,Data!$A$2:$A$100,0),3)</f>
        <v>43031.199999999997</v>
      </c>
      <c r="F13" s="93"/>
      <c r="G13" s="93">
        <f>INDEX(Data!$A$2:$X$100,MATCH(Factbook!$A13,Data!$A$2:$A$100,0),4)</f>
        <v>44767.83</v>
      </c>
      <c r="H13" s="93"/>
      <c r="I13" s="93">
        <f>INDEX(Data!$A$2:$X$100,MATCH(Factbook!$A13,Data!$A$2:$A$100,0),5)</f>
        <v>48023.28</v>
      </c>
      <c r="J13" s="93"/>
      <c r="K13" s="93">
        <f>INDEX(Data!$A$2:$X$100,MATCH(Factbook!$A13,Data!$A$2:$A$100,0),6)</f>
        <v>49976.84</v>
      </c>
      <c r="L13" s="93"/>
      <c r="M13" s="93">
        <f>INDEX(Data!$A$2:$X$100,MATCH(Factbook!$A13,Data!$A$2:$A$100,0),7)</f>
        <v>53482.07</v>
      </c>
      <c r="N13" s="93"/>
      <c r="O13" s="93">
        <f>INDEX(Data!$A$2:$X$100,MATCH(Factbook!$A13,Data!$A$2:$A$100,0),8)</f>
        <v>57324.98</v>
      </c>
      <c r="P13" s="93"/>
      <c r="Q13" s="93">
        <f>INDEX(Data!$A$2:$X$100,MATCH(Factbook!$A13,Data!$A$2:$A$100,0),9)</f>
        <v>57605.2</v>
      </c>
      <c r="R13" s="93"/>
      <c r="S13" s="93">
        <f>INDEX(Data!$A$2:$X$100,MATCH(Factbook!$A13,Data!$A$2:$A$100,0),10)</f>
        <v>62838</v>
      </c>
      <c r="T13" s="93"/>
      <c r="U13" s="93">
        <f>INDEX(Data!$A$2:$X$100,MATCH(Factbook!$A13,Data!$A$2:$A$100,0),11)</f>
        <v>54144.36</v>
      </c>
      <c r="V13" s="93"/>
      <c r="W13" s="93">
        <f>INDEX(Data!$A$2:$X$100,MATCH(Factbook!$A13,Data!$A$2:$A$100,0),12)</f>
        <v>58353</v>
      </c>
      <c r="X13" s="39"/>
      <c r="Y13" s="40"/>
    </row>
    <row customHeight="1" ht="11.45" r="14" spans="1:32" x14ac:dyDescent="0.2">
      <c r="A14" s="62">
        <f>LARGE(Data!$A$2:$A$100,2)</f>
        <v>2017</v>
      </c>
      <c r="B14" s="62"/>
      <c r="C14" s="53">
        <f>INDEX(Data!$A$2:$X$100,MATCH(Factbook!$A14,Data!$A$2:$A$100,0),2)</f>
        <v>33500</v>
      </c>
      <c r="D14" s="53"/>
      <c r="E14" s="53">
        <f>INDEX(Data!$A$2:$X$100,MATCH(Factbook!$A14,Data!$A$2:$A$100,0),3)</f>
        <v>43774</v>
      </c>
      <c r="F14" s="53"/>
      <c r="G14" s="53">
        <f>INDEX(Data!$A$2:$X$100,MATCH(Factbook!$A14,Data!$A$2:$A$100,0),4)</f>
        <v>45430</v>
      </c>
      <c r="H14" s="53"/>
      <c r="I14" s="53">
        <f>INDEX(Data!$A$2:$X$100,MATCH(Factbook!$A14,Data!$A$2:$A$100,0),5)</f>
        <v>49011</v>
      </c>
      <c r="J14" s="53"/>
      <c r="K14" s="53">
        <f>INDEX(Data!$A$2:$X$100,MATCH(Factbook!$A14,Data!$A$2:$A$100,0),6)</f>
        <v>50576</v>
      </c>
      <c r="L14" s="53"/>
      <c r="M14" s="53">
        <f>INDEX(Data!$A$2:$X$100,MATCH(Factbook!$A14,Data!$A$2:$A$100,0),7)</f>
        <v>54838</v>
      </c>
      <c r="N14" s="53"/>
      <c r="O14" s="53">
        <f>INDEX(Data!$A$2:$X$100,MATCH(Factbook!$A14,Data!$A$2:$A$100,0),8)</f>
        <v>58260</v>
      </c>
      <c r="P14" s="53"/>
      <c r="Q14" s="53">
        <f>INDEX(Data!$A$2:$X$100,MATCH(Factbook!$A14,Data!$A$2:$A$100,0),9)</f>
        <v>59262</v>
      </c>
      <c r="R14" s="53"/>
      <c r="S14" s="53">
        <f>INDEX(Data!$A$2:$X$100,MATCH(Factbook!$A14,Data!$A$2:$A$100,0),10)</f>
        <v>65313</v>
      </c>
      <c r="T14" s="53"/>
      <c r="U14" s="53">
        <f>INDEX(Data!$A$2:$X$100,MATCH(Factbook!$A14,Data!$A$2:$A$100,0),11)</f>
        <v>55397</v>
      </c>
      <c r="V14" s="61"/>
      <c r="W14" s="53">
        <f>INDEX(Data!$A$2:$X$100,MATCH(Factbook!$A14,Data!$A$2:$A$100,0),12)</f>
        <v>59660</v>
      </c>
      <c r="X14" s="40"/>
      <c r="Y14" s="40"/>
    </row>
    <row customHeight="1" ht="11.45" r="15" spans="1:32" x14ac:dyDescent="0.2">
      <c r="A15" s="62">
        <f>LARGE(Data!$A$2:$A$100,1)</f>
        <v>2018</v>
      </c>
      <c r="B15" s="62"/>
      <c r="C15" s="53">
        <f>INDEX(Data!$A$2:$X$100,MATCH(Factbook!$A15,Data!$A$2:$A$100,0),2)</f>
        <v>33500</v>
      </c>
      <c r="D15" s="53"/>
      <c r="E15" s="53">
        <f>INDEX(Data!$A$2:$X$100,MATCH(Factbook!$A15,Data!$A$2:$A$100,0),3)</f>
        <v>43117</v>
      </c>
      <c r="F15" s="53"/>
      <c r="G15" s="53">
        <f>INDEX(Data!$A$2:$X$100,MATCH(Factbook!$A15,Data!$A$2:$A$100,0),4)</f>
        <v>44700</v>
      </c>
      <c r="H15" s="53"/>
      <c r="I15" s="53">
        <f>INDEX(Data!$A$2:$X$100,MATCH(Factbook!$A15,Data!$A$2:$A$100,0),5)</f>
        <v>48349</v>
      </c>
      <c r="J15" s="53"/>
      <c r="K15" s="53">
        <f>INDEX(Data!$A$2:$X$100,MATCH(Factbook!$A15,Data!$A$2:$A$100,0),6)</f>
        <v>49875</v>
      </c>
      <c r="L15" s="53"/>
      <c r="M15" s="53">
        <f>INDEX(Data!$A$2:$X$100,MATCH(Factbook!$A15,Data!$A$2:$A$100,0),7)</f>
        <v>53703</v>
      </c>
      <c r="N15" s="53"/>
      <c r="O15" s="53">
        <f>INDEX(Data!$A$2:$X$100,MATCH(Factbook!$A15,Data!$A$2:$A$100,0),8)</f>
        <v>57092</v>
      </c>
      <c r="P15" s="53"/>
      <c r="Q15" s="53">
        <f>INDEX(Data!$A$2:$X$100,MATCH(Factbook!$A15,Data!$A$2:$A$100,0),9)</f>
        <v>57605</v>
      </c>
      <c r="R15" s="53"/>
      <c r="S15" s="53">
        <f>INDEX(Data!$A$2:$X$100,MATCH(Factbook!$A15,Data!$A$2:$A$100,0),10)</f>
        <v>67060</v>
      </c>
      <c r="T15" s="53"/>
      <c r="U15" s="53">
        <f>INDEX(Data!$A$2:$X$100,MATCH(Factbook!$A15,Data!$A$2:$A$100,0),11)</f>
        <v>56978</v>
      </c>
      <c r="V15" s="61"/>
      <c r="W15" s="53">
        <f>INDEX(Data!$A$2:$X$100,MATCH(Factbook!$A15,Data!$A$2:$A$100,0),12)</f>
        <v>60483</v>
      </c>
      <c r="X15" s="40"/>
      <c r="Y15" s="40"/>
    </row>
    <row customHeight="1" ht="4.1500000000000004" r="16" spans="1:32" x14ac:dyDescent="0.2">
      <c r="A16" s="42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0"/>
      <c r="W16" s="39"/>
      <c r="X16" s="40"/>
      <c r="Y16" s="40"/>
    </row>
    <row customHeight="1" ht="10.15" r="17" spans="1:33" x14ac:dyDescent="0.2">
      <c r="A17" s="40" t="s">
        <v>78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33" x14ac:dyDescent="0.2">
      <c r="A18" s="40" t="s">
        <v>82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AG18" s="91"/>
    </row>
    <row r="19" spans="1:33" x14ac:dyDescent="0.2">
      <c r="A19" s="40" t="s">
        <v>79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AE19" s="91"/>
    </row>
    <row r="20" spans="1:33" x14ac:dyDescent="0.2">
      <c r="A20" s="40" t="s">
        <v>31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33" x14ac:dyDescent="0.2">
      <c r="A21" s="40" t="s">
        <v>12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33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customHeight="1" ht="5.45" r="23" spans="1:33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customHeight="1" ht="19.149999999999999" r="24" spans="1:33" x14ac:dyDescent="0.25">
      <c r="A24" s="64" t="s">
        <v>93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AD24" s="91"/>
    </row>
    <row customHeight="1" hidden="1" ht="9" r="25" spans="1:33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 t="s">
        <v>58</v>
      </c>
      <c r="T25" s="35"/>
      <c r="U25" s="35"/>
      <c r="V25" s="35"/>
      <c r="W25" s="35"/>
      <c r="X25" s="35"/>
      <c r="Y25" s="35" t="s">
        <v>58</v>
      </c>
    </row>
    <row customHeight="1" hidden="1" ht="11.45" r="26" spans="1:33" x14ac:dyDescent="0.2">
      <c r="A26" s="35"/>
      <c r="B26" s="35"/>
      <c r="C26" s="35"/>
      <c r="D26" s="35"/>
      <c r="E26" s="35"/>
      <c r="F26" s="35"/>
      <c r="G26" s="35" t="s">
        <v>58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4" t="s">
        <v>61</v>
      </c>
      <c r="T26" s="35"/>
      <c r="U26" s="35"/>
      <c r="V26" s="35"/>
      <c r="W26" s="35"/>
      <c r="X26" s="35"/>
      <c r="Y26" s="34" t="s">
        <v>59</v>
      </c>
    </row>
    <row customHeight="1" hidden="1" ht="11.45" r="27" spans="1:33" x14ac:dyDescent="0.2">
      <c r="A27" s="34" t="s">
        <v>13</v>
      </c>
      <c r="B27" s="34"/>
      <c r="C27" s="34"/>
      <c r="D27" s="34"/>
      <c r="E27" s="34"/>
      <c r="F27" s="34"/>
      <c r="G27" s="34" t="s">
        <v>59</v>
      </c>
      <c r="H27" s="34"/>
      <c r="I27" s="34"/>
      <c r="J27" s="34"/>
      <c r="K27" s="34" t="s">
        <v>19</v>
      </c>
      <c r="L27" s="34"/>
      <c r="M27" s="34" t="s">
        <v>58</v>
      </c>
      <c r="N27" s="34"/>
      <c r="O27" s="34"/>
      <c r="P27" s="34"/>
      <c r="Q27" s="34" t="s">
        <v>23</v>
      </c>
      <c r="R27" s="34"/>
      <c r="S27" s="34" t="s">
        <v>23</v>
      </c>
      <c r="T27" s="34"/>
      <c r="U27" s="34" t="s">
        <v>16</v>
      </c>
      <c r="V27" s="34"/>
      <c r="W27" s="34" t="s">
        <v>25</v>
      </c>
      <c r="X27" s="34"/>
      <c r="Y27" s="34" t="s">
        <v>27</v>
      </c>
    </row>
    <row customHeight="1" hidden="1" ht="11.45" r="28" spans="1:33" x14ac:dyDescent="0.2">
      <c r="A28" s="34" t="s">
        <v>14</v>
      </c>
      <c r="B28" s="34"/>
      <c r="C28" s="34" t="s">
        <v>16</v>
      </c>
      <c r="D28" s="34"/>
      <c r="E28" s="34" t="s">
        <v>22</v>
      </c>
      <c r="F28" s="34"/>
      <c r="G28" s="34" t="s">
        <v>23</v>
      </c>
      <c r="H28" s="34"/>
      <c r="I28" s="34"/>
      <c r="J28" s="34"/>
      <c r="K28" s="34" t="s">
        <v>20</v>
      </c>
      <c r="L28" s="34"/>
      <c r="M28" s="34" t="s">
        <v>23</v>
      </c>
      <c r="N28" s="34"/>
      <c r="O28" s="34"/>
      <c r="P28" s="34"/>
      <c r="Q28" s="34" t="s">
        <v>29</v>
      </c>
      <c r="R28" s="34"/>
      <c r="S28" s="34" t="s">
        <v>29</v>
      </c>
      <c r="T28" s="34"/>
      <c r="U28" s="34" t="s">
        <v>26</v>
      </c>
      <c r="V28" s="34"/>
      <c r="W28" s="34" t="s">
        <v>28</v>
      </c>
      <c r="X28" s="34"/>
      <c r="Y28" s="34" t="s">
        <v>60</v>
      </c>
    </row>
    <row customFormat="1" customHeight="1" hidden="1" ht="26.25" r="29" s="31" spans="1:33" x14ac:dyDescent="0.2">
      <c r="A29" s="43" t="s">
        <v>15</v>
      </c>
      <c r="B29" s="43"/>
      <c r="C29" s="43" t="s">
        <v>17</v>
      </c>
      <c r="D29" s="43"/>
      <c r="E29" s="43" t="s">
        <v>21</v>
      </c>
      <c r="F29" s="43"/>
      <c r="G29" s="43" t="s">
        <v>30</v>
      </c>
      <c r="H29" s="43"/>
      <c r="I29" s="43" t="s">
        <v>24</v>
      </c>
      <c r="J29" s="43"/>
      <c r="K29" s="43" t="s">
        <v>21</v>
      </c>
      <c r="L29" s="43"/>
      <c r="M29" s="43" t="s">
        <v>18</v>
      </c>
      <c r="N29" s="43"/>
      <c r="O29" s="43" t="s">
        <v>29</v>
      </c>
      <c r="P29" s="43"/>
      <c r="Q29" s="43" t="s">
        <v>21</v>
      </c>
      <c r="R29" s="43"/>
      <c r="S29" s="43" t="s">
        <v>21</v>
      </c>
      <c r="T29" s="43"/>
      <c r="U29" s="43" t="s">
        <v>25</v>
      </c>
      <c r="V29" s="43"/>
      <c r="W29" s="43" t="s">
        <v>21</v>
      </c>
      <c r="X29" s="43"/>
      <c r="Y29" s="43" t="s">
        <v>21</v>
      </c>
    </row>
    <row customFormat="1" customHeight="1" ht="12" r="30" s="31" spans="1:33" x14ac:dyDescent="0.2">
      <c r="A30" s="52"/>
      <c r="B30" s="52"/>
      <c r="C30" s="72" t="s">
        <v>17</v>
      </c>
      <c r="D30" s="72"/>
      <c r="E30" s="72"/>
      <c r="F30" s="72"/>
      <c r="G30" s="72"/>
      <c r="H30" s="72"/>
      <c r="I30" s="67" t="s">
        <v>24</v>
      </c>
      <c r="J30" s="67"/>
      <c r="K30" s="67"/>
      <c r="L30" s="67"/>
      <c r="M30" s="67"/>
      <c r="N30" s="52"/>
      <c r="O30" s="73" t="s">
        <v>89</v>
      </c>
      <c r="P30" s="73"/>
      <c r="Q30" s="73"/>
      <c r="R30" s="73"/>
      <c r="S30" s="73"/>
      <c r="T30" s="72"/>
      <c r="U30" s="67" t="s">
        <v>88</v>
      </c>
      <c r="V30" s="67"/>
      <c r="W30" s="67"/>
      <c r="X30" s="67"/>
      <c r="Y30" s="67"/>
    </row>
    <row ht="22.5" r="31" spans="1:33" x14ac:dyDescent="0.2">
      <c r="A31" s="77" t="s">
        <v>14</v>
      </c>
      <c r="B31" s="74"/>
      <c r="C31" s="75" t="s">
        <v>85</v>
      </c>
      <c r="D31" s="75"/>
      <c r="E31" s="75" t="s">
        <v>86</v>
      </c>
      <c r="F31" s="75"/>
      <c r="G31" s="75" t="s">
        <v>87</v>
      </c>
      <c r="H31" s="76"/>
      <c r="I31" s="77" t="s">
        <v>85</v>
      </c>
      <c r="J31" s="77"/>
      <c r="K31" s="77" t="s">
        <v>86</v>
      </c>
      <c r="L31" s="77"/>
      <c r="M31" s="77" t="s">
        <v>87</v>
      </c>
      <c r="N31" s="74"/>
      <c r="O31" s="75" t="s">
        <v>85</v>
      </c>
      <c r="P31" s="75"/>
      <c r="Q31" s="75" t="s">
        <v>86</v>
      </c>
      <c r="R31" s="75"/>
      <c r="S31" s="75" t="s">
        <v>87</v>
      </c>
      <c r="T31" s="76"/>
      <c r="U31" s="77" t="s">
        <v>85</v>
      </c>
      <c r="V31" s="77"/>
      <c r="W31" s="77" t="s">
        <v>86</v>
      </c>
      <c r="X31" s="77"/>
      <c r="Y31" s="77" t="s">
        <v>87</v>
      </c>
      <c r="AD31" s="81"/>
      <c r="AE31" s="82"/>
      <c r="AF31" s="83"/>
    </row>
    <row r="32" spans="1:33" x14ac:dyDescent="0.2">
      <c r="A32" s="62">
        <f>LARGE(Data!$A$2:$A$100,11)</f>
        <v>2008</v>
      </c>
      <c r="B32" s="62"/>
      <c r="C32" s="53">
        <f>INDEX(Data!$A$2:$X$100,MATCH(Factbook!$A32,Data!$A$2:$A$100,0),13)</f>
        <v>34823</v>
      </c>
      <c r="D32" s="53"/>
      <c r="E32" s="54">
        <f>INDEX(Data!$A$2:$X$100,MATCH(Factbook!$A32,Data!$A$2:$A$100,0),14)</f>
        <v>45463</v>
      </c>
      <c r="F32" s="53"/>
      <c r="G32" s="55">
        <f>INDEX(Data!$A$2:$X$100,MATCH(Factbook!$A32,Data!$A$2:$A$100,0),15)</f>
        <v>5.9200410046130081E-2</v>
      </c>
      <c r="H32" s="56"/>
      <c r="I32" s="57">
        <f>INDEX(Data!$A$2:$X$100,MATCH(Factbook!$A32,Data!$A$2:$A$100,0),16)</f>
        <v>1141</v>
      </c>
      <c r="J32" s="57"/>
      <c r="K32" s="58">
        <f>INDEX(Data!$A$2:$X$100,MATCH(Factbook!$A32,Data!$A$2:$A$100,0),17)</f>
        <v>80402.740000000005</v>
      </c>
      <c r="L32" s="57"/>
      <c r="M32" s="59">
        <f>INDEX(Data!$A$2:$X$100,MATCH(Factbook!$A32,Data!$A$2:$A$100,0),18)</f>
        <v>3.6811485210207717E-2</v>
      </c>
      <c r="N32" s="60"/>
      <c r="O32" s="53">
        <f>INDEX(Data!$A$2:$X$100,MATCH(Factbook!$A32,Data!$A$2:$A$100,0),19)</f>
        <v>322</v>
      </c>
      <c r="P32" s="53"/>
      <c r="Q32" s="54">
        <f>INDEX(Data!$A$2:$X$100,MATCH(Factbook!$A32,Data!$A$2:$A$100,0),20)</f>
        <v>105985.93</v>
      </c>
      <c r="R32" s="53"/>
      <c r="S32" s="55">
        <f>INDEX(Data!$A$2:$X$100,MATCH(Factbook!$A32,Data!$A$2:$A$100,0),21)</f>
        <v>4.0079994732178603E-2</v>
      </c>
      <c r="T32" s="56"/>
      <c r="U32" s="57">
        <f>INDEX(Data!$A$2:$X$100,MATCH(Factbook!$A32,Data!$A$2:$A$100,0),22)</f>
        <v>2317</v>
      </c>
      <c r="V32" s="57"/>
      <c r="W32" s="58">
        <f>INDEX(Data!$A$2:$X$100,MATCH(Factbook!$A32,Data!$A$2:$A$100,0),23)</f>
        <v>56615.83</v>
      </c>
      <c r="X32" s="57"/>
      <c r="Y32" s="59">
        <f>INDEX(Data!$A$2:$X$100,MATCH(Factbook!$A32,Data!$A$2:$A$100,0),24)</f>
        <v>6.6915933571205288E-2</v>
      </c>
    </row>
    <row r="33" spans="1:39" x14ac:dyDescent="0.2">
      <c r="A33" s="62">
        <f>LARGE(Data!$A$2:$A$100,10)</f>
        <v>2009</v>
      </c>
      <c r="B33" s="62"/>
      <c r="C33" s="53">
        <f>INDEX(Data!$A$2:$X$100,MATCH(Factbook!$A33,Data!$A$2:$A$100,0),13)</f>
        <v>34744</v>
      </c>
      <c r="D33" s="53"/>
      <c r="E33" s="53">
        <f>INDEX(Data!$A$2:$X$100,MATCH(Factbook!$A33,Data!$A$2:$A$100,0),14)</f>
        <v>48489.69</v>
      </c>
      <c r="F33" s="53"/>
      <c r="G33" s="55">
        <f>INDEX(Data!$A$2:$X$100,MATCH(Factbook!$A33,Data!$A$2:$A$100,0),15)</f>
        <v>6.6574797087741722E-2</v>
      </c>
      <c r="H33" s="56"/>
      <c r="I33" s="57">
        <f>INDEX(Data!$A$2:$X$100,MATCH(Factbook!$A33,Data!$A$2:$A$100,0),16)</f>
        <v>1158</v>
      </c>
      <c r="J33" s="57"/>
      <c r="K33" s="57">
        <f>INDEX(Data!$A$2:$X$100,MATCH(Factbook!$A33,Data!$A$2:$A$100,0),17)</f>
        <v>83328.89</v>
      </c>
      <c r="L33" s="57"/>
      <c r="M33" s="59">
        <f>INDEX(Data!$A$2:$X$100,MATCH(Factbook!$A33,Data!$A$2:$A$100,0),18)</f>
        <v>3.6393660216057278E-2</v>
      </c>
      <c r="N33" s="60"/>
      <c r="O33" s="53">
        <f>INDEX(Data!$A$2:$X$100,MATCH(Factbook!$A33,Data!$A$2:$A$100,0),19)</f>
        <v>319</v>
      </c>
      <c r="P33" s="53"/>
      <c r="Q33" s="53">
        <f>INDEX(Data!$A$2:$X$100,MATCH(Factbook!$A33,Data!$A$2:$A$100,0),20)</f>
        <v>111333.16</v>
      </c>
      <c r="R33" s="53"/>
      <c r="S33" s="55">
        <f>INDEX(Data!$A$2:$X$100,MATCH(Factbook!$A33,Data!$A$2:$A$100,0),21)</f>
        <v>5.0452262861683694E-2</v>
      </c>
      <c r="T33" s="56"/>
      <c r="U33" s="57">
        <f>INDEX(Data!$A$2:$X$100,MATCH(Factbook!$A33,Data!$A$2:$A$100,0),22)</f>
        <v>2334</v>
      </c>
      <c r="V33" s="57"/>
      <c r="W33" s="57">
        <f>INDEX(Data!$A$2:$X$100,MATCH(Factbook!$A33,Data!$A$2:$A$100,0),23)</f>
        <v>60905.120000000003</v>
      </c>
      <c r="X33" s="57"/>
      <c r="Y33" s="59">
        <f>INDEX(Data!$A$2:$X$100,MATCH(Factbook!$A33,Data!$A$2:$A$100,0),24)</f>
        <v>7.5761319758095969E-2</v>
      </c>
    </row>
    <row r="34" spans="1:39" x14ac:dyDescent="0.2">
      <c r="A34" s="94">
        <f>LARGE(Data!$A$2:$A$100,9)</f>
        <v>2010</v>
      </c>
      <c r="B34" s="94"/>
      <c r="C34" s="95">
        <f>INDEX(Data!$A$2:$X$100,MATCH(Factbook!$A34,Data!$A$2:$A$100,0),13)</f>
        <v>34643</v>
      </c>
      <c r="D34" s="95"/>
      <c r="E34" s="95">
        <f>INDEX(Data!$A$2:$X$100,MATCH(Factbook!$A34,Data!$A$2:$A$100,0),14)</f>
        <v>49472.62</v>
      </c>
      <c r="F34" s="95"/>
      <c r="G34" s="96">
        <f>INDEX(Data!$A$2:$X$100,MATCH(Factbook!$A34,Data!$A$2:$A$100,0),15)</f>
        <v>2.0270907073235644E-2</v>
      </c>
      <c r="H34" s="97"/>
      <c r="I34" s="98">
        <f>INDEX(Data!$A$2:$X$100,MATCH(Factbook!$A34,Data!$A$2:$A$100,0),16)</f>
        <v>1164</v>
      </c>
      <c r="J34" s="98"/>
      <c r="K34" s="98">
        <f>INDEX(Data!$A$2:$X$100,MATCH(Factbook!$A34,Data!$A$2:$A$100,0),17)</f>
        <v>85525.91</v>
      </c>
      <c r="L34" s="98"/>
      <c r="M34" s="99">
        <f>INDEX(Data!$A$2:$X$100,MATCH(Factbook!$A34,Data!$A$2:$A$100,0),18)</f>
        <v>2.6365645816234906E-2</v>
      </c>
      <c r="N34" s="100"/>
      <c r="O34" s="95">
        <f>INDEX(Data!$A$2:$X$100,MATCH(Factbook!$A34,Data!$A$2:$A$100,0),19)</f>
        <v>314</v>
      </c>
      <c r="P34" s="95"/>
      <c r="Q34" s="95">
        <f>INDEX(Data!$A$2:$X$100,MATCH(Factbook!$A34,Data!$A$2:$A$100,0),20)</f>
        <v>115053.53</v>
      </c>
      <c r="R34" s="95"/>
      <c r="S34" s="96">
        <f>INDEX(Data!$A$2:$X$100,MATCH(Factbook!$A34,Data!$A$2:$A$100,0),21)</f>
        <v>3.341654903175284E-2</v>
      </c>
      <c r="T34" s="97"/>
      <c r="U34" s="98">
        <f>INDEX(Data!$A$2:$X$100,MATCH(Factbook!$A34,Data!$A$2:$A$100,0),22)</f>
        <v>2373</v>
      </c>
      <c r="V34" s="98"/>
      <c r="W34" s="98">
        <f>INDEX(Data!$A$2:$X$100,MATCH(Factbook!$A34,Data!$A$2:$A$100,0),23)</f>
        <v>62115.56</v>
      </c>
      <c r="X34" s="98"/>
      <c r="Y34" s="99">
        <f>INDEX(Data!$A$2:$X$100,MATCH(Factbook!$A34,Data!$A$2:$A$100,0),24)</f>
        <v>1.9874191201002311E-2</v>
      </c>
    </row>
    <row r="35" spans="1:39" x14ac:dyDescent="0.2">
      <c r="A35" s="62">
        <f>LARGE(Data!$A$2:$A$100,8)</f>
        <v>2011</v>
      </c>
      <c r="B35" s="62"/>
      <c r="C35" s="53">
        <f>INDEX(Data!$A$2:$X$100,MATCH(Factbook!$A35,Data!$A$2:$A$100,0),13)</f>
        <v>33916</v>
      </c>
      <c r="D35" s="61"/>
      <c r="E35" s="53">
        <f>INDEX(Data!$A$2:$X$100,MATCH(Factbook!$A35,Data!$A$2:$A$100,0),14)</f>
        <v>49794</v>
      </c>
      <c r="F35" s="53"/>
      <c r="G35" s="55">
        <f>INDEX(Data!$A$2:$X$100,MATCH(Factbook!$A35,Data!$A$2:$A$100,0),15)</f>
        <v>0.02</v>
      </c>
      <c r="H35" s="56"/>
      <c r="I35" s="57">
        <f>INDEX(Data!$A$2:$X$100,MATCH(Factbook!$A35,Data!$A$2:$A$100,0),16)</f>
        <v>1173</v>
      </c>
      <c r="J35" s="57"/>
      <c r="K35" s="57">
        <f>INDEX(Data!$A$2:$X$100,MATCH(Factbook!$A35,Data!$A$2:$A$100,0),17)</f>
        <v>86410</v>
      </c>
      <c r="L35" s="57"/>
      <c r="M35" s="59">
        <f>INDEX(Data!$A$2:$X$100,MATCH(Factbook!$A35,Data!$A$2:$A$100,0),18)</f>
        <v>2.5999999999999999E-2</v>
      </c>
      <c r="N35" s="60"/>
      <c r="O35" s="53">
        <f>INDEX(Data!$A$2:$X$100,MATCH(Factbook!$A35,Data!$A$2:$A$100,0),19)</f>
        <v>301</v>
      </c>
      <c r="P35" s="61"/>
      <c r="Q35" s="53">
        <f>INDEX(Data!$A$2:$X$100,MATCH(Factbook!$A35,Data!$A$2:$A$100,0),20)</f>
        <v>117320</v>
      </c>
      <c r="R35" s="53"/>
      <c r="S35" s="55">
        <f>INDEX(Data!$A$2:$X$100,MATCH(Factbook!$A35,Data!$A$2:$A$100,0),21)</f>
        <v>3.3000000000000002E-2</v>
      </c>
      <c r="T35" s="56"/>
      <c r="U35" s="57">
        <f>INDEX(Data!$A$2:$X$100,MATCH(Factbook!$A35,Data!$A$2:$A$100,0),22)</f>
        <v>2353</v>
      </c>
      <c r="V35" s="57"/>
      <c r="W35" s="57">
        <f>INDEX(Data!$A$2:$X$100,MATCH(Factbook!$A35,Data!$A$2:$A$100,0),23)</f>
        <v>62564</v>
      </c>
      <c r="X35" s="57"/>
      <c r="Y35" s="59">
        <f>INDEX(Data!$A$2:$X$100,MATCH(Factbook!$A35,Data!$A$2:$A$100,0),24)</f>
        <v>7.0000000000000001E-3</v>
      </c>
    </row>
    <row r="36" spans="1:39" x14ac:dyDescent="0.2">
      <c r="A36" s="62">
        <f>LARGE(Data!$A$2:$A$100,7)</f>
        <v>2012</v>
      </c>
      <c r="B36" s="62"/>
      <c r="C36" s="53">
        <f>INDEX(Data!$A$2:$X$100,MATCH(Factbook!$A36,Data!$A$2:$A$100,0),13)</f>
        <v>33938</v>
      </c>
      <c r="D36" s="61"/>
      <c r="E36" s="53">
        <f>INDEX(Data!$A$2:$X$100,MATCH(Factbook!$A36,Data!$A$2:$A$100,0),14)</f>
        <v>50218</v>
      </c>
      <c r="F36" s="53"/>
      <c r="G36" s="55">
        <f>INDEX(Data!$A$2:$X$100,MATCH(Factbook!$A36,Data!$A$2:$A$100,0),15)</f>
        <v>8.9999999999999993E-3</v>
      </c>
      <c r="H36" s="56"/>
      <c r="I36" s="57">
        <f>INDEX(Data!$A$2:$X$100,MATCH(Factbook!$A36,Data!$A$2:$A$100,0),16)</f>
        <v>1158</v>
      </c>
      <c r="J36" s="57"/>
      <c r="K36" s="57">
        <f>INDEX(Data!$A$2:$X$100,MATCH(Factbook!$A36,Data!$A$2:$A$100,0),17)</f>
        <v>87952</v>
      </c>
      <c r="L36" s="57"/>
      <c r="M36" s="59">
        <f>INDEX(Data!$A$2:$X$100,MATCH(Factbook!$A36,Data!$A$2:$A$100,0),18)</f>
        <v>1.7999999999999999E-2</v>
      </c>
      <c r="N36" s="60"/>
      <c r="O36" s="53">
        <f>INDEX(Data!$A$2:$X$100,MATCH(Factbook!$A36,Data!$A$2:$A$100,0),19)</f>
        <v>301</v>
      </c>
      <c r="P36" s="61"/>
      <c r="Q36" s="53">
        <f>INDEX(Data!$A$2:$X$100,MATCH(Factbook!$A36,Data!$A$2:$A$100,0),20)</f>
        <v>120947</v>
      </c>
      <c r="R36" s="53"/>
      <c r="S36" s="55">
        <f>INDEX(Data!$A$2:$X$100,MATCH(Factbook!$A36,Data!$A$2:$A$100,0),21)</f>
        <v>3.1E-2</v>
      </c>
      <c r="T36" s="56"/>
      <c r="U36" s="57">
        <f>INDEX(Data!$A$2:$X$100,MATCH(Factbook!$A36,Data!$A$2:$A$100,0),22)</f>
        <v>2219</v>
      </c>
      <c r="V36" s="57"/>
      <c r="W36" s="57">
        <f>INDEX(Data!$A$2:$X$100,MATCH(Factbook!$A36,Data!$A$2:$A$100,0),23)</f>
        <v>63397</v>
      </c>
      <c r="X36" s="57"/>
      <c r="Y36" s="59">
        <f>INDEX(Data!$A$2:$X$100,MATCH(Factbook!$A36,Data!$A$2:$A$100,0),24)</f>
        <v>1.2999999999999999E-2</v>
      </c>
      <c r="AD36" s="84"/>
      <c r="AE36" s="85"/>
      <c r="AF36" s="86"/>
      <c r="AG36" s="87"/>
      <c r="AH36" s="88"/>
      <c r="AI36" s="85"/>
      <c r="AJ36" s="89"/>
      <c r="AK36" s="87"/>
      <c r="AL36" s="86"/>
      <c r="AM36" s="90"/>
    </row>
    <row r="37" spans="1:39" x14ac:dyDescent="0.2">
      <c r="A37" s="94">
        <f>LARGE(Data!$A$2:$A$100,6)</f>
        <v>2013</v>
      </c>
      <c r="B37" s="94"/>
      <c r="C37" s="95">
        <f>INDEX(Data!$A$2:$X$100,MATCH(Factbook!$A37,Data!$A$2:$A$100,0),13)</f>
        <v>34226</v>
      </c>
      <c r="D37" s="95"/>
      <c r="E37" s="95">
        <f>INDEX(Data!$A$2:$X$100,MATCH(Factbook!$A37,Data!$A$2:$A$100,0),14)</f>
        <v>50914</v>
      </c>
      <c r="F37" s="95"/>
      <c r="G37" s="96">
        <f>INDEX(Data!$A$2:$X$100,MATCH(Factbook!$A37,Data!$A$2:$A$100,0),15)</f>
        <v>1.4E-2</v>
      </c>
      <c r="H37" s="97"/>
      <c r="I37" s="98">
        <f>INDEX(Data!$A$2:$X$100,MATCH(Factbook!$A37,Data!$A$2:$A$100,0),16)</f>
        <v>1155</v>
      </c>
      <c r="J37" s="98"/>
      <c r="K37" s="98">
        <f>INDEX(Data!$A$2:$X$100,MATCH(Factbook!$A37,Data!$A$2:$A$100,0),17)</f>
        <v>90306</v>
      </c>
      <c r="L37" s="98"/>
      <c r="M37" s="99">
        <f>INDEX(Data!$A$2:$X$100,MATCH(Factbook!$A37,Data!$A$2:$A$100,0),18)</f>
        <v>2.7E-2</v>
      </c>
      <c r="N37" s="100"/>
      <c r="O37" s="95">
        <f>INDEX(Data!$A$2:$X$100,MATCH(Factbook!$A37,Data!$A$2:$A$100,0),19)</f>
        <v>300</v>
      </c>
      <c r="P37" s="95"/>
      <c r="Q37" s="95">
        <f>INDEX(Data!$A$2:$X$100,MATCH(Factbook!$A37,Data!$A$2:$A$100,0),20)</f>
        <v>124743</v>
      </c>
      <c r="R37" s="95"/>
      <c r="S37" s="96">
        <f>INDEX(Data!$A$2:$X$100,MATCH(Factbook!$A37,Data!$A$2:$A$100,0),21)</f>
        <v>3.1E-2</v>
      </c>
      <c r="T37" s="97"/>
      <c r="U37" s="98">
        <f>INDEX(Data!$A$2:$X$100,MATCH(Factbook!$A37,Data!$A$2:$A$100,0),22)</f>
        <v>2158</v>
      </c>
      <c r="V37" s="98"/>
      <c r="W37" s="98">
        <f>INDEX(Data!$A$2:$X$100,MATCH(Factbook!$A37,Data!$A$2:$A$100,0),23)</f>
        <v>65397</v>
      </c>
      <c r="X37" s="98"/>
      <c r="Y37" s="99">
        <f>INDEX(Data!$A$2:$X$100,MATCH(Factbook!$A37,Data!$A$2:$A$100,0),24)</f>
        <v>3.2000000000000001E-2</v>
      </c>
    </row>
    <row customHeight="1" ht="11.45" r="38" spans="1:39" x14ac:dyDescent="0.2">
      <c r="A38" s="62">
        <f>LARGE(Data!$A$2:$A$100,5)</f>
        <v>2014</v>
      </c>
      <c r="B38" s="62"/>
      <c r="C38" s="53">
        <f>INDEX(Data!$A$2:$X$100,MATCH(Factbook!$A38,Data!$A$2:$A$100,0),13)</f>
        <v>34509</v>
      </c>
      <c r="D38" s="61"/>
      <c r="E38" s="53">
        <f>INDEX(Data!$A$2:$X$100,MATCH(Factbook!$A38,Data!$A$2:$A$100,0),14)</f>
        <v>52001</v>
      </c>
      <c r="F38" s="53"/>
      <c r="G38" s="55">
        <f>INDEX(Data!$A$2:$X$100,MATCH(Factbook!$A38,Data!$A$2:$A$100,0),15)</f>
        <v>2.1000000000000001E-2</v>
      </c>
      <c r="H38" s="56"/>
      <c r="I38" s="57">
        <f>INDEX(Data!$A$2:$X$100,MATCH(Factbook!$A38,Data!$A$2:$A$100,0),16)</f>
        <v>1149</v>
      </c>
      <c r="J38" s="57"/>
      <c r="K38" s="57">
        <f>INDEX(Data!$A$2:$X$100,MATCH(Factbook!$A38,Data!$A$2:$A$100,0),17)</f>
        <v>92585</v>
      </c>
      <c r="L38" s="57"/>
      <c r="M38" s="59">
        <f>INDEX(Data!$A$2:$X$100,MATCH(Factbook!$A38,Data!$A$2:$A$100,0),18)</f>
        <v>2.5000000000000001E-2</v>
      </c>
      <c r="N38" s="60"/>
      <c r="O38" s="53">
        <f>INDEX(Data!$A$2:$X$100,MATCH(Factbook!$A38,Data!$A$2:$A$100,0),19)</f>
        <v>289</v>
      </c>
      <c r="P38" s="61"/>
      <c r="Q38" s="53">
        <f>INDEX(Data!$A$2:$X$100,MATCH(Factbook!$A38,Data!$A$2:$A$100,0),20)</f>
        <v>130217</v>
      </c>
      <c r="R38" s="53"/>
      <c r="S38" s="55">
        <f>INDEX(Data!$A$2:$X$100,MATCH(Factbook!$A38,Data!$A$2:$A$100,0),21)</f>
        <v>4.3999999999999997E-2</v>
      </c>
      <c r="T38" s="56"/>
      <c r="U38" s="57">
        <f>INDEX(Data!$A$2:$X$100,MATCH(Factbook!$A38,Data!$A$2:$A$100,0),22)</f>
        <v>2189</v>
      </c>
      <c r="V38" s="57"/>
      <c r="W38" s="57">
        <f>INDEX(Data!$A$2:$X$100,MATCH(Factbook!$A38,Data!$A$2:$A$100,0),23)</f>
        <v>66990</v>
      </c>
      <c r="X38" s="57"/>
      <c r="Y38" s="59">
        <f>INDEX(Data!$A$2:$X$100,MATCH(Factbook!$A38,Data!$A$2:$A$100,0),24)</f>
        <v>2.4E-2</v>
      </c>
    </row>
    <row customHeight="1" ht="11.45" r="39" spans="1:39" x14ac:dyDescent="0.2">
      <c r="A39" s="62">
        <f>LARGE(Data!$A$2:$A$100,4)</f>
        <v>2015</v>
      </c>
      <c r="B39" s="62"/>
      <c r="C39" s="53">
        <f>INDEX(Data!$A$2:$X$100,MATCH(Factbook!$A39,Data!$A$2:$A$100,0),13)</f>
        <v>34737</v>
      </c>
      <c r="D39" s="61"/>
      <c r="E39" s="53">
        <f>INDEX(Data!$A$2:$X$100,MATCH(Factbook!$A39,Data!$A$2:$A$100,0),14)</f>
        <v>53268</v>
      </c>
      <c r="F39" s="53"/>
      <c r="G39" s="55">
        <f>INDEX(Data!$A$2:$X$100,MATCH(Factbook!$A39,Data!$A$2:$A$100,0),15)</f>
        <v>2.4364916059306553E-2</v>
      </c>
      <c r="H39" s="56"/>
      <c r="I39" s="57">
        <f>INDEX(Data!$A$2:$X$100,MATCH(Factbook!$A39,Data!$A$2:$A$100,0),16)</f>
        <v>1149</v>
      </c>
      <c r="J39" s="57"/>
      <c r="K39" s="57">
        <f>INDEX(Data!$A$2:$X$100,MATCH(Factbook!$A39,Data!$A$2:$A$100,0),17)</f>
        <v>96018</v>
      </c>
      <c r="L39" s="57"/>
      <c r="M39" s="59">
        <f>INDEX(Data!$A$2:$X$100,MATCH(Factbook!$A39,Data!$A$2:$A$100,0),18)</f>
        <v>3.707944051412216E-2</v>
      </c>
      <c r="N39" s="60"/>
      <c r="O39" s="53">
        <f>INDEX(Data!$A$2:$X$100,MATCH(Factbook!$A39,Data!$A$2:$A$100,0),19)</f>
        <v>285</v>
      </c>
      <c r="P39" s="61"/>
      <c r="Q39" s="53">
        <f>INDEX(Data!$A$2:$X$100,MATCH(Factbook!$A39,Data!$A$2:$A$100,0),20)</f>
        <v>136678</v>
      </c>
      <c r="R39" s="53"/>
      <c r="S39" s="55">
        <f>INDEX(Data!$A$2:$X$100,MATCH(Factbook!$A39,Data!$A$2:$A$100,0),21)</f>
        <v>4.9617177480666887E-2</v>
      </c>
      <c r="T39" s="56"/>
      <c r="U39" s="57">
        <f>INDEX(Data!$A$2:$X$100,MATCH(Factbook!$A39,Data!$A$2:$A$100,0),22)</f>
        <v>2231</v>
      </c>
      <c r="V39" s="57"/>
      <c r="W39" s="57">
        <f>INDEX(Data!$A$2:$X$100,MATCH(Factbook!$A39,Data!$A$2:$A$100,0),23)</f>
        <v>68911</v>
      </c>
      <c r="X39" s="57"/>
      <c r="Y39" s="59">
        <f>INDEX(Data!$A$2:$X$100,MATCH(Factbook!$A39,Data!$A$2:$A$100,0),24)</f>
        <v>2.8675921779370055E-2</v>
      </c>
      <c r="AD39" s="91"/>
      <c r="AE39" s="91"/>
      <c r="AF39" s="91"/>
    </row>
    <row customHeight="1" ht="11.45" r="40" spans="1:39" x14ac:dyDescent="0.2">
      <c r="A40" s="94">
        <f>LARGE(Data!$A$2:$A$100,3)</f>
        <v>2016</v>
      </c>
      <c r="B40" s="94"/>
      <c r="C40" s="95">
        <f>INDEX(Data!$A$2:$X$100,MATCH(Factbook!$A40,Data!$A$2:$A$100,0),13)</f>
        <v>34805</v>
      </c>
      <c r="D40" s="95"/>
      <c r="E40" s="95">
        <f>INDEX(Data!$A$2:$X$100,MATCH(Factbook!$A40,Data!$A$2:$A$100,0),14)</f>
        <v>54179</v>
      </c>
      <c r="F40" s="95"/>
      <c r="G40" s="96">
        <f>INDEX(Data!$A$2:$X$100,MATCH(Factbook!$A40,Data!$A$2:$A$100,0),15)</f>
        <v>1.7102200195239167E-2</v>
      </c>
      <c r="H40" s="97"/>
      <c r="I40" s="98">
        <f>INDEX(Data!$A$2:$X$100,MATCH(Factbook!$A40,Data!$A$2:$A$100,0),16)</f>
        <v>1140</v>
      </c>
      <c r="J40" s="98"/>
      <c r="K40" s="98">
        <f>INDEX(Data!$A$2:$X$100,MATCH(Factbook!$A40,Data!$A$2:$A$100,0),17)</f>
        <v>98882</v>
      </c>
      <c r="L40" s="98"/>
      <c r="M40" s="99">
        <f>INDEX(Data!$A$2:$X$100,MATCH(Factbook!$A40,Data!$A$2:$A$100,0),18)</f>
        <v>2.982774063196484E-2</v>
      </c>
      <c r="N40" s="100"/>
      <c r="O40" s="95">
        <f>INDEX(Data!$A$2:$X$100,MATCH(Factbook!$A40,Data!$A$2:$A$100,0),19)</f>
        <v>283</v>
      </c>
      <c r="P40" s="95"/>
      <c r="Q40" s="95">
        <f>INDEX(Data!$A$2:$X$100,MATCH(Factbook!$A40,Data!$A$2:$A$100,0),20)</f>
        <v>142127</v>
      </c>
      <c r="R40" s="95"/>
      <c r="S40" s="96">
        <f>INDEX(Data!$A$2:$X$100,MATCH(Factbook!$A40,Data!$A$2:$A$100,0),21)</f>
        <v>3.9867425628118645E-2</v>
      </c>
      <c r="T40" s="97"/>
      <c r="U40" s="98">
        <f>INDEX(Data!$A$2:$X$100,MATCH(Factbook!$A40,Data!$A$2:$A$100,0),22)</f>
        <v>2224</v>
      </c>
      <c r="V40" s="98"/>
      <c r="W40" s="98">
        <f>INDEX(Data!$A$2:$X$100,MATCH(Factbook!$A40,Data!$A$2:$A$100,0),23)</f>
        <v>70582.38</v>
      </c>
      <c r="X40" s="98"/>
      <c r="Y40" s="99">
        <f>INDEX(Data!$A$2:$X$100,MATCH(Factbook!$A40,Data!$A$2:$A$100,0),24)</f>
        <v>2.4254182931607502E-2</v>
      </c>
    </row>
    <row customHeight="1" ht="11.45" r="41" spans="1:39" x14ac:dyDescent="0.2">
      <c r="A41" s="62">
        <f>LARGE(Data!$A$2:$A$100,2)</f>
        <v>2017</v>
      </c>
      <c r="B41" s="62"/>
      <c r="C41" s="53">
        <f>INDEX(Data!$A$2:$X$100,MATCH(Factbook!$A41,Data!$A$2:$A$100,0),13)</f>
        <v>34551</v>
      </c>
      <c r="D41" s="61"/>
      <c r="E41" s="53">
        <f>INDEX(Data!$A$2:$X$100,MATCH(Factbook!$A41,Data!$A$2:$A$100,0),14)</f>
        <v>55397</v>
      </c>
      <c r="F41" s="53"/>
      <c r="G41" s="55">
        <f>INDEX(Data!$A$2:$X$100,MATCH(Factbook!$A41,Data!$A$2:$A$100,0),15)</f>
        <v>2.2481035087395487E-2</v>
      </c>
      <c r="H41" s="56"/>
      <c r="I41" s="57">
        <f>INDEX(Data!$A$2:$X$100,MATCH(Factbook!$A41,Data!$A$2:$A$100,0),16)</f>
        <v>1139</v>
      </c>
      <c r="J41" s="57"/>
      <c r="K41" s="57">
        <f>INDEX(Data!$A$2:$X$100,MATCH(Factbook!$A41,Data!$A$2:$A$100,0),17)</f>
        <v>102236</v>
      </c>
      <c r="L41" s="57"/>
      <c r="M41" s="59">
        <f>INDEX(Data!$A$2:$X$100,MATCH(Factbook!$A41,Data!$A$2:$A$100,0),18)</f>
        <v>3.3919216844319491E-2</v>
      </c>
      <c r="N41" s="60"/>
      <c r="O41" s="53">
        <f>INDEX(Data!$A$2:$X$100,MATCH(Factbook!$A41,Data!$A$2:$A$100,0),19)</f>
        <v>273</v>
      </c>
      <c r="P41" s="61"/>
      <c r="Q41" s="53">
        <f>INDEX(Data!$A$2:$X$100,MATCH(Factbook!$A41,Data!$A$2:$A$100,0),20)</f>
        <v>147825</v>
      </c>
      <c r="R41" s="53"/>
      <c r="S41" s="55">
        <f>INDEX(Data!$A$2:$X$100,MATCH(Factbook!$A41,Data!$A$2:$A$100,0),21)</f>
        <v>4.0090904613479493E-2</v>
      </c>
      <c r="T41" s="56"/>
      <c r="U41" s="57">
        <f>INDEX(Data!$A$2:$X$100,MATCH(Factbook!$A41,Data!$A$2:$A$100,0),22)</f>
        <v>2186</v>
      </c>
      <c r="V41" s="57"/>
      <c r="W41" s="57">
        <f>INDEX(Data!$A$2:$X$100,MATCH(Factbook!$A41,Data!$A$2:$A$100,0),23)</f>
        <v>72540</v>
      </c>
      <c r="X41" s="57"/>
      <c r="Y41" s="59">
        <f>INDEX(Data!$A$2:$X$100,MATCH(Factbook!$A41,Data!$A$2:$A$100,0),24)</f>
        <v>2.4254182931607502E-2</v>
      </c>
    </row>
    <row customFormat="1" customHeight="1" ht="11.45" r="42" s="7" spans="1:39" x14ac:dyDescent="0.2">
      <c r="A42" s="62">
        <f>LARGE(Data!$A$2:$A$100,1)</f>
        <v>2018</v>
      </c>
      <c r="B42" s="62"/>
      <c r="C42" s="53">
        <f>INDEX(Data!$A$2:$X$100,MATCH(Factbook!$A42,Data!$A$2:$A$100,0),13)</f>
        <v>36786</v>
      </c>
      <c r="D42" s="61"/>
      <c r="E42" s="53">
        <f>INDEX(Data!$A$2:$X$100,MATCH(Factbook!$A42,Data!$A$2:$A$100,0),14)</f>
        <v>56978</v>
      </c>
      <c r="F42" s="53"/>
      <c r="G42" s="55">
        <f>INDEX(Data!$A$2:$X$100,MATCH(Factbook!$A42,Data!$A$2:$A$100,0),15)</f>
        <v>2.8539451594851706E-2</v>
      </c>
      <c r="H42" s="56"/>
      <c r="I42" s="57">
        <f>INDEX(Data!$A$2:$X$100,MATCH(Factbook!$A42,Data!$A$2:$A$100,0),16)</f>
        <v>1133</v>
      </c>
      <c r="J42" s="57"/>
      <c r="K42" s="57">
        <f>INDEX(Data!$A$2:$X$100,MATCH(Factbook!$A42,Data!$A$2:$A$100,0),17)</f>
        <v>103668</v>
      </c>
      <c r="L42" s="57"/>
      <c r="M42" s="59">
        <f>INDEX(Data!$A$2:$X$100,MATCH(Factbook!$A42,Data!$A$2:$A$100,0),18)</f>
        <v>1.4006807778082084E-2</v>
      </c>
      <c r="N42" s="60"/>
      <c r="O42" s="53">
        <f>INDEX(Data!$A$2:$X$100,MATCH(Factbook!$A42,Data!$A$2:$A$100,0),19)</f>
        <v>270</v>
      </c>
      <c r="P42" s="61"/>
      <c r="Q42" s="53">
        <f>INDEX(Data!$A$2:$X$100,MATCH(Factbook!$A42,Data!$A$2:$A$100,0),20)</f>
        <v>151327</v>
      </c>
      <c r="R42" s="53"/>
      <c r="S42" s="55">
        <f>INDEX(Data!$A$2:$X$100,MATCH(Factbook!$A42,Data!$A$2:$A$100,0),21)</f>
        <v>2.3690174192457298E-2</v>
      </c>
      <c r="T42" s="56"/>
      <c r="U42" s="57">
        <f>INDEX(Data!$A$2:$X$100,MATCH(Factbook!$A42,Data!$A$2:$A$100,0),22)</f>
        <v>2217</v>
      </c>
      <c r="V42" s="57"/>
      <c r="W42" s="57">
        <f>INDEX(Data!$A$2:$X$100,MATCH(Factbook!$A42,Data!$A$2:$A$100,0),23)</f>
        <v>73326</v>
      </c>
      <c r="X42" s="57"/>
      <c r="Y42" s="59">
        <f>INDEX(Data!$A$2:$X$100,MATCH(Factbook!$A42,Data!$A$2:$A$100,0),24)</f>
        <v>1.0835401157981803E-2</v>
      </c>
    </row>
    <row customHeight="1" ht="4.3499999999999996" r="43" spans="1:39" x14ac:dyDescent="0.2">
      <c r="A43" s="3"/>
      <c r="B43" s="3"/>
      <c r="C43" s="1"/>
      <c r="E43" s="1"/>
      <c r="F43" s="1"/>
      <c r="G43" s="4"/>
      <c r="H43" s="4"/>
      <c r="I43" s="1"/>
      <c r="J43" s="1"/>
      <c r="K43" s="1"/>
      <c r="L43" s="1"/>
      <c r="M43" s="4"/>
      <c r="N43" s="4"/>
      <c r="O43" s="1"/>
      <c r="P43" s="1"/>
      <c r="Q43" s="1"/>
      <c r="R43" s="1"/>
      <c r="S43" s="4"/>
      <c r="T43" s="4"/>
      <c r="U43" s="1"/>
      <c r="V43" s="1"/>
      <c r="W43" s="1"/>
      <c r="X43" s="1"/>
      <c r="Y43" s="4"/>
    </row>
    <row r="44" spans="1:39" x14ac:dyDescent="0.2">
      <c r="A44" s="40" t="s">
        <v>11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customHeight="1" ht="1.1499999999999999" r="45" spans="1:39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customHeight="1" ht="5.45" r="46" spans="1:39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39" x14ac:dyDescent="0.2">
      <c r="A47" s="40" t="s">
        <v>78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39" x14ac:dyDescent="0.2">
      <c r="A48" s="70" t="s">
        <v>84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40"/>
    </row>
    <row customHeight="1" ht="11.45" r="49" spans="1:23" x14ac:dyDescent="0.2">
      <c r="A49" s="70" t="s">
        <v>83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40"/>
      <c r="O49" s="40"/>
      <c r="P49" s="40"/>
      <c r="Q49" s="40"/>
    </row>
    <row r="50" spans="1:23" x14ac:dyDescent="0.2">
      <c r="A50" s="71" t="s">
        <v>32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40"/>
      <c r="O50" s="40"/>
      <c r="P50" s="40"/>
      <c r="Q50" s="40"/>
    </row>
    <row customHeight="1" ht="1.9" r="51" spans="1:23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1:23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23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23" x14ac:dyDescent="0.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9" spans="1:23" x14ac:dyDescent="0.2">
      <c r="K59" s="40"/>
      <c r="L59" s="40"/>
      <c r="M59" s="40"/>
    </row>
    <row r="60" spans="1:23" x14ac:dyDescent="0.2">
      <c r="K60" s="40"/>
      <c r="L60" s="40"/>
      <c r="M60" s="40"/>
    </row>
    <row r="61" spans="1:23" x14ac:dyDescent="0.2">
      <c r="K61" s="54">
        <v>111111</v>
      </c>
      <c r="L61" s="40"/>
      <c r="M61" s="40"/>
      <c r="Q61" s="54">
        <v>999999</v>
      </c>
      <c r="W61" s="54"/>
    </row>
    <row r="62" spans="1:23" x14ac:dyDescent="0.2">
      <c r="K62" s="54">
        <f>K61+111111</f>
        <v>222222</v>
      </c>
      <c r="L62" s="40"/>
      <c r="M62" s="40"/>
      <c r="Q62" s="54">
        <v>111111</v>
      </c>
      <c r="W62" s="79"/>
    </row>
    <row r="63" spans="1:23" x14ac:dyDescent="0.2">
      <c r="K63" s="54">
        <f ref="K63:K69" si="0" t="shared">K62+111111</f>
        <v>333333</v>
      </c>
      <c r="L63" s="40"/>
      <c r="M63" s="40"/>
      <c r="Q63" s="54">
        <f>Q62+111111</f>
        <v>222222</v>
      </c>
    </row>
    <row r="64" spans="1:23" x14ac:dyDescent="0.2">
      <c r="K64" s="54">
        <f si="0" t="shared"/>
        <v>444444</v>
      </c>
      <c r="L64" s="40"/>
      <c r="M64" s="40"/>
      <c r="Q64" s="54">
        <f ref="Q64:Q72" si="1" t="shared">Q63+111111</f>
        <v>333333</v>
      </c>
    </row>
    <row r="65" spans="11:17" x14ac:dyDescent="0.2">
      <c r="K65" s="54">
        <f si="0" t="shared"/>
        <v>555555</v>
      </c>
      <c r="L65" s="40"/>
      <c r="M65" s="40"/>
      <c r="Q65" s="54">
        <f si="1" t="shared"/>
        <v>444444</v>
      </c>
    </row>
    <row r="66" spans="11:17" x14ac:dyDescent="0.2">
      <c r="K66" s="54">
        <f si="0" t="shared"/>
        <v>666666</v>
      </c>
      <c r="L66" s="40"/>
      <c r="M66" s="40"/>
      <c r="Q66" s="54">
        <f si="1" t="shared"/>
        <v>555555</v>
      </c>
    </row>
    <row r="67" spans="11:17" x14ac:dyDescent="0.2">
      <c r="K67" s="54">
        <f si="0" t="shared"/>
        <v>777777</v>
      </c>
      <c r="L67" s="40"/>
      <c r="M67" s="40"/>
      <c r="Q67" s="54">
        <f si="1" t="shared"/>
        <v>666666</v>
      </c>
    </row>
    <row r="68" spans="11:17" x14ac:dyDescent="0.2">
      <c r="K68" s="54">
        <f si="0" t="shared"/>
        <v>888888</v>
      </c>
      <c r="L68" s="40"/>
      <c r="M68" s="40"/>
      <c r="Q68" s="54">
        <f si="1" t="shared"/>
        <v>777777</v>
      </c>
    </row>
    <row r="69" spans="11:17" x14ac:dyDescent="0.2">
      <c r="K69" s="54">
        <f>K68+111111</f>
        <v>999999</v>
      </c>
      <c r="L69" s="40"/>
      <c r="M69" s="40"/>
      <c r="Q69" s="54">
        <f si="1" t="shared"/>
        <v>888888</v>
      </c>
    </row>
    <row r="70" spans="11:17" x14ac:dyDescent="0.2">
      <c r="K70" s="54">
        <f>K69+111111</f>
        <v>1111110</v>
      </c>
      <c r="L70" s="40"/>
      <c r="M70" s="40"/>
      <c r="Q70" s="54">
        <f>Q69+111111</f>
        <v>999999</v>
      </c>
    </row>
    <row r="71" spans="11:17" x14ac:dyDescent="0.2">
      <c r="K71" s="40"/>
      <c r="L71" s="40"/>
      <c r="M71" s="40"/>
      <c r="Q71" s="54"/>
    </row>
    <row r="72" spans="11:17" x14ac:dyDescent="0.2">
      <c r="K72" s="40"/>
      <c r="L72" s="40"/>
      <c r="M72" s="40"/>
      <c r="Q72" s="54"/>
    </row>
  </sheetData>
  <mergeCells count="9">
    <mergeCell ref="A48:P48"/>
    <mergeCell ref="A49:M49"/>
    <mergeCell ref="AB3:AF4"/>
    <mergeCell ref="A1:X1"/>
    <mergeCell ref="A2:X2"/>
    <mergeCell ref="A24:Y24"/>
    <mergeCell ref="I30:M30"/>
    <mergeCell ref="O30:S30"/>
    <mergeCell ref="U30:Y30"/>
  </mergeCells>
  <pageMargins bottom="1" footer="0.25" header="0.5" left="0.5" right="0.48" top="0.7"/>
  <pageSetup cellComments="atEnd" fitToHeight="0" fitToWidth="0" orientation="portrait" r:id="rId1"/>
  <headerFooter>
    <oddFooter><![CDATA[&L&8Sources: Iowa Department of Education, Basic Educational Data Survey (BEDS), 
National Education Association, LSA analysis and calculations
Iowa LSA Staff Contact:  Robin Madison (515.281.5270) &Urobin.madison@legis.iowa.gov&10&U
&C&G
&R&G]]></oddFooter>
  </headerFooter>
  <legacyDrawingHF r:id="rId2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2"/>
  <dimension ref="A1:Y100"/>
  <sheetViews>
    <sheetView workbookViewId="0" zoomScaleNormal="100">
      <pane activePane="bottomRight" state="frozen" topLeftCell="B2" xSplit="1" ySplit="1"/>
      <selection activeCell="B1" pane="topRight" sqref="B1"/>
      <selection activeCell="A2" pane="bottomLeft" sqref="A2"/>
      <selection activeCell="F22" pane="bottomRight" sqref="F22"/>
    </sheetView>
  </sheetViews>
  <sheetFormatPr defaultColWidth="9.140625" defaultRowHeight="12" x14ac:dyDescent="0.2"/>
  <cols>
    <col min="1" max="1" bestFit="true" customWidth="true" style="25" width="16.0" collapsed="false"/>
    <col min="2" max="2" bestFit="true" customWidth="true" style="26" width="13.42578125" collapsed="false"/>
    <col min="3" max="6" bestFit="true" customWidth="true" style="26" width="8.5703125" collapsed="false"/>
    <col min="7" max="8" bestFit="true" customWidth="true" style="26" width="10.42578125" collapsed="false"/>
    <col min="9" max="12" bestFit="true" customWidth="true" style="26" width="8.5703125" collapsed="false"/>
    <col min="13" max="13" bestFit="true" customWidth="true" style="26" width="16.7109375" collapsed="false"/>
    <col min="14" max="14" bestFit="true" customWidth="true" style="26" width="19.5703125" collapsed="false"/>
    <col min="15" max="15" bestFit="true" customWidth="true" style="27" width="22.42578125" collapsed="false"/>
    <col min="16" max="16" bestFit="true" customWidth="true" style="16" width="17.140625" collapsed="false"/>
    <col min="17" max="17" bestFit="true" customWidth="true" style="16" width="19.85546875" collapsed="false"/>
    <col min="18" max="18" bestFit="true" customWidth="true" style="27" width="29.5703125" collapsed="false"/>
    <col min="19" max="19" bestFit="true" customWidth="true" style="16" width="13.28515625" collapsed="false"/>
    <col min="20" max="20" bestFit="true" customWidth="true" style="16" width="17.140625" collapsed="false"/>
    <col min="21" max="21" bestFit="true" customWidth="true" style="28" width="17.140625" collapsed="false"/>
    <col min="22" max="22" bestFit="true" customWidth="true" style="16" width="22.140625" collapsed="false"/>
    <col min="23" max="23" bestFit="true" customWidth="true" style="16" width="21.85546875" collapsed="false"/>
    <col min="24" max="24" bestFit="true" customWidth="true" style="27" width="26.0" collapsed="false"/>
    <col min="25" max="16384" style="28" width="9.140625" collapsed="false"/>
  </cols>
  <sheetData>
    <row customFormat="1" r="1" s="17" spans="1:24" x14ac:dyDescent="0.2">
      <c r="A1" s="13" t="s">
        <v>34</v>
      </c>
      <c r="B1" s="14" t="s">
        <v>35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36</v>
      </c>
      <c r="L1" s="14" t="s">
        <v>33</v>
      </c>
      <c r="M1" s="14" t="s">
        <v>37</v>
      </c>
      <c r="N1" s="14" t="s">
        <v>38</v>
      </c>
      <c r="O1" s="15" t="s">
        <v>39</v>
      </c>
      <c r="P1" s="16" t="s">
        <v>40</v>
      </c>
      <c r="Q1" s="16" t="s">
        <v>41</v>
      </c>
      <c r="R1" s="15" t="s">
        <v>42</v>
      </c>
      <c r="S1" s="16" t="s">
        <v>43</v>
      </c>
      <c r="T1" s="16" t="s">
        <v>45</v>
      </c>
      <c r="U1" s="17" t="s">
        <v>45</v>
      </c>
      <c r="V1" s="16" t="s">
        <v>46</v>
      </c>
      <c r="W1" s="16" t="s">
        <v>44</v>
      </c>
      <c r="X1" s="15" t="s">
        <v>47</v>
      </c>
    </row>
    <row customFormat="1" r="2" s="23" spans="1:24" x14ac:dyDescent="0.2">
      <c r="A2" s="18">
        <v>2002</v>
      </c>
      <c r="B2" s="19">
        <v>24500</v>
      </c>
      <c r="C2" s="19">
        <v>29472.99</v>
      </c>
      <c r="D2" s="19">
        <v>30978.34</v>
      </c>
      <c r="E2" s="19">
        <v>32717.88</v>
      </c>
      <c r="F2" s="19">
        <v>34240.74</v>
      </c>
      <c r="G2" s="19">
        <v>36519.47</v>
      </c>
      <c r="H2" s="19">
        <v>38981.67</v>
      </c>
      <c r="I2" s="19">
        <v>41606.71</v>
      </c>
      <c r="J2" s="19">
        <v>37844.25</v>
      </c>
      <c r="K2" s="19">
        <v>37262.230000000003</v>
      </c>
      <c r="L2" s="19">
        <v>44604</v>
      </c>
      <c r="M2" s="10">
        <v>33820</v>
      </c>
      <c r="N2" s="20">
        <v>37262.230000000003</v>
      </c>
      <c r="O2" s="21"/>
      <c r="P2" s="10">
        <v>1108</v>
      </c>
      <c r="Q2" s="20">
        <v>66156.490000000005</v>
      </c>
      <c r="R2" s="21"/>
      <c r="S2" s="22">
        <v>328</v>
      </c>
      <c r="T2" s="20">
        <v>83976.43</v>
      </c>
      <c r="V2" s="10">
        <v>2344</v>
      </c>
      <c r="W2" s="20">
        <v>45725.67</v>
      </c>
      <c r="X2" s="21"/>
    </row>
    <row customFormat="1" r="3" s="23" spans="1:24" x14ac:dyDescent="0.2">
      <c r="A3" s="18">
        <v>2003</v>
      </c>
      <c r="B3" s="19">
        <v>24500</v>
      </c>
      <c r="C3" s="19">
        <v>30239.34</v>
      </c>
      <c r="D3" s="19">
        <v>31741.84</v>
      </c>
      <c r="E3" s="19">
        <v>33542.51</v>
      </c>
      <c r="F3" s="19">
        <v>35030.58</v>
      </c>
      <c r="G3" s="19">
        <v>37456.67</v>
      </c>
      <c r="H3" s="19">
        <v>39864.35</v>
      </c>
      <c r="I3" s="19">
        <v>42037.61</v>
      </c>
      <c r="J3" s="19">
        <v>38801.47</v>
      </c>
      <c r="K3" s="19">
        <v>38000</v>
      </c>
      <c r="L3" s="19">
        <v>45891</v>
      </c>
      <c r="M3" s="10">
        <v>33425</v>
      </c>
      <c r="N3" s="20">
        <v>38000</v>
      </c>
      <c r="O3" s="24">
        <v>0.02</v>
      </c>
      <c r="P3" s="10">
        <v>1091</v>
      </c>
      <c r="Q3" s="20">
        <v>67768.44</v>
      </c>
      <c r="R3" s="24">
        <v>2.4E-2</v>
      </c>
      <c r="S3" s="22">
        <v>342</v>
      </c>
      <c r="T3" s="20">
        <v>87010.04</v>
      </c>
      <c r="U3" s="12">
        <v>3.5999999999999997E-2</v>
      </c>
      <c r="V3" s="10">
        <v>2287</v>
      </c>
      <c r="W3" s="20">
        <v>46363.43</v>
      </c>
      <c r="X3" s="24">
        <v>1.3947526630008866E-2</v>
      </c>
    </row>
    <row customFormat="1" r="4" s="23" spans="1:24" x14ac:dyDescent="0.2">
      <c r="A4" s="18">
        <v>2004</v>
      </c>
      <c r="B4" s="19">
        <v>24500</v>
      </c>
      <c r="C4" s="19">
        <v>30575.84</v>
      </c>
      <c r="D4" s="19">
        <v>31808.29</v>
      </c>
      <c r="E4" s="19">
        <v>34097</v>
      </c>
      <c r="F4" s="19">
        <v>35632.81</v>
      </c>
      <c r="G4" s="19">
        <v>37967.22</v>
      </c>
      <c r="H4" s="19">
        <v>40214.160000000003</v>
      </c>
      <c r="I4" s="19">
        <v>42200.13</v>
      </c>
      <c r="J4" s="19">
        <v>38891.72</v>
      </c>
      <c r="K4" s="19">
        <v>38381</v>
      </c>
      <c r="L4" s="19">
        <v>46826</v>
      </c>
      <c r="M4" s="10">
        <v>33688</v>
      </c>
      <c r="N4" s="20">
        <v>38381</v>
      </c>
      <c r="O4" s="24">
        <v>1.0026315789473772E-2</v>
      </c>
      <c r="P4" s="10">
        <v>1069</v>
      </c>
      <c r="Q4" s="20">
        <v>69884.75</v>
      </c>
      <c r="R4" s="24">
        <v>3.1228548274093271E-2</v>
      </c>
      <c r="S4" s="22">
        <v>332</v>
      </c>
      <c r="T4" s="20">
        <v>90486.69</v>
      </c>
      <c r="U4" s="12">
        <v>3.9956883136704757E-2</v>
      </c>
      <c r="V4" s="10">
        <v>2300</v>
      </c>
      <c r="W4" s="20">
        <v>47383.75</v>
      </c>
      <c r="X4" s="24">
        <v>2.2006999913509517E-2</v>
      </c>
    </row>
    <row customFormat="1" r="5" s="23" spans="1:24" x14ac:dyDescent="0.2">
      <c r="A5" s="18">
        <v>2005</v>
      </c>
      <c r="B5" s="10">
        <v>24500</v>
      </c>
      <c r="C5" s="10">
        <v>31543.29</v>
      </c>
      <c r="D5" s="10">
        <v>32742.63</v>
      </c>
      <c r="E5" s="10">
        <v>34920.94</v>
      </c>
      <c r="F5" s="10">
        <v>36456.19</v>
      </c>
      <c r="G5" s="10">
        <v>38964.93</v>
      </c>
      <c r="H5" s="10">
        <v>41139.57</v>
      </c>
      <c r="I5" s="10">
        <v>43110.91</v>
      </c>
      <c r="J5" s="10">
        <v>40397.26</v>
      </c>
      <c r="K5" s="10">
        <v>39284</v>
      </c>
      <c r="L5" s="10">
        <v>47750</v>
      </c>
      <c r="M5" s="10">
        <v>33661</v>
      </c>
      <c r="N5" s="10">
        <v>39284</v>
      </c>
      <c r="O5" s="24">
        <v>2.3527266095203281E-2</v>
      </c>
      <c r="P5" s="10">
        <v>1225</v>
      </c>
      <c r="Q5" s="10">
        <v>71669.600000000006</v>
      </c>
      <c r="R5" s="24">
        <v>2.5539906775083443E-2</v>
      </c>
      <c r="S5" s="22">
        <v>325</v>
      </c>
      <c r="T5" s="10">
        <v>94029.06</v>
      </c>
      <c r="U5" s="24">
        <v>3.9147967507707326E-2</v>
      </c>
      <c r="V5" s="10">
        <v>2328</v>
      </c>
      <c r="W5" s="10">
        <v>48966.32</v>
      </c>
      <c r="X5" s="24">
        <v>3.3399002822697588E-2</v>
      </c>
    </row>
    <row customFormat="1" r="6" s="23" spans="1:24" x14ac:dyDescent="0.2">
      <c r="A6" s="18">
        <v>2006</v>
      </c>
      <c r="B6" s="10">
        <v>24500</v>
      </c>
      <c r="C6" s="10">
        <v>32891.15</v>
      </c>
      <c r="D6" s="10">
        <v>34280.660000000003</v>
      </c>
      <c r="E6" s="10">
        <v>35940.97</v>
      </c>
      <c r="F6" s="10">
        <v>37910.53</v>
      </c>
      <c r="G6" s="10">
        <v>40614.39</v>
      </c>
      <c r="H6" s="10">
        <v>42540.79</v>
      </c>
      <c r="I6" s="10">
        <v>44827.15</v>
      </c>
      <c r="J6" s="10">
        <v>42359.12</v>
      </c>
      <c r="K6" s="10">
        <v>40877</v>
      </c>
      <c r="L6" s="10">
        <v>48106</v>
      </c>
      <c r="M6" s="10">
        <v>34175</v>
      </c>
      <c r="N6" s="10">
        <v>40877</v>
      </c>
      <c r="O6" s="24">
        <v>4.0550860401181055E-2</v>
      </c>
      <c r="P6" s="10">
        <v>1166</v>
      </c>
      <c r="Q6" s="10">
        <v>74352.69</v>
      </c>
      <c r="R6" s="24">
        <v>3.7436932813912582E-2</v>
      </c>
      <c r="S6" s="22">
        <v>322</v>
      </c>
      <c r="T6" s="10">
        <v>97725.22</v>
      </c>
      <c r="U6" s="24">
        <v>3.9308698821406862E-2</v>
      </c>
      <c r="V6" s="10">
        <v>2371</v>
      </c>
      <c r="W6" s="10">
        <v>50772.51</v>
      </c>
      <c r="X6" s="24">
        <v>3.6886374144514011E-2</v>
      </c>
    </row>
    <row customFormat="1" r="7" s="23" spans="1:24" x14ac:dyDescent="0.2">
      <c r="A7" s="18">
        <v>2007</v>
      </c>
      <c r="B7" s="10">
        <v>25500</v>
      </c>
      <c r="C7" s="10">
        <v>34407.57</v>
      </c>
      <c r="D7" s="10">
        <v>36053.29</v>
      </c>
      <c r="E7" s="10">
        <v>37837.980000000003</v>
      </c>
      <c r="F7" s="10">
        <v>40017.54</v>
      </c>
      <c r="G7" s="10">
        <v>42747.07</v>
      </c>
      <c r="H7" s="10">
        <v>45064.04</v>
      </c>
      <c r="I7" s="10">
        <v>46498.78</v>
      </c>
      <c r="J7" s="10">
        <v>44738.78</v>
      </c>
      <c r="K7" s="10">
        <v>42922</v>
      </c>
      <c r="L7" s="10">
        <v>50758</v>
      </c>
      <c r="M7" s="10">
        <v>34444</v>
      </c>
      <c r="N7" s="10">
        <v>42922</v>
      </c>
      <c r="O7" s="24">
        <v>5.0028133180027856E-2</v>
      </c>
      <c r="P7" s="10">
        <v>1140</v>
      </c>
      <c r="Q7" s="10">
        <v>77548.08</v>
      </c>
      <c r="R7" s="24">
        <v>4.2976118281665476E-2</v>
      </c>
      <c r="S7" s="22">
        <v>326</v>
      </c>
      <c r="T7" s="10">
        <v>101901.71</v>
      </c>
      <c r="U7" s="24">
        <v>4.2737074421526078E-2</v>
      </c>
      <c r="V7" s="10">
        <v>2342</v>
      </c>
      <c r="W7" s="10">
        <v>53064.94</v>
      </c>
      <c r="X7" s="24">
        <v>4.5151007897777706E-2</v>
      </c>
    </row>
    <row customFormat="1" r="8" s="23" spans="1:24" x14ac:dyDescent="0.2">
      <c r="A8" s="18">
        <v>2008</v>
      </c>
      <c r="B8" s="10">
        <v>26500</v>
      </c>
      <c r="C8" s="10">
        <v>36357.82</v>
      </c>
      <c r="D8" s="10">
        <v>38259.26</v>
      </c>
      <c r="E8" s="10">
        <v>40132.519999999997</v>
      </c>
      <c r="F8" s="10">
        <v>42491.82</v>
      </c>
      <c r="G8" s="10">
        <v>45210.67</v>
      </c>
      <c r="H8" s="10">
        <v>47453.35</v>
      </c>
      <c r="I8" s="10">
        <v>49112.6</v>
      </c>
      <c r="J8" s="10">
        <v>48806.74</v>
      </c>
      <c r="K8" s="10">
        <v>45463</v>
      </c>
      <c r="L8" s="10">
        <v>52308</v>
      </c>
      <c r="M8" s="10">
        <v>34823</v>
      </c>
      <c r="N8" s="10">
        <v>45463</v>
      </c>
      <c r="O8" s="24">
        <v>5.9200410046130081E-2</v>
      </c>
      <c r="P8" s="10">
        <v>1141</v>
      </c>
      <c r="Q8" s="10">
        <v>80402.740000000005</v>
      </c>
      <c r="R8" s="24">
        <v>3.6811485210207717E-2</v>
      </c>
      <c r="S8" s="22">
        <v>322</v>
      </c>
      <c r="T8" s="10">
        <v>105985.93</v>
      </c>
      <c r="U8" s="24">
        <v>4.0079994732178603E-2</v>
      </c>
      <c r="V8" s="10">
        <v>2317</v>
      </c>
      <c r="W8" s="10">
        <v>56615.83</v>
      </c>
      <c r="X8" s="24">
        <v>6.6915933571205288E-2</v>
      </c>
    </row>
    <row customFormat="1" r="9" s="23" spans="1:24" x14ac:dyDescent="0.2">
      <c r="A9" s="18">
        <v>2009</v>
      </c>
      <c r="B9" s="10">
        <v>28000</v>
      </c>
      <c r="C9" s="10">
        <v>38715</v>
      </c>
      <c r="D9" s="10">
        <v>41486</v>
      </c>
      <c r="E9" s="10">
        <v>42863</v>
      </c>
      <c r="F9" s="10">
        <v>45792</v>
      </c>
      <c r="G9" s="10">
        <v>48121</v>
      </c>
      <c r="H9" s="10">
        <v>50689</v>
      </c>
      <c r="I9" s="10">
        <v>52001</v>
      </c>
      <c r="J9" s="10">
        <v>52846</v>
      </c>
      <c r="K9" s="10">
        <v>48489.69</v>
      </c>
      <c r="L9" s="10">
        <v>54319</v>
      </c>
      <c r="M9" s="10">
        <v>34744</v>
      </c>
      <c r="N9" s="10">
        <v>48489.69</v>
      </c>
      <c r="O9" s="24">
        <v>6.6574797087741722E-2</v>
      </c>
      <c r="P9" s="10">
        <v>1158</v>
      </c>
      <c r="Q9" s="10">
        <v>83328.89</v>
      </c>
      <c r="R9" s="24">
        <v>3.6393660216057278E-2</v>
      </c>
      <c r="S9" s="22">
        <v>319</v>
      </c>
      <c r="T9" s="10">
        <v>111333.16</v>
      </c>
      <c r="U9" s="24">
        <v>5.0452262861683694E-2</v>
      </c>
      <c r="V9" s="10">
        <v>2334</v>
      </c>
      <c r="W9" s="10">
        <v>60905.120000000003</v>
      </c>
      <c r="X9" s="24">
        <v>7.5761319758095969E-2</v>
      </c>
    </row>
    <row customFormat="1" r="10" s="23" spans="1:24" x14ac:dyDescent="0.2">
      <c r="A10" s="18">
        <v>2010</v>
      </c>
      <c r="B10" s="10">
        <v>28000</v>
      </c>
      <c r="C10" s="10">
        <v>39887</v>
      </c>
      <c r="D10" s="10">
        <v>42211</v>
      </c>
      <c r="E10" s="10">
        <v>43572</v>
      </c>
      <c r="F10" s="10">
        <v>46286</v>
      </c>
      <c r="G10" s="10">
        <v>49112</v>
      </c>
      <c r="H10" s="10">
        <v>51926</v>
      </c>
      <c r="I10" s="10">
        <v>53285</v>
      </c>
      <c r="J10" s="10">
        <v>52279</v>
      </c>
      <c r="K10" s="10">
        <v>49472.62</v>
      </c>
      <c r="L10" s="10">
        <v>55202</v>
      </c>
      <c r="M10" s="10">
        <v>34643</v>
      </c>
      <c r="N10" s="10">
        <v>49472.62</v>
      </c>
      <c r="O10" s="24">
        <v>2.0270907073235644E-2</v>
      </c>
      <c r="P10" s="10">
        <v>1164</v>
      </c>
      <c r="Q10" s="10">
        <v>85525.91</v>
      </c>
      <c r="R10" s="24">
        <v>2.6365645816234906E-2</v>
      </c>
      <c r="S10" s="22">
        <v>314</v>
      </c>
      <c r="T10" s="10">
        <v>115053.53</v>
      </c>
      <c r="U10" s="24">
        <v>3.341654903175284E-2</v>
      </c>
      <c r="V10" s="10">
        <v>2373</v>
      </c>
      <c r="W10" s="10">
        <v>62115.56</v>
      </c>
      <c r="X10" s="24">
        <v>1.9874191201002311E-2</v>
      </c>
    </row>
    <row customFormat="1" r="11" s="23" spans="1:24" x14ac:dyDescent="0.2">
      <c r="A11" s="18">
        <v>2011</v>
      </c>
      <c r="B11" s="10">
        <v>28000</v>
      </c>
      <c r="C11" s="10">
        <v>39916</v>
      </c>
      <c r="D11" s="10">
        <v>42293</v>
      </c>
      <c r="E11" s="10">
        <v>44121</v>
      </c>
      <c r="F11" s="10">
        <v>46521</v>
      </c>
      <c r="G11" s="10">
        <v>49362</v>
      </c>
      <c r="H11" s="10">
        <v>52527</v>
      </c>
      <c r="I11" s="10">
        <v>53441</v>
      </c>
      <c r="J11" s="10">
        <v>53880</v>
      </c>
      <c r="K11" s="10">
        <v>49794</v>
      </c>
      <c r="L11" s="10">
        <v>55623</v>
      </c>
      <c r="M11" s="10">
        <v>33916</v>
      </c>
      <c r="N11" s="10">
        <v>49794</v>
      </c>
      <c r="O11" s="24">
        <v>0.02</v>
      </c>
      <c r="P11" s="10">
        <v>1173</v>
      </c>
      <c r="Q11" s="10">
        <v>86410</v>
      </c>
      <c r="R11" s="24">
        <v>2.5999999999999999E-2</v>
      </c>
      <c r="S11" s="10">
        <v>301</v>
      </c>
      <c r="T11" s="10">
        <v>117320</v>
      </c>
      <c r="U11" s="24">
        <v>3.3000000000000002E-2</v>
      </c>
      <c r="V11" s="10">
        <v>2353</v>
      </c>
      <c r="W11" s="10">
        <v>62564</v>
      </c>
      <c r="X11" s="24">
        <v>7.0000000000000001E-3</v>
      </c>
    </row>
    <row customFormat="1" r="12" s="23" spans="1:24" x14ac:dyDescent="0.2">
      <c r="A12" s="18">
        <v>2012</v>
      </c>
      <c r="B12" s="10">
        <v>28000</v>
      </c>
      <c r="C12" s="10">
        <v>39977</v>
      </c>
      <c r="D12" s="10">
        <v>42583</v>
      </c>
      <c r="E12" s="10">
        <v>44470</v>
      </c>
      <c r="F12" s="10">
        <v>46828</v>
      </c>
      <c r="G12" s="10">
        <v>49830</v>
      </c>
      <c r="H12" s="10">
        <v>52653</v>
      </c>
      <c r="I12" s="10">
        <v>53875</v>
      </c>
      <c r="J12" s="10">
        <v>54685</v>
      </c>
      <c r="K12" s="10">
        <v>50218</v>
      </c>
      <c r="L12" s="10">
        <v>55418</v>
      </c>
      <c r="M12" s="10">
        <v>33938</v>
      </c>
      <c r="N12" s="10">
        <v>50218</v>
      </c>
      <c r="O12" s="24">
        <v>8.9999999999999993E-3</v>
      </c>
      <c r="P12" s="10">
        <v>1158</v>
      </c>
      <c r="Q12" s="10">
        <v>87952</v>
      </c>
      <c r="R12" s="24">
        <v>1.7999999999999999E-2</v>
      </c>
      <c r="S12" s="10">
        <v>301</v>
      </c>
      <c r="T12" s="10">
        <v>120947</v>
      </c>
      <c r="U12" s="24">
        <v>3.1E-2</v>
      </c>
      <c r="V12" s="10">
        <v>2219</v>
      </c>
      <c r="W12" s="10">
        <v>63397</v>
      </c>
      <c r="X12" s="24">
        <v>1.2999999999999999E-2</v>
      </c>
    </row>
    <row customFormat="1" r="13" s="23" spans="1:24" x14ac:dyDescent="0.2">
      <c r="A13" s="18">
        <v>2013</v>
      </c>
      <c r="B13" s="10">
        <v>28000</v>
      </c>
      <c r="C13" s="10">
        <v>40243</v>
      </c>
      <c r="D13" s="10">
        <v>42658</v>
      </c>
      <c r="E13" s="10">
        <v>45407</v>
      </c>
      <c r="F13" s="10">
        <v>47305</v>
      </c>
      <c r="G13" s="10">
        <v>50382</v>
      </c>
      <c r="H13" s="10">
        <v>53725</v>
      </c>
      <c r="I13" s="10">
        <v>54465</v>
      </c>
      <c r="J13" s="10">
        <v>58480</v>
      </c>
      <c r="K13" s="10">
        <v>50914</v>
      </c>
      <c r="L13" s="11">
        <v>56103</v>
      </c>
      <c r="M13" s="10">
        <v>34226</v>
      </c>
      <c r="N13" s="10">
        <v>50914</v>
      </c>
      <c r="O13" s="24">
        <v>1.4E-2</v>
      </c>
      <c r="P13" s="10">
        <v>1155</v>
      </c>
      <c r="Q13" s="10">
        <v>90306</v>
      </c>
      <c r="R13" s="24">
        <v>2.7E-2</v>
      </c>
      <c r="S13" s="10">
        <v>300</v>
      </c>
      <c r="T13" s="10">
        <v>124743</v>
      </c>
      <c r="U13" s="24">
        <v>3.1E-2</v>
      </c>
      <c r="V13" s="10">
        <v>2158</v>
      </c>
      <c r="W13" s="10">
        <v>65397</v>
      </c>
      <c r="X13" s="24">
        <v>3.2000000000000001E-2</v>
      </c>
    </row>
    <row customFormat="1" r="14" s="23" spans="1:24" x14ac:dyDescent="0.2">
      <c r="A14" s="18">
        <v>2014</v>
      </c>
      <c r="B14" s="10">
        <v>28000</v>
      </c>
      <c r="C14" s="10">
        <v>41082</v>
      </c>
      <c r="D14" s="10">
        <v>43197</v>
      </c>
      <c r="E14" s="10">
        <v>46112</v>
      </c>
      <c r="F14" s="10">
        <v>48281</v>
      </c>
      <c r="G14" s="10">
        <v>51290</v>
      </c>
      <c r="H14" s="10">
        <v>54985</v>
      </c>
      <c r="I14" s="10">
        <v>55670</v>
      </c>
      <c r="J14" s="10">
        <v>59474</v>
      </c>
      <c r="K14" s="10">
        <v>52001</v>
      </c>
      <c r="L14" s="10">
        <v>56610</v>
      </c>
      <c r="M14" s="10">
        <v>34509</v>
      </c>
      <c r="N14" s="10">
        <v>52001</v>
      </c>
      <c r="O14" s="24">
        <v>2.1000000000000001E-2</v>
      </c>
      <c r="P14" s="10">
        <v>1149</v>
      </c>
      <c r="Q14" s="10">
        <v>92585</v>
      </c>
      <c r="R14" s="24">
        <v>2.5000000000000001E-2</v>
      </c>
      <c r="S14" s="10">
        <v>289</v>
      </c>
      <c r="T14" s="10">
        <v>130217</v>
      </c>
      <c r="U14" s="24">
        <v>4.3999999999999997E-2</v>
      </c>
      <c r="V14" s="10">
        <v>2189</v>
      </c>
      <c r="W14" s="10">
        <v>66990</v>
      </c>
      <c r="X14" s="24">
        <v>2.4E-2</v>
      </c>
    </row>
    <row customFormat="1" r="15" s="23" spans="1:24" x14ac:dyDescent="0.2">
      <c r="A15" s="18">
        <v>2015</v>
      </c>
      <c r="B15" s="10">
        <v>28000</v>
      </c>
      <c r="C15" s="10">
        <v>42573.05</v>
      </c>
      <c r="D15" s="10">
        <v>43778.89</v>
      </c>
      <c r="E15" s="10">
        <v>47033.96</v>
      </c>
      <c r="F15" s="10">
        <v>49326.74</v>
      </c>
      <c r="G15" s="10">
        <v>52664.91</v>
      </c>
      <c r="H15" s="10">
        <v>56344.45</v>
      </c>
      <c r="I15" s="10">
        <v>56916.59</v>
      </c>
      <c r="J15" s="10">
        <v>61237.86</v>
      </c>
      <c r="K15" s="10">
        <v>53267.81</v>
      </c>
      <c r="L15" s="10">
        <v>57420</v>
      </c>
      <c r="M15" s="11">
        <v>34737</v>
      </c>
      <c r="N15" s="11">
        <v>53268</v>
      </c>
      <c r="O15" s="12">
        <v>2.4364916059306553E-2</v>
      </c>
      <c r="P15" s="11">
        <v>1149</v>
      </c>
      <c r="Q15" s="11">
        <v>96018</v>
      </c>
      <c r="R15" s="12">
        <v>3.707944051412216E-2</v>
      </c>
      <c r="S15" s="11">
        <v>285</v>
      </c>
      <c r="T15" s="11">
        <v>136678</v>
      </c>
      <c r="U15" s="12">
        <v>4.9617177480666887E-2</v>
      </c>
      <c r="V15" s="11">
        <v>2231</v>
      </c>
      <c r="W15" s="11">
        <v>68911</v>
      </c>
      <c r="X15" s="12">
        <v>2.8675921779370055E-2</v>
      </c>
    </row>
    <row customFormat="1" r="16" s="23" spans="1:24" x14ac:dyDescent="0.2">
      <c r="A16" s="18">
        <v>2016</v>
      </c>
      <c r="B16" s="10">
        <v>28000</v>
      </c>
      <c r="C16" s="20">
        <v>43031.199999999997</v>
      </c>
      <c r="D16" s="20">
        <v>44767.83</v>
      </c>
      <c r="E16" s="20">
        <v>48023.28</v>
      </c>
      <c r="F16" s="20">
        <v>49976.84</v>
      </c>
      <c r="G16" s="20">
        <v>53482.07</v>
      </c>
      <c r="H16" s="20">
        <v>57324.98</v>
      </c>
      <c r="I16" s="20">
        <v>57605.2</v>
      </c>
      <c r="J16" s="20">
        <v>62838</v>
      </c>
      <c r="K16" s="20">
        <v>54144.36</v>
      </c>
      <c r="L16" s="20">
        <v>58353</v>
      </c>
      <c r="M16" s="20">
        <v>34805</v>
      </c>
      <c r="N16" s="20">
        <v>54179</v>
      </c>
      <c r="O16" s="21">
        <f>(N16-N15)/N15</f>
        <v>1.7102200195239167E-2</v>
      </c>
      <c r="P16" s="20">
        <v>1140</v>
      </c>
      <c r="Q16" s="20">
        <v>98882</v>
      </c>
      <c r="R16" s="21">
        <f>(Q16-Q15)/Q15</f>
        <v>2.982774063196484E-2</v>
      </c>
      <c r="S16" s="20">
        <v>283</v>
      </c>
      <c r="T16" s="20">
        <v>142127</v>
      </c>
      <c r="U16" s="12">
        <f>(T16-T15)/T15</f>
        <v>3.9867425628118645E-2</v>
      </c>
      <c r="V16" s="20">
        <v>2224</v>
      </c>
      <c r="W16" s="20">
        <v>70582.38</v>
      </c>
      <c r="X16" s="21">
        <v>2.4254182931607502E-2</v>
      </c>
    </row>
    <row customFormat="1" r="17" s="23" spans="1:24" x14ac:dyDescent="0.2">
      <c r="A17" s="18">
        <v>2017</v>
      </c>
      <c r="B17" s="20">
        <v>33500</v>
      </c>
      <c r="C17" s="20">
        <v>43774</v>
      </c>
      <c r="D17" s="20">
        <v>45430</v>
      </c>
      <c r="E17" s="20">
        <v>49011</v>
      </c>
      <c r="F17" s="20">
        <v>50576</v>
      </c>
      <c r="G17" s="20">
        <v>54838</v>
      </c>
      <c r="H17" s="20">
        <v>58260</v>
      </c>
      <c r="I17" s="20">
        <v>59262</v>
      </c>
      <c r="J17" s="20">
        <v>65313</v>
      </c>
      <c r="K17" s="20">
        <v>55397</v>
      </c>
      <c r="L17" s="20">
        <v>59660</v>
      </c>
      <c r="M17" s="20">
        <v>34551</v>
      </c>
      <c r="N17" s="20">
        <v>55397</v>
      </c>
      <c r="O17" s="21">
        <f>(N17-N16)/N16</f>
        <v>2.2481035087395487E-2</v>
      </c>
      <c r="P17" s="20">
        <v>1139</v>
      </c>
      <c r="Q17" s="20">
        <v>102236</v>
      </c>
      <c r="R17" s="21">
        <f>(Q17-Q16)/Q16</f>
        <v>3.3919216844319491E-2</v>
      </c>
      <c r="S17" s="20">
        <v>273</v>
      </c>
      <c r="T17" s="20">
        <v>147825</v>
      </c>
      <c r="U17" s="12">
        <f>(T17-T16)/T16</f>
        <v>4.0090904613479493E-2</v>
      </c>
      <c r="V17" s="20">
        <v>2186</v>
      </c>
      <c r="W17" s="20">
        <v>72540</v>
      </c>
      <c r="X17" s="21">
        <v>2.4254182931607502E-2</v>
      </c>
    </row>
    <row customFormat="1" r="18" s="23" spans="1:24" x14ac:dyDescent="0.2">
      <c r="A18" s="18">
        <v>2018</v>
      </c>
      <c r="B18" s="20">
        <v>33500</v>
      </c>
      <c r="C18" s="20">
        <v>43117</v>
      </c>
      <c r="D18" s="20">
        <v>44700</v>
      </c>
      <c r="E18" s="20">
        <v>48349</v>
      </c>
      <c r="F18" s="20">
        <v>49875</v>
      </c>
      <c r="G18" s="20">
        <v>53703</v>
      </c>
      <c r="H18" s="20">
        <v>57092</v>
      </c>
      <c r="I18" s="20">
        <v>57605</v>
      </c>
      <c r="J18" s="20">
        <v>67060</v>
      </c>
      <c r="K18" s="20">
        <v>56978</v>
      </c>
      <c r="L18" s="20">
        <v>60483</v>
      </c>
      <c r="M18" s="20">
        <v>36786</v>
      </c>
      <c r="N18" s="20">
        <v>56978</v>
      </c>
      <c r="O18" s="21">
        <v>2.8539451594851706E-2</v>
      </c>
      <c r="P18" s="20">
        <v>1133</v>
      </c>
      <c r="Q18" s="20">
        <v>103668</v>
      </c>
      <c r="R18" s="21">
        <v>1.4006807778082084E-2</v>
      </c>
      <c r="S18" s="20">
        <v>270</v>
      </c>
      <c r="T18" s="20">
        <v>151327</v>
      </c>
      <c r="U18" s="21">
        <v>2.3690174192457298E-2</v>
      </c>
      <c r="V18" s="20">
        <v>2217</v>
      </c>
      <c r="W18" s="20">
        <v>73326</v>
      </c>
      <c r="X18" s="21">
        <v>1.0835401157981803E-2</v>
      </c>
    </row>
    <row customFormat="1" r="19" s="23" spans="1:24" x14ac:dyDescent="0.2">
      <c r="A19" s="1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0"/>
      <c r="Q19" s="20"/>
      <c r="R19" s="21"/>
      <c r="S19" s="20"/>
      <c r="T19" s="20"/>
      <c r="V19" s="20"/>
      <c r="W19" s="20"/>
      <c r="X19" s="21"/>
    </row>
    <row customFormat="1" r="20" s="23" spans="1:24" x14ac:dyDescent="0.2">
      <c r="A20" s="1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20"/>
      <c r="Q20" s="20"/>
      <c r="R20" s="21"/>
      <c r="S20" s="20"/>
      <c r="T20" s="20"/>
      <c r="V20" s="20"/>
      <c r="W20" s="20"/>
      <c r="X20" s="21"/>
    </row>
    <row customFormat="1" r="21" s="23" spans="1:24" x14ac:dyDescent="0.2">
      <c r="A21" s="18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0"/>
      <c r="Q21" s="20"/>
      <c r="R21" s="21"/>
      <c r="S21" s="20"/>
      <c r="T21" s="20"/>
      <c r="V21" s="20"/>
      <c r="W21" s="20"/>
      <c r="X21" s="21"/>
    </row>
    <row customFormat="1" r="22" s="23" spans="1:24" x14ac:dyDescent="0.2">
      <c r="A22" s="18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0"/>
      <c r="Q22" s="20"/>
      <c r="R22" s="21"/>
      <c r="S22" s="20"/>
      <c r="T22" s="20"/>
      <c r="V22" s="20"/>
      <c r="W22" s="20"/>
      <c r="X22" s="21"/>
    </row>
    <row customFormat="1" r="23" s="23" spans="1:24" x14ac:dyDescent="0.2">
      <c r="A23" s="1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0"/>
      <c r="Q23" s="20"/>
      <c r="R23" s="21"/>
      <c r="S23" s="20"/>
      <c r="T23" s="20"/>
      <c r="V23" s="20"/>
      <c r="W23" s="20"/>
      <c r="X23" s="21"/>
    </row>
    <row customFormat="1" r="24" s="23" spans="1:24" x14ac:dyDescent="0.2">
      <c r="A24" s="1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0"/>
      <c r="Q24" s="20"/>
      <c r="R24" s="21"/>
      <c r="S24" s="20"/>
      <c r="T24" s="20"/>
      <c r="V24" s="20"/>
      <c r="W24" s="20"/>
      <c r="X24" s="21"/>
    </row>
    <row customFormat="1" r="25" s="23" spans="1:24" x14ac:dyDescent="0.2">
      <c r="A25" s="1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20"/>
      <c r="Q25" s="20"/>
      <c r="R25" s="21"/>
      <c r="S25" s="20"/>
      <c r="T25" s="20"/>
      <c r="V25" s="20"/>
      <c r="W25" s="20"/>
      <c r="X25" s="21"/>
    </row>
    <row customFormat="1" r="26" s="23" spans="1:24" x14ac:dyDescent="0.2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20"/>
      <c r="Q26" s="20"/>
      <c r="R26" s="21"/>
      <c r="S26" s="20"/>
      <c r="T26" s="20"/>
      <c r="V26" s="20"/>
      <c r="W26" s="20"/>
      <c r="X26" s="21"/>
    </row>
    <row customFormat="1" r="27" s="23" spans="1:24" x14ac:dyDescent="0.2">
      <c r="A27" s="18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20"/>
      <c r="Q27" s="20"/>
      <c r="R27" s="21"/>
      <c r="S27" s="20"/>
      <c r="T27" s="20"/>
      <c r="V27" s="20"/>
      <c r="W27" s="20"/>
      <c r="X27" s="21"/>
    </row>
    <row customFormat="1" r="28" s="23" spans="1:24" x14ac:dyDescent="0.2">
      <c r="A28" s="1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20"/>
      <c r="Q28" s="20"/>
      <c r="R28" s="21"/>
      <c r="S28" s="20"/>
      <c r="T28" s="20"/>
      <c r="V28" s="20"/>
      <c r="W28" s="20"/>
      <c r="X28" s="21"/>
    </row>
    <row customFormat="1" r="29" s="23" spans="1:24" x14ac:dyDescent="0.2">
      <c r="A29" s="18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0"/>
      <c r="Q29" s="20"/>
      <c r="R29" s="21"/>
      <c r="S29" s="20"/>
      <c r="T29" s="20"/>
      <c r="V29" s="20"/>
      <c r="W29" s="20"/>
      <c r="X29" s="21"/>
    </row>
    <row customFormat="1" r="30" s="23" spans="1:24" x14ac:dyDescent="0.2">
      <c r="A30" s="1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  <c r="P30" s="20"/>
      <c r="Q30" s="20"/>
      <c r="R30" s="21"/>
      <c r="S30" s="20"/>
      <c r="T30" s="20"/>
      <c r="V30" s="20"/>
      <c r="W30" s="20"/>
      <c r="X30" s="21"/>
    </row>
    <row customFormat="1" r="31" s="23" spans="1:24" x14ac:dyDescent="0.2">
      <c r="A31" s="1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20"/>
      <c r="Q31" s="20"/>
      <c r="R31" s="21"/>
      <c r="S31" s="20"/>
      <c r="T31" s="20"/>
      <c r="V31" s="20"/>
      <c r="W31" s="20"/>
      <c r="X31" s="21"/>
    </row>
    <row customFormat="1" r="32" s="23" spans="1:24" x14ac:dyDescent="0.2">
      <c r="A32" s="18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20"/>
      <c r="Q32" s="20"/>
      <c r="R32" s="21"/>
      <c r="S32" s="20"/>
      <c r="T32" s="20"/>
      <c r="V32" s="20"/>
      <c r="W32" s="20"/>
      <c r="X32" s="21"/>
    </row>
    <row customFormat="1" r="33" s="23" spans="1:24" x14ac:dyDescent="0.2">
      <c r="A33" s="18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20"/>
      <c r="Q33" s="20"/>
      <c r="R33" s="21"/>
      <c r="S33" s="20"/>
      <c r="T33" s="20"/>
      <c r="V33" s="20"/>
      <c r="W33" s="20"/>
      <c r="X33" s="21"/>
    </row>
    <row customFormat="1" r="34" s="23" spans="1:24" x14ac:dyDescent="0.2">
      <c r="A34" s="18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20"/>
      <c r="Q34" s="20"/>
      <c r="R34" s="21"/>
      <c r="S34" s="20"/>
      <c r="T34" s="20"/>
      <c r="V34" s="20"/>
      <c r="W34" s="20"/>
      <c r="X34" s="21"/>
    </row>
    <row customFormat="1" r="35" s="23" spans="1:24" x14ac:dyDescent="0.2">
      <c r="A35" s="18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20"/>
      <c r="Q35" s="20"/>
      <c r="R35" s="21"/>
      <c r="S35" s="20"/>
      <c r="T35" s="20"/>
      <c r="V35" s="20"/>
      <c r="W35" s="20"/>
      <c r="X35" s="21"/>
    </row>
    <row customFormat="1" r="36" s="23" spans="1:24" x14ac:dyDescent="0.2">
      <c r="A36" s="18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20"/>
      <c r="Q36" s="20"/>
      <c r="R36" s="21"/>
      <c r="S36" s="20"/>
      <c r="T36" s="20"/>
      <c r="V36" s="20"/>
      <c r="W36" s="20"/>
      <c r="X36" s="21"/>
    </row>
    <row customFormat="1" r="37" s="23" spans="1:24" x14ac:dyDescent="0.2">
      <c r="A37" s="18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20"/>
      <c r="Q37" s="20"/>
      <c r="R37" s="21"/>
      <c r="S37" s="20"/>
      <c r="T37" s="20"/>
      <c r="V37" s="20"/>
      <c r="W37" s="20"/>
      <c r="X37" s="21"/>
    </row>
    <row customFormat="1" r="38" s="23" spans="1:24" x14ac:dyDescent="0.2">
      <c r="A38" s="18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20"/>
      <c r="Q38" s="20"/>
      <c r="R38" s="21"/>
      <c r="S38" s="20"/>
      <c r="T38" s="20"/>
      <c r="V38" s="20"/>
      <c r="W38" s="20"/>
      <c r="X38" s="21"/>
    </row>
    <row customFormat="1" r="39" s="23" spans="1:24" x14ac:dyDescent="0.2">
      <c r="A39" s="1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20"/>
      <c r="Q39" s="20"/>
      <c r="R39" s="21"/>
      <c r="S39" s="20"/>
      <c r="T39" s="20"/>
      <c r="V39" s="20"/>
      <c r="W39" s="20"/>
      <c r="X39" s="21"/>
    </row>
    <row customFormat="1" r="40" s="23" spans="1:24" x14ac:dyDescent="0.2">
      <c r="A40" s="18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  <c r="P40" s="20"/>
      <c r="Q40" s="20"/>
      <c r="R40" s="21"/>
      <c r="S40" s="20"/>
      <c r="T40" s="20"/>
      <c r="V40" s="20"/>
      <c r="W40" s="20"/>
      <c r="X40" s="21"/>
    </row>
    <row customFormat="1" r="41" s="23" spans="1:24" x14ac:dyDescent="0.2">
      <c r="A41" s="18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/>
      <c r="P41" s="20"/>
      <c r="Q41" s="20"/>
      <c r="R41" s="21"/>
      <c r="S41" s="20"/>
      <c r="T41" s="20"/>
      <c r="V41" s="20"/>
      <c r="W41" s="20"/>
      <c r="X41" s="21"/>
    </row>
    <row customFormat="1" r="42" s="23" spans="1:24" x14ac:dyDescent="0.2">
      <c r="A42" s="18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20"/>
      <c r="Q42" s="20"/>
      <c r="R42" s="21"/>
      <c r="S42" s="20"/>
      <c r="T42" s="20"/>
      <c r="V42" s="20"/>
      <c r="W42" s="20"/>
      <c r="X42" s="21"/>
    </row>
    <row customFormat="1" r="43" s="23" spans="1:24" x14ac:dyDescent="0.2">
      <c r="A43" s="18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1"/>
      <c r="P43" s="20"/>
      <c r="Q43" s="20"/>
      <c r="R43" s="21"/>
      <c r="S43" s="20"/>
      <c r="T43" s="20"/>
      <c r="V43" s="20"/>
      <c r="W43" s="20"/>
      <c r="X43" s="21"/>
    </row>
    <row customFormat="1" r="44" s="23" spans="1:24" x14ac:dyDescent="0.2">
      <c r="A44" s="18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1"/>
      <c r="P44" s="20"/>
      <c r="Q44" s="20"/>
      <c r="R44" s="21"/>
      <c r="S44" s="20"/>
      <c r="T44" s="20"/>
      <c r="V44" s="20"/>
      <c r="W44" s="20"/>
      <c r="X44" s="21"/>
    </row>
    <row customFormat="1" r="45" s="23" spans="1:24" x14ac:dyDescent="0.2">
      <c r="A45" s="18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  <c r="P45" s="20"/>
      <c r="Q45" s="20"/>
      <c r="R45" s="21"/>
      <c r="S45" s="20"/>
      <c r="T45" s="20"/>
      <c r="V45" s="20"/>
      <c r="W45" s="20"/>
      <c r="X45" s="21"/>
    </row>
    <row customFormat="1" r="46" s="23" spans="1:24" x14ac:dyDescent="0.2">
      <c r="A46" s="18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  <c r="P46" s="20"/>
      <c r="Q46" s="20"/>
      <c r="R46" s="21"/>
      <c r="S46" s="20"/>
      <c r="T46" s="20"/>
      <c r="V46" s="20"/>
      <c r="W46" s="20"/>
      <c r="X46" s="21"/>
    </row>
    <row customFormat="1" r="47" s="23" spans="1:24" x14ac:dyDescent="0.2">
      <c r="A47" s="18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1"/>
      <c r="P47" s="20"/>
      <c r="Q47" s="20"/>
      <c r="R47" s="21"/>
      <c r="S47" s="20"/>
      <c r="T47" s="20"/>
      <c r="V47" s="20"/>
      <c r="W47" s="20"/>
      <c r="X47" s="21"/>
    </row>
    <row customFormat="1" r="48" s="23" spans="1:24" x14ac:dyDescent="0.2">
      <c r="A48" s="18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  <c r="P48" s="20"/>
      <c r="Q48" s="20"/>
      <c r="R48" s="21"/>
      <c r="S48" s="20"/>
      <c r="T48" s="20"/>
      <c r="V48" s="20"/>
      <c r="W48" s="20"/>
      <c r="X48" s="21"/>
    </row>
    <row customFormat="1" r="49" s="23" spans="1:24" x14ac:dyDescent="0.2">
      <c r="A49" s="18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1"/>
      <c r="P49" s="20"/>
      <c r="Q49" s="20"/>
      <c r="R49" s="21"/>
      <c r="S49" s="20"/>
      <c r="T49" s="20"/>
      <c r="V49" s="20"/>
      <c r="W49" s="20"/>
      <c r="X49" s="21"/>
    </row>
    <row customFormat="1" r="50" s="23" spans="1:24" x14ac:dyDescent="0.2">
      <c r="A50" s="18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1"/>
      <c r="P50" s="20"/>
      <c r="Q50" s="20"/>
      <c r="R50" s="21"/>
      <c r="S50" s="20"/>
      <c r="T50" s="20"/>
      <c r="V50" s="20"/>
      <c r="W50" s="20"/>
      <c r="X50" s="21"/>
    </row>
    <row customFormat="1" r="51" s="23" spans="1:24" x14ac:dyDescent="0.2">
      <c r="A51" s="18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1"/>
      <c r="P51" s="20"/>
      <c r="Q51" s="20"/>
      <c r="R51" s="21"/>
      <c r="S51" s="20"/>
      <c r="T51" s="20"/>
      <c r="V51" s="20"/>
      <c r="W51" s="20"/>
      <c r="X51" s="21"/>
    </row>
    <row customFormat="1" r="52" s="23" spans="1:24" x14ac:dyDescent="0.2">
      <c r="A52" s="18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1"/>
      <c r="P52" s="20"/>
      <c r="Q52" s="20"/>
      <c r="R52" s="21"/>
      <c r="S52" s="20"/>
      <c r="T52" s="20"/>
      <c r="V52" s="20"/>
      <c r="W52" s="20"/>
      <c r="X52" s="21"/>
    </row>
    <row customFormat="1" r="53" s="23" spans="1:24" x14ac:dyDescent="0.2">
      <c r="A53" s="18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1"/>
      <c r="P53" s="20"/>
      <c r="Q53" s="20"/>
      <c r="R53" s="21"/>
      <c r="S53" s="20"/>
      <c r="T53" s="20"/>
      <c r="V53" s="20"/>
      <c r="W53" s="20"/>
      <c r="X53" s="21"/>
    </row>
    <row customFormat="1" r="54" s="23" spans="1:24" x14ac:dyDescent="0.2">
      <c r="A54" s="18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1"/>
      <c r="P54" s="20"/>
      <c r="Q54" s="20"/>
      <c r="R54" s="21"/>
      <c r="S54" s="20"/>
      <c r="T54" s="20"/>
      <c r="V54" s="20"/>
      <c r="W54" s="20"/>
      <c r="X54" s="21"/>
    </row>
    <row customFormat="1" r="55" s="23" spans="1:24" x14ac:dyDescent="0.2">
      <c r="A55" s="18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1"/>
      <c r="P55" s="20"/>
      <c r="Q55" s="20"/>
      <c r="R55" s="21"/>
      <c r="S55" s="20"/>
      <c r="T55" s="20"/>
      <c r="V55" s="20"/>
      <c r="W55" s="20"/>
      <c r="X55" s="21"/>
    </row>
    <row customFormat="1" r="56" s="23" spans="1:24" x14ac:dyDescent="0.2">
      <c r="A56" s="18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1"/>
      <c r="P56" s="20"/>
      <c r="Q56" s="20"/>
      <c r="R56" s="21"/>
      <c r="S56" s="20"/>
      <c r="T56" s="20"/>
      <c r="V56" s="20"/>
      <c r="W56" s="20"/>
      <c r="X56" s="21"/>
    </row>
    <row customFormat="1" r="57" s="23" spans="1:24" x14ac:dyDescent="0.2">
      <c r="A57" s="18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1"/>
      <c r="P57" s="20"/>
      <c r="Q57" s="20"/>
      <c r="R57" s="21"/>
      <c r="S57" s="20"/>
      <c r="T57" s="20"/>
      <c r="V57" s="20"/>
      <c r="W57" s="20"/>
      <c r="X57" s="21"/>
    </row>
    <row customFormat="1" r="58" s="23" spans="1:24" x14ac:dyDescent="0.2">
      <c r="A58" s="18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1"/>
      <c r="P58" s="20"/>
      <c r="Q58" s="20"/>
      <c r="R58" s="21"/>
      <c r="S58" s="20"/>
      <c r="T58" s="20"/>
      <c r="V58" s="20"/>
      <c r="W58" s="20"/>
      <c r="X58" s="21"/>
    </row>
    <row customFormat="1" r="59" s="23" spans="1:24" x14ac:dyDescent="0.2">
      <c r="A59" s="18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1"/>
      <c r="P59" s="20"/>
      <c r="Q59" s="20"/>
      <c r="R59" s="21"/>
      <c r="S59" s="20"/>
      <c r="T59" s="20"/>
      <c r="V59" s="20"/>
      <c r="W59" s="20"/>
      <c r="X59" s="21"/>
    </row>
    <row customFormat="1" r="60" s="23" spans="1:24" x14ac:dyDescent="0.2">
      <c r="A60" s="18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1"/>
      <c r="P60" s="20"/>
      <c r="Q60" s="20"/>
      <c r="R60" s="21"/>
      <c r="S60" s="20"/>
      <c r="T60" s="20"/>
      <c r="V60" s="20"/>
      <c r="W60" s="20"/>
      <c r="X60" s="21"/>
    </row>
    <row customFormat="1" r="61" s="23" spans="1:24" x14ac:dyDescent="0.2">
      <c r="A61" s="18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1"/>
      <c r="P61" s="20"/>
      <c r="Q61" s="20"/>
      <c r="R61" s="21"/>
      <c r="S61" s="20"/>
      <c r="T61" s="20"/>
      <c r="V61" s="20"/>
      <c r="W61" s="20"/>
      <c r="X61" s="21"/>
    </row>
    <row customFormat="1" r="62" s="23" spans="1:24" x14ac:dyDescent="0.2">
      <c r="A62" s="18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1"/>
      <c r="P62" s="20"/>
      <c r="Q62" s="20"/>
      <c r="R62" s="21"/>
      <c r="S62" s="20"/>
      <c r="T62" s="20"/>
      <c r="V62" s="20"/>
      <c r="W62" s="20"/>
      <c r="X62" s="21"/>
    </row>
    <row customFormat="1" r="63" s="23" spans="1:24" x14ac:dyDescent="0.2">
      <c r="A63" s="18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1"/>
      <c r="P63" s="20"/>
      <c r="Q63" s="20"/>
      <c r="R63" s="21"/>
      <c r="S63" s="20"/>
      <c r="T63" s="20"/>
      <c r="V63" s="20"/>
      <c r="W63" s="20"/>
      <c r="X63" s="21"/>
    </row>
    <row customFormat="1" r="64" s="23" spans="1:24" x14ac:dyDescent="0.2">
      <c r="A64" s="18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1"/>
      <c r="P64" s="20"/>
      <c r="Q64" s="20"/>
      <c r="R64" s="21"/>
      <c r="S64" s="20"/>
      <c r="T64" s="20"/>
      <c r="V64" s="20"/>
      <c r="W64" s="20"/>
      <c r="X64" s="21"/>
    </row>
    <row customFormat="1" r="65" s="23" spans="1:24" x14ac:dyDescent="0.2">
      <c r="A65" s="18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1"/>
      <c r="P65" s="20"/>
      <c r="Q65" s="20"/>
      <c r="R65" s="21"/>
      <c r="S65" s="20"/>
      <c r="T65" s="20"/>
      <c r="V65" s="20"/>
      <c r="W65" s="20"/>
      <c r="X65" s="21"/>
    </row>
    <row customFormat="1" r="66" s="23" spans="1:24" x14ac:dyDescent="0.2">
      <c r="A66" s="18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1"/>
      <c r="P66" s="20"/>
      <c r="Q66" s="20"/>
      <c r="R66" s="21"/>
      <c r="S66" s="20"/>
      <c r="T66" s="20"/>
      <c r="V66" s="20"/>
      <c r="W66" s="20"/>
      <c r="X66" s="21"/>
    </row>
    <row customFormat="1" r="67" s="23" spans="1:24" x14ac:dyDescent="0.2">
      <c r="A67" s="18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1"/>
      <c r="P67" s="20"/>
      <c r="Q67" s="20"/>
      <c r="R67" s="21"/>
      <c r="S67" s="20"/>
      <c r="T67" s="20"/>
      <c r="V67" s="20"/>
      <c r="W67" s="20"/>
      <c r="X67" s="21"/>
    </row>
    <row customFormat="1" r="68" s="23" spans="1:24" x14ac:dyDescent="0.2">
      <c r="A68" s="18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1"/>
      <c r="P68" s="20"/>
      <c r="Q68" s="20"/>
      <c r="R68" s="21"/>
      <c r="S68" s="20"/>
      <c r="T68" s="20"/>
      <c r="V68" s="20"/>
      <c r="W68" s="20"/>
      <c r="X68" s="21"/>
    </row>
    <row customFormat="1" r="69" s="23" spans="1:24" x14ac:dyDescent="0.2">
      <c r="A69" s="18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1"/>
      <c r="P69" s="20"/>
      <c r="Q69" s="20"/>
      <c r="R69" s="21"/>
      <c r="S69" s="20"/>
      <c r="T69" s="20"/>
      <c r="V69" s="20"/>
      <c r="W69" s="20"/>
      <c r="X69" s="21"/>
    </row>
    <row customFormat="1" r="70" s="23" spans="1:24" x14ac:dyDescent="0.2">
      <c r="A70" s="18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1"/>
      <c r="P70" s="20"/>
      <c r="Q70" s="20"/>
      <c r="R70" s="21"/>
      <c r="S70" s="20"/>
      <c r="T70" s="20"/>
      <c r="V70" s="20"/>
      <c r="W70" s="20"/>
      <c r="X70" s="21"/>
    </row>
    <row customFormat="1" r="71" s="23" spans="1:24" x14ac:dyDescent="0.2">
      <c r="A71" s="18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1"/>
      <c r="P71" s="20"/>
      <c r="Q71" s="20"/>
      <c r="R71" s="21"/>
      <c r="S71" s="20"/>
      <c r="T71" s="20"/>
      <c r="V71" s="20"/>
      <c r="W71" s="20"/>
      <c r="X71" s="21"/>
    </row>
    <row customFormat="1" r="72" s="23" spans="1:24" x14ac:dyDescent="0.2">
      <c r="A72" s="18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1"/>
      <c r="P72" s="20"/>
      <c r="Q72" s="20"/>
      <c r="R72" s="21"/>
      <c r="S72" s="20"/>
      <c r="T72" s="20"/>
      <c r="V72" s="20"/>
      <c r="W72" s="20"/>
      <c r="X72" s="21"/>
    </row>
    <row customFormat="1" r="73" s="23" spans="1:24" x14ac:dyDescent="0.2">
      <c r="A73" s="18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1"/>
      <c r="P73" s="20"/>
      <c r="Q73" s="20"/>
      <c r="R73" s="21"/>
      <c r="S73" s="20"/>
      <c r="T73" s="20"/>
      <c r="V73" s="20"/>
      <c r="W73" s="20"/>
      <c r="X73" s="21"/>
    </row>
    <row customFormat="1" r="74" s="23" spans="1:24" x14ac:dyDescent="0.2">
      <c r="A74" s="18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1"/>
      <c r="P74" s="20"/>
      <c r="Q74" s="20"/>
      <c r="R74" s="21"/>
      <c r="S74" s="20"/>
      <c r="T74" s="20"/>
      <c r="V74" s="20"/>
      <c r="W74" s="20"/>
      <c r="X74" s="21"/>
    </row>
    <row customFormat="1" r="75" s="23" spans="1:24" x14ac:dyDescent="0.2">
      <c r="A75" s="18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1"/>
      <c r="P75" s="20"/>
      <c r="Q75" s="20"/>
      <c r="R75" s="21"/>
      <c r="S75" s="20"/>
      <c r="T75" s="20"/>
      <c r="V75" s="20"/>
      <c r="W75" s="20"/>
      <c r="X75" s="21"/>
    </row>
    <row customFormat="1" r="76" s="23" spans="1:24" x14ac:dyDescent="0.2">
      <c r="A76" s="18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1"/>
      <c r="P76" s="20"/>
      <c r="Q76" s="20"/>
      <c r="R76" s="21"/>
      <c r="S76" s="20"/>
      <c r="T76" s="20"/>
      <c r="V76" s="20"/>
      <c r="W76" s="20"/>
      <c r="X76" s="21"/>
    </row>
    <row customFormat="1" r="77" s="23" spans="1:24" x14ac:dyDescent="0.2">
      <c r="A77" s="18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1"/>
      <c r="P77" s="20"/>
      <c r="Q77" s="20"/>
      <c r="R77" s="21"/>
      <c r="S77" s="20"/>
      <c r="T77" s="20"/>
      <c r="V77" s="20"/>
      <c r="W77" s="20"/>
      <c r="X77" s="21"/>
    </row>
    <row customFormat="1" r="78" s="23" spans="1:24" x14ac:dyDescent="0.2">
      <c r="A78" s="18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1"/>
      <c r="P78" s="20"/>
      <c r="Q78" s="20"/>
      <c r="R78" s="21"/>
      <c r="S78" s="20"/>
      <c r="T78" s="20"/>
      <c r="V78" s="20"/>
      <c r="W78" s="20"/>
      <c r="X78" s="21"/>
    </row>
    <row customFormat="1" r="79" s="23" spans="1:24" x14ac:dyDescent="0.2">
      <c r="A79" s="18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1"/>
      <c r="P79" s="20"/>
      <c r="Q79" s="20"/>
      <c r="R79" s="21"/>
      <c r="S79" s="20"/>
      <c r="T79" s="20"/>
      <c r="V79" s="20"/>
      <c r="W79" s="20"/>
      <c r="X79" s="21"/>
    </row>
    <row customFormat="1" r="80" s="23" spans="1:24" x14ac:dyDescent="0.2">
      <c r="A80" s="18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1"/>
      <c r="P80" s="20"/>
      <c r="Q80" s="20"/>
      <c r="R80" s="21"/>
      <c r="S80" s="20"/>
      <c r="T80" s="20"/>
      <c r="V80" s="20"/>
      <c r="W80" s="20"/>
      <c r="X80" s="21"/>
    </row>
    <row customFormat="1" r="81" s="23" spans="1:24" x14ac:dyDescent="0.2">
      <c r="A81" s="18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1"/>
      <c r="P81" s="20"/>
      <c r="Q81" s="20"/>
      <c r="R81" s="21"/>
      <c r="S81" s="20"/>
      <c r="T81" s="20"/>
      <c r="V81" s="20"/>
      <c r="W81" s="20"/>
      <c r="X81" s="21"/>
    </row>
    <row customFormat="1" r="82" s="23" spans="1:24" x14ac:dyDescent="0.2">
      <c r="A82" s="18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1"/>
      <c r="P82" s="20"/>
      <c r="Q82" s="20"/>
      <c r="R82" s="21"/>
      <c r="S82" s="20"/>
      <c r="T82" s="20"/>
      <c r="V82" s="20"/>
      <c r="W82" s="20"/>
      <c r="X82" s="21"/>
    </row>
    <row customFormat="1" r="83" s="23" spans="1:24" x14ac:dyDescent="0.2">
      <c r="A83" s="18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1"/>
      <c r="P83" s="20"/>
      <c r="Q83" s="20"/>
      <c r="R83" s="21"/>
      <c r="S83" s="20"/>
      <c r="T83" s="20"/>
      <c r="V83" s="20"/>
      <c r="W83" s="20"/>
      <c r="X83" s="21"/>
    </row>
    <row customFormat="1" r="84" s="23" spans="1:24" x14ac:dyDescent="0.2">
      <c r="A84" s="18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1"/>
      <c r="P84" s="20"/>
      <c r="Q84" s="20"/>
      <c r="R84" s="21"/>
      <c r="S84" s="20"/>
      <c r="T84" s="20"/>
      <c r="V84" s="20"/>
      <c r="W84" s="20"/>
      <c r="X84" s="21"/>
    </row>
    <row customFormat="1" r="85" s="23" spans="1:24" x14ac:dyDescent="0.2">
      <c r="A85" s="18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1"/>
      <c r="P85" s="20"/>
      <c r="Q85" s="20"/>
      <c r="R85" s="21"/>
      <c r="S85" s="20"/>
      <c r="T85" s="20"/>
      <c r="V85" s="20"/>
      <c r="W85" s="20"/>
      <c r="X85" s="21"/>
    </row>
    <row customFormat="1" r="86" s="23" spans="1:24" x14ac:dyDescent="0.2">
      <c r="A86" s="18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1"/>
      <c r="P86" s="20"/>
      <c r="Q86" s="20"/>
      <c r="R86" s="21"/>
      <c r="S86" s="20"/>
      <c r="T86" s="20"/>
      <c r="V86" s="20"/>
      <c r="W86" s="20"/>
      <c r="X86" s="21"/>
    </row>
    <row customFormat="1" r="87" s="23" spans="1:24" x14ac:dyDescent="0.2">
      <c r="A87" s="18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1"/>
      <c r="P87" s="20"/>
      <c r="Q87" s="20"/>
      <c r="R87" s="21"/>
      <c r="S87" s="20"/>
      <c r="T87" s="20"/>
      <c r="V87" s="20"/>
      <c r="W87" s="20"/>
      <c r="X87" s="21"/>
    </row>
    <row customFormat="1" r="88" s="23" spans="1:24" x14ac:dyDescent="0.2">
      <c r="A88" s="18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1"/>
      <c r="P88" s="20"/>
      <c r="Q88" s="20"/>
      <c r="R88" s="21"/>
      <c r="S88" s="20"/>
      <c r="T88" s="20"/>
      <c r="V88" s="20"/>
      <c r="W88" s="20"/>
      <c r="X88" s="21"/>
    </row>
    <row customFormat="1" r="89" s="23" spans="1:24" x14ac:dyDescent="0.2">
      <c r="A89" s="18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1"/>
      <c r="P89" s="20"/>
      <c r="Q89" s="20"/>
      <c r="R89" s="21"/>
      <c r="S89" s="20"/>
      <c r="T89" s="20"/>
      <c r="V89" s="20"/>
      <c r="W89" s="20"/>
      <c r="X89" s="21"/>
    </row>
    <row customFormat="1" r="90" s="23" spans="1:24" x14ac:dyDescent="0.2">
      <c r="A90" s="18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1"/>
      <c r="P90" s="20"/>
      <c r="Q90" s="20"/>
      <c r="R90" s="21"/>
      <c r="S90" s="20"/>
      <c r="T90" s="20"/>
      <c r="V90" s="20"/>
      <c r="W90" s="20"/>
      <c r="X90" s="21"/>
    </row>
    <row customFormat="1" r="91" s="23" spans="1:24" x14ac:dyDescent="0.2">
      <c r="A91" s="18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1"/>
      <c r="P91" s="20"/>
      <c r="Q91" s="20"/>
      <c r="R91" s="21"/>
      <c r="S91" s="20"/>
      <c r="T91" s="20"/>
      <c r="V91" s="20"/>
      <c r="W91" s="20"/>
      <c r="X91" s="21"/>
    </row>
    <row customFormat="1" r="92" s="23" spans="1:24" x14ac:dyDescent="0.2">
      <c r="A92" s="18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1"/>
      <c r="P92" s="20"/>
      <c r="Q92" s="20"/>
      <c r="R92" s="21"/>
      <c r="S92" s="20"/>
      <c r="T92" s="20"/>
      <c r="V92" s="20"/>
      <c r="W92" s="20"/>
      <c r="X92" s="21"/>
    </row>
    <row customFormat="1" r="93" s="23" spans="1:24" x14ac:dyDescent="0.2">
      <c r="A93" s="18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1"/>
      <c r="P93" s="20"/>
      <c r="Q93" s="20"/>
      <c r="R93" s="21"/>
      <c r="S93" s="20"/>
      <c r="T93" s="20"/>
      <c r="V93" s="20"/>
      <c r="W93" s="20"/>
      <c r="X93" s="21"/>
    </row>
    <row customFormat="1" r="94" s="23" spans="1:24" x14ac:dyDescent="0.2">
      <c r="A94" s="18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1"/>
      <c r="P94" s="20"/>
      <c r="Q94" s="20"/>
      <c r="R94" s="21"/>
      <c r="S94" s="20"/>
      <c r="T94" s="20"/>
      <c r="V94" s="20"/>
      <c r="W94" s="20"/>
      <c r="X94" s="21"/>
    </row>
    <row customFormat="1" r="95" s="23" spans="1:24" x14ac:dyDescent="0.2">
      <c r="A95" s="18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1"/>
      <c r="P95" s="20"/>
      <c r="Q95" s="20"/>
      <c r="R95" s="21"/>
      <c r="S95" s="20"/>
      <c r="T95" s="20"/>
      <c r="V95" s="20"/>
      <c r="W95" s="20"/>
      <c r="X95" s="21"/>
    </row>
    <row customFormat="1" r="96" s="23" spans="1:24" x14ac:dyDescent="0.2">
      <c r="A96" s="18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1"/>
      <c r="P96" s="20"/>
      <c r="Q96" s="20"/>
      <c r="R96" s="21"/>
      <c r="S96" s="20"/>
      <c r="T96" s="20"/>
      <c r="V96" s="20"/>
      <c r="W96" s="20"/>
      <c r="X96" s="21"/>
    </row>
    <row customFormat="1" r="97" s="23" spans="1:24" x14ac:dyDescent="0.2">
      <c r="A97" s="18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1"/>
      <c r="P97" s="20"/>
      <c r="Q97" s="20"/>
      <c r="R97" s="21"/>
      <c r="S97" s="20"/>
      <c r="T97" s="20"/>
      <c r="V97" s="20"/>
      <c r="W97" s="20"/>
      <c r="X97" s="21"/>
    </row>
    <row customFormat="1" r="98" s="23" spans="1:24" x14ac:dyDescent="0.2">
      <c r="A98" s="18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1"/>
      <c r="P98" s="20"/>
      <c r="Q98" s="20"/>
      <c r="R98" s="21"/>
      <c r="S98" s="20"/>
      <c r="T98" s="20"/>
      <c r="V98" s="20"/>
      <c r="W98" s="20"/>
      <c r="X98" s="21"/>
    </row>
    <row customFormat="1" r="99" s="23" spans="1:24" x14ac:dyDescent="0.2">
      <c r="A99" s="18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1"/>
      <c r="P99" s="20"/>
      <c r="Q99" s="20"/>
      <c r="R99" s="21"/>
      <c r="S99" s="20"/>
      <c r="T99" s="20"/>
      <c r="V99" s="20"/>
      <c r="W99" s="20"/>
      <c r="X99" s="21"/>
    </row>
    <row customFormat="1" r="100" s="23" spans="1:24" x14ac:dyDescent="0.2">
      <c r="A100" s="18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1"/>
      <c r="P100" s="20"/>
      <c r="Q100" s="20"/>
      <c r="R100" s="21"/>
      <c r="S100" s="20"/>
      <c r="T100" s="20"/>
      <c r="V100" s="20"/>
      <c r="W100" s="20"/>
      <c r="X100" s="21"/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3"/>
  <dimension ref="A1:J6"/>
  <sheetViews>
    <sheetView workbookViewId="0">
      <selection activeCell="B6" sqref="B6"/>
    </sheetView>
  </sheetViews>
  <sheetFormatPr defaultRowHeight="12" x14ac:dyDescent="0.2"/>
  <cols>
    <col min="1" max="1" bestFit="true" customWidth="true" width="34.28515625" collapsed="false"/>
    <col min="2" max="2" bestFit="true" customWidth="true" width="58.85546875" collapsed="false"/>
    <col min="5" max="5" customWidth="true" width="35.5703125" collapsed="false"/>
    <col min="9" max="9" customWidth="true" hidden="true" width="0.0" collapsed="false"/>
  </cols>
  <sheetData>
    <row r="1" spans="1:9" x14ac:dyDescent="0.2">
      <c r="A1" t="s">
        <v>48</v>
      </c>
      <c r="B1" s="8" t="s">
        <v>73</v>
      </c>
      <c r="I1" t="s">
        <v>49</v>
      </c>
    </row>
    <row r="2" spans="1:9" x14ac:dyDescent="0.2">
      <c r="A2" t="s">
        <v>50</v>
      </c>
      <c r="B2" s="32" t="s">
        <v>74</v>
      </c>
      <c r="I2" t="s">
        <v>51</v>
      </c>
    </row>
    <row r="3" spans="1:9" x14ac:dyDescent="0.2">
      <c r="A3" t="s">
        <v>52</v>
      </c>
      <c r="B3" t="s">
        <v>49</v>
      </c>
      <c r="I3" t="s">
        <v>53</v>
      </c>
    </row>
    <row r="4" spans="1:9" x14ac:dyDescent="0.2">
      <c r="A4" t="s">
        <v>54</v>
      </c>
      <c r="B4" s="9" t="s">
        <v>75</v>
      </c>
      <c r="I4" t="s">
        <v>55</v>
      </c>
    </row>
    <row r="5" spans="1:9" x14ac:dyDescent="0.2">
      <c r="B5" t="s">
        <v>76</v>
      </c>
      <c r="E5" s="8"/>
    </row>
    <row r="6" spans="1:9" x14ac:dyDescent="0.2">
      <c r="B6" t="s">
        <v>77</v>
      </c>
    </row>
  </sheetData>
  <dataValidations count="1">
    <dataValidation allowBlank="1" showErrorMessage="1" showInputMessage="1" sqref="B3" type="list">
      <formula1>$I$1:$I$4</formula1>
    </dataValidation>
  </dataValidations>
  <hyperlinks>
    <hyperlink location="Staff_Data" r:id="rId1" ref="B2"/>
  </hyperlink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baseType="lpstr" size="8">
      <vt:lpstr>Factbook (old)</vt:lpstr>
      <vt:lpstr>Factbook (remake alternative)</vt:lpstr>
      <vt:lpstr>Factbook</vt:lpstr>
      <vt:lpstr>Data</vt:lpstr>
      <vt:lpstr>Notes</vt:lpstr>
      <vt:lpstr>Factbook!Print_Area</vt:lpstr>
      <vt:lpstr>'Factbook (old)'!Print_Area</vt:lpstr>
      <vt:lpstr>'Factbook (remake alternative)'!Print_Area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2007-01-16T16:42:19Z</dcterms:created>
  <dc:creator>Navara, Megan [LEGIS]</dc:creator>
  <cp:lastModifiedBy>Broich, Adam [LEGIS]</cp:lastModifiedBy>
  <cp:lastPrinted>2018-10-15T17:46:32Z</cp:lastPrinted>
  <dcterms:modified xsi:type="dcterms:W3CDTF">2018-10-15T18:09:20Z</dcterms:modified>
</cp:coreProperties>
</file>