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50" windowHeight="7680" tabRatio="606" activeTab="0"/>
  </bookViews>
  <sheets>
    <sheet name="Long Term Revenues" sheetId="1" r:id="rId1"/>
    <sheet name="Notes" sheetId="2" r:id="rId2"/>
  </sheets>
  <definedNames>
    <definedName name="_xlnm.Print_Area" localSheetId="0">'Long Term Revenues'!$A$3:$DT$81</definedName>
    <definedName name="_xlnm.Print_Titles" localSheetId="0">'Long Term Revenues'!$A:$B</definedName>
  </definedNames>
  <calcPr fullCalcOnLoad="1"/>
</workbook>
</file>

<file path=xl/comments1.xml><?xml version="1.0" encoding="utf-8"?>
<comments xmlns="http://schemas.openxmlformats.org/spreadsheetml/2006/main">
  <authors>
    <author>Robinson, Jeff [LEGIS]</author>
  </authors>
  <commentList>
    <comment ref="DW36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DX36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DY36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DZ36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EA36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DW32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DX32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DY32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DZ32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EA32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EB32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  <comment ref="EB36" authorId="0">
      <text>
        <r>
          <rPr>
            <b/>
            <sz val="9"/>
            <rFont val="Tahoma"/>
            <family val="2"/>
          </rPr>
          <t>Robinson, Jeff [LEGIS]:</t>
        </r>
        <r>
          <rPr>
            <sz val="9"/>
            <rFont val="Tahoma"/>
            <family val="2"/>
          </rPr>
          <t xml:space="preserve">
The combination of fees and gambling receipts each cash year is set to equal the required gambling amount that fiscal year, with the remainder to fees.  Since this is a cash year document, the annual gambling amount will not equal the required fiscal year amount, but I set it this way to reduce confusion.  </t>
        </r>
      </text>
    </comment>
  </commentList>
</comments>
</file>

<file path=xl/sharedStrings.xml><?xml version="1.0" encoding="utf-8"?>
<sst xmlns="http://schemas.openxmlformats.org/spreadsheetml/2006/main" count="219" uniqueCount="213">
  <si>
    <t>General Fund Receipts</t>
  </si>
  <si>
    <t>FY1847-48</t>
  </si>
  <si>
    <t>FY 1849-50</t>
  </si>
  <si>
    <t>FY 1851- 52</t>
  </si>
  <si>
    <t>FY 1853 - 54</t>
  </si>
  <si>
    <t>FY 1855 - 56</t>
  </si>
  <si>
    <t>FY 1857</t>
  </si>
  <si>
    <t>FY 1858 - 59</t>
  </si>
  <si>
    <t>FY 1860 - 61</t>
  </si>
  <si>
    <t>FY 1862 - 63</t>
  </si>
  <si>
    <t>FY 1864 - 65</t>
  </si>
  <si>
    <t>FY 1866 - 67</t>
  </si>
  <si>
    <t>FY 1868 - 69</t>
  </si>
  <si>
    <t>FY 1870 - 71</t>
  </si>
  <si>
    <t>FY 1872 - 73</t>
  </si>
  <si>
    <t>FY 1874 - 75</t>
  </si>
  <si>
    <t>FY 1876 - 77</t>
  </si>
  <si>
    <t>FY 1878 - 79</t>
  </si>
  <si>
    <t>FY 1880 - 81</t>
  </si>
  <si>
    <t>FY 1882 - 83</t>
  </si>
  <si>
    <t>FY 1884 - 85</t>
  </si>
  <si>
    <t>FY 1886 - 87</t>
  </si>
  <si>
    <t>FY 1888 - 89</t>
  </si>
  <si>
    <t>FY 1890 - 91</t>
  </si>
  <si>
    <t>FY 1892 - 93</t>
  </si>
  <si>
    <t>FY 1894 - 95</t>
  </si>
  <si>
    <t>FY 1896 - 97</t>
  </si>
  <si>
    <t>FY 1898 - 99</t>
  </si>
  <si>
    <t>FY 1900 - 01</t>
  </si>
  <si>
    <t>FY 1902 - 03</t>
  </si>
  <si>
    <t>FY 1904 - 05</t>
  </si>
  <si>
    <t xml:space="preserve">FY 1906 </t>
  </si>
  <si>
    <t>FY 1907 - 08</t>
  </si>
  <si>
    <t>FY 1909 - 10</t>
  </si>
  <si>
    <t>FY 1911 - 12</t>
  </si>
  <si>
    <t>FY 1913 - 14</t>
  </si>
  <si>
    <t>FY 1915 - 16</t>
  </si>
  <si>
    <t>FY 1917 - 18</t>
  </si>
  <si>
    <t>FY 1919 - 20</t>
  </si>
  <si>
    <t>FY 1921 - 22</t>
  </si>
  <si>
    <t>FY 1923</t>
  </si>
  <si>
    <t>FY 1924</t>
  </si>
  <si>
    <t>FY 1925</t>
  </si>
  <si>
    <t>FY 1926</t>
  </si>
  <si>
    <t>FY 1927</t>
  </si>
  <si>
    <t>FY 1928</t>
  </si>
  <si>
    <t>FY 1929</t>
  </si>
  <si>
    <t>FY 1930</t>
  </si>
  <si>
    <t>FY 1931</t>
  </si>
  <si>
    <t>FY 1932</t>
  </si>
  <si>
    <t>FY 1933</t>
  </si>
  <si>
    <t>FY 1934</t>
  </si>
  <si>
    <t>FY 1935</t>
  </si>
  <si>
    <t>FY 1936</t>
  </si>
  <si>
    <t>FY 1937</t>
  </si>
  <si>
    <t>FY 1938</t>
  </si>
  <si>
    <t>FY 1939</t>
  </si>
  <si>
    <t>FY 1940</t>
  </si>
  <si>
    <t>FY 1941</t>
  </si>
  <si>
    <t>FY 1942</t>
  </si>
  <si>
    <t>FY 1943</t>
  </si>
  <si>
    <t>FY 1944</t>
  </si>
  <si>
    <t>FY 1945</t>
  </si>
  <si>
    <t>FY 1946</t>
  </si>
  <si>
    <t>FY 1947</t>
  </si>
  <si>
    <t>FY 1948</t>
  </si>
  <si>
    <t>FY 1949</t>
  </si>
  <si>
    <t>FY 1950</t>
  </si>
  <si>
    <t>FY 1951</t>
  </si>
  <si>
    <t>FY 1952</t>
  </si>
  <si>
    <t>FY 1953</t>
  </si>
  <si>
    <t>FY 1954</t>
  </si>
  <si>
    <t>FY 1955</t>
  </si>
  <si>
    <t>FY 1956</t>
  </si>
  <si>
    <t>FY 1957</t>
  </si>
  <si>
    <t>FY 1958</t>
  </si>
  <si>
    <t>FY 1959</t>
  </si>
  <si>
    <t>FY 1960</t>
  </si>
  <si>
    <t>FY 1961</t>
  </si>
  <si>
    <t>FY 1962</t>
  </si>
  <si>
    <t>FY 1963</t>
  </si>
  <si>
    <t>FY 1964</t>
  </si>
  <si>
    <t>FY 1965</t>
  </si>
  <si>
    <t>FY 1966</t>
  </si>
  <si>
    <t>FY 1967</t>
  </si>
  <si>
    <t>FY 1968</t>
  </si>
  <si>
    <t>FY 1969</t>
  </si>
  <si>
    <t>FY 1970</t>
  </si>
  <si>
    <t>FY 1971</t>
  </si>
  <si>
    <t>FY 1972</t>
  </si>
  <si>
    <t>FY 1973</t>
  </si>
  <si>
    <t>FY 1974</t>
  </si>
  <si>
    <t>FY 1975</t>
  </si>
  <si>
    <t>FY 1976</t>
  </si>
  <si>
    <t>FY 1977</t>
  </si>
  <si>
    <t>FY 1978</t>
  </si>
  <si>
    <t>FY 1979</t>
  </si>
  <si>
    <t>FY 1980</t>
  </si>
  <si>
    <t>FY 1981</t>
  </si>
  <si>
    <t>FY 1982</t>
  </si>
  <si>
    <t>FY 1983</t>
  </si>
  <si>
    <t>FY 1984</t>
  </si>
  <si>
    <t>FY 1985</t>
  </si>
  <si>
    <t>FY 1986</t>
  </si>
  <si>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</si>
  <si>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</si>
  <si>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</si>
  <si>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</si>
  <si>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</si>
  <si>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</si>
  <si>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</si>
  <si>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</si>
  <si>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</si>
  <si>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</si>
  <si>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</si>
  <si>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</si>
  <si>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Property Tax</t>
  </si>
  <si>
    <t>Counties General Tax</t>
  </si>
  <si>
    <t>Other</t>
  </si>
  <si>
    <t>Total Property Tax</t>
  </si>
  <si>
    <t>Special Tax</t>
  </si>
  <si>
    <t>Individual Income Tax</t>
  </si>
  <si>
    <t>Sales Tax</t>
  </si>
  <si>
    <t>Corporate Income Tax</t>
  </si>
  <si>
    <t>Use Tax</t>
  </si>
  <si>
    <t>Inheritance</t>
  </si>
  <si>
    <t>Cigarette</t>
  </si>
  <si>
    <t>Tobacco Products Tax</t>
  </si>
  <si>
    <t>Insurance Tax</t>
  </si>
  <si>
    <t>Beer Tax</t>
  </si>
  <si>
    <t>Liquor Tax</t>
  </si>
  <si>
    <t>Miscellaneous Taxes</t>
  </si>
  <si>
    <t>Equipment Car Tax</t>
  </si>
  <si>
    <t>Chain Store Tax</t>
  </si>
  <si>
    <t>Oleomargarine Tax</t>
  </si>
  <si>
    <t>Telegraph Tax</t>
  </si>
  <si>
    <t>Telephone Tax</t>
  </si>
  <si>
    <t>Express Taxes</t>
  </si>
  <si>
    <t>Moneys and Credits</t>
  </si>
  <si>
    <t>Total Special Tax</t>
  </si>
  <si>
    <t>Other Receipts</t>
  </si>
  <si>
    <t>Fees</t>
  </si>
  <si>
    <t>Judicial Revenue</t>
  </si>
  <si>
    <t>Third Party Pmt. Inst.</t>
  </si>
  <si>
    <t>Miscellaneous</t>
  </si>
  <si>
    <t>Receipts to Appropriation</t>
  </si>
  <si>
    <t>Institutions</t>
  </si>
  <si>
    <t>Cash &amp; Journal Transfers</t>
  </si>
  <si>
    <t>Refunds and Reimbursements</t>
  </si>
  <si>
    <t>Revenue Sharing</t>
  </si>
  <si>
    <t>Total Other Receipts</t>
  </si>
  <si>
    <t>Transfers</t>
  </si>
  <si>
    <t>Interest</t>
  </si>
  <si>
    <t>Beer Revenue Fund</t>
  </si>
  <si>
    <t>Three Point Tax</t>
  </si>
  <si>
    <t>Old Age Pension Tax Fund</t>
  </si>
  <si>
    <t>Liquor Profits</t>
  </si>
  <si>
    <t>Military Tax Credit Transfer</t>
  </si>
  <si>
    <t>Corporate Tax Reserve</t>
  </si>
  <si>
    <t>Road Use Tax Fund Transfer</t>
  </si>
  <si>
    <t>Old Age Revolving Fund Transfer</t>
  </si>
  <si>
    <t>Child Supp. Rec. Transfer</t>
  </si>
  <si>
    <t>Lottery Seed Money Transfer</t>
  </si>
  <si>
    <t>Econ. Emerg. Fund Transfer</t>
  </si>
  <si>
    <t>Auto Tax</t>
  </si>
  <si>
    <t>Federal Aid - Vets Home</t>
  </si>
  <si>
    <t>Total Transfers</t>
  </si>
  <si>
    <t>Total General Fund Receipts</t>
  </si>
  <si>
    <t>Sources (approximate dates):</t>
  </si>
  <si>
    <t>FY 1847 - FY 1914:  State Treasurer's Official Reports</t>
  </si>
  <si>
    <t>FY 1915 - FY 1938:  State Auditor's Official Reports</t>
  </si>
  <si>
    <t>FY 1938 - FY 1992:  Governor's Budget Books</t>
  </si>
  <si>
    <t xml:space="preserve">Notes:  </t>
  </si>
  <si>
    <t>FY 1847 to FY 1922 data is presented in biennial terms unless noted otherwise.</t>
  </si>
  <si>
    <t>FY 1999</t>
  </si>
  <si>
    <t>FY 2000</t>
  </si>
  <si>
    <t>FY 2001</t>
  </si>
  <si>
    <t>Other Transfers</t>
  </si>
  <si>
    <t>FY 2002</t>
  </si>
  <si>
    <t>FY 2003</t>
  </si>
  <si>
    <t>FY 1993 to Present:  Legislative Services Agency</t>
  </si>
  <si>
    <t>Beginning FY 1993, revenues and refunds are presented on a July 1 through June 30 cash year basis.</t>
  </si>
  <si>
    <t xml:space="preserve">Beginning FY 1990, county reimbursements for patient care at State institutions are listed under "Institutions", prior to that time, </t>
  </si>
  <si>
    <t>the reimbursements are listed as "property tax".</t>
  </si>
  <si>
    <t>"Other Transfers" includes Lottery profits and transfers from other State funds.</t>
  </si>
  <si>
    <t>Biennial periods vary as to date of termination.  FY 1847 - 48 closed November 30; FY 1849 to FY 1881 ended from October 31 to November 6;  FY 1882 - 83 began December 1, 1881 and ended June 30 1883;  all subsequent periods end June 30.</t>
  </si>
  <si>
    <t>FY 2004</t>
  </si>
  <si>
    <t>FY 2005</t>
  </si>
  <si>
    <t>Franchise Tax - Bank</t>
  </si>
  <si>
    <t>FY 2006</t>
  </si>
  <si>
    <t>FY 2007</t>
  </si>
  <si>
    <t>FY 2008</t>
  </si>
  <si>
    <t>Gambling Receipts</t>
  </si>
  <si>
    <t>Net Revenue</t>
  </si>
  <si>
    <t>Net Revenue + Transfers</t>
  </si>
  <si>
    <t>FY 2009</t>
  </si>
  <si>
    <t>FY 2010</t>
  </si>
  <si>
    <t>FY 2011</t>
  </si>
  <si>
    <t>FY 2012</t>
  </si>
  <si>
    <t xml:space="preserve">This document is completed on a  cash year basis, not a fiscal year basis.  </t>
  </si>
  <si>
    <t>FY 2013</t>
  </si>
  <si>
    <t>FY 2014</t>
  </si>
  <si>
    <t>FY 2015</t>
  </si>
  <si>
    <t>FY 2016</t>
  </si>
  <si>
    <t>FY 2017</t>
  </si>
  <si>
    <t>FY 2018</t>
  </si>
  <si>
    <t>FY 2019</t>
  </si>
  <si>
    <t>Refunds  (Subtract)</t>
  </si>
  <si>
    <t>Beginning FY 2013 and FY 2014, Gambling revenue is deposted to other funds.</t>
  </si>
  <si>
    <t>Beginning FY 2014, cigarette and tobacco tax revenue was deposited to other funds</t>
  </si>
  <si>
    <t>FY 2020</t>
  </si>
  <si>
    <t>FY 2021</t>
  </si>
  <si>
    <t>Amounts in dollars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</si>
</sst>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#,##0__"/>
    <numFmt numFmtId="169" formatCode="#,##0.0____"/>
    <numFmt numFmtId="170" formatCode="#,##0&quot;         &quot;"/>
    <numFmt numFmtId="171" formatCode="\(#,##0\)"/>
    <numFmt numFmtId="172" formatCode="#,##0&quot;         &quot;;\-#,##0&quot;          &quot;;&quot;--         &quot;;@&quot;         &quot;"/>
    <numFmt numFmtId="173" formatCode="#,##0.0"/>
    <numFmt numFmtId="174" formatCode="0.000000000"/>
    <numFmt numFmtId="175" formatCode="#,##0.000"/>
    <numFmt numFmtId="176" formatCode="#,##0.0000000"/>
    <numFmt numFmtId="177" formatCode="#,##0.000000"/>
    <numFmt numFmtId="178" formatCode="#,##0.00000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7" applyNumberFormat="1" applyFont="1" applyAlignment="1">
      <alignment/>
    </xf>
    <xf numFmtId="3" fontId="0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10" xfId="42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66" fontId="0" fillId="0" borderId="11" xfId="42" applyNumberFormat="1" applyFont="1" applyBorder="1" applyAlignment="1">
      <alignment horizontal="center"/>
    </xf>
    <xf numFmtId="167" fontId="0" fillId="0" borderId="0" xfId="57" applyNumberFormat="1" applyFont="1" applyAlignment="1">
      <alignment/>
    </xf>
    <xf numFmtId="43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4" fontId="0" fillId="0" borderId="0" xfId="42" applyNumberFormat="1" applyFont="1" applyAlignment="1">
      <alignment/>
    </xf>
    <xf numFmtId="3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2" xfId="42" applyNumberFormat="1" applyFont="1" applyFill="1" applyBorder="1" applyAlignment="1">
      <alignment/>
    </xf>
    <xf numFmtId="4" fontId="0" fillId="0" borderId="12" xfId="42" applyNumberFormat="1" applyFont="1" applyFill="1" applyBorder="1" applyAlignment="1">
      <alignment/>
    </xf>
    <xf numFmtId="167" fontId="0" fillId="0" borderId="0" xfId="57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13" xfId="42" applyNumberFormat="1" applyFont="1" applyBorder="1" applyAlignment="1">
      <alignment/>
    </xf>
    <xf numFmtId="0" fontId="0" fillId="0" borderId="0" xfId="0" applyAlignment="1">
      <alignment horizontal="right" vertical="center" wrapText="1"/>
    </xf>
    <xf numFmtId="4" fontId="0" fillId="33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17"/>
  <sheetViews>
    <sheetView tabSelected="1" zoomScale="90" zoomScaleNormal="90" zoomScalePageLayoutView="0" workbookViewId="0" topLeftCell="A1">
      <pane xSplit="2" ySplit="3" topLeftCell="EE42" activePane="bottomRight" state="frozen"/>
      <selection pane="topLeft" activeCell="A1" sqref="A1:B16384"/>
      <selection pane="topRight" activeCell="D2" sqref="D2"/>
      <selection pane="bottomLeft" activeCell="A3" sqref="A3"/>
      <selection pane="bottomRight" activeCell="EK62" sqref="EK62"/>
    </sheetView>
  </sheetViews>
  <sheetFormatPr defaultColWidth="9.140625" defaultRowHeight="12.75"/>
  <cols>
    <col min="1" max="1" width="3.8515625" style="0" customWidth="1"/>
    <col min="2" max="2" width="29.421875" style="0" customWidth="1"/>
    <col min="3" max="39" width="14.00390625" style="1" customWidth="1"/>
    <col min="40" max="41" width="14.00390625" style="0" customWidth="1"/>
    <col min="42" max="47" width="14.00390625" style="1" customWidth="1"/>
    <col min="48" max="48" width="14.00390625" style="0" customWidth="1"/>
    <col min="49" max="109" width="14.00390625" style="1" customWidth="1"/>
    <col min="110" max="110" width="16.140625" style="1" bestFit="1" customWidth="1"/>
    <col min="111" max="112" width="14.00390625" style="1" customWidth="1"/>
    <col min="113" max="120" width="17.57421875" style="1" bestFit="1" customWidth="1"/>
    <col min="121" max="131" width="17.421875" style="1" customWidth="1"/>
    <col min="132" max="140" width="18.00390625" style="0" customWidth="1"/>
  </cols>
  <sheetData>
    <row r="1" ht="12.75">
      <c r="B1" s="25" t="s">
        <v>212</v>
      </c>
    </row>
    <row r="2" ht="12.75"/>
    <row r="3" spans="1:140" s="4" customFormat="1" ht="18" customHeight="1">
      <c r="A3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43</v>
      </c>
      <c r="AT3" s="10" t="s">
        <v>44</v>
      </c>
      <c r="AU3" s="10" t="s">
        <v>45</v>
      </c>
      <c r="AV3" s="10" t="s">
        <v>46</v>
      </c>
      <c r="AW3" s="10" t="s">
        <v>47</v>
      </c>
      <c r="AX3" s="10" t="s">
        <v>48</v>
      </c>
      <c r="AY3" s="10" t="s">
        <v>49</v>
      </c>
      <c r="AZ3" s="10" t="s">
        <v>50</v>
      </c>
      <c r="BA3" s="10" t="s">
        <v>51</v>
      </c>
      <c r="BB3" s="10" t="s">
        <v>52</v>
      </c>
      <c r="BC3" s="10" t="s">
        <v>53</v>
      </c>
      <c r="BD3" s="10" t="s">
        <v>54</v>
      </c>
      <c r="BE3" s="10" t="s">
        <v>55</v>
      </c>
      <c r="BF3" s="10" t="s">
        <v>56</v>
      </c>
      <c r="BG3" s="10" t="s">
        <v>57</v>
      </c>
      <c r="BH3" s="10" t="s">
        <v>58</v>
      </c>
      <c r="BI3" s="10" t="s">
        <v>59</v>
      </c>
      <c r="BJ3" s="10" t="s">
        <v>60</v>
      </c>
      <c r="BK3" s="10" t="s">
        <v>61</v>
      </c>
      <c r="BL3" s="10" t="s">
        <v>62</v>
      </c>
      <c r="BM3" s="10" t="s">
        <v>63</v>
      </c>
      <c r="BN3" s="10" t="s">
        <v>64</v>
      </c>
      <c r="BO3" s="10" t="s">
        <v>65</v>
      </c>
      <c r="BP3" s="10" t="s">
        <v>66</v>
      </c>
      <c r="BQ3" s="10" t="s">
        <v>67</v>
      </c>
      <c r="BR3" s="10" t="s">
        <v>68</v>
      </c>
      <c r="BS3" s="10" t="s">
        <v>69</v>
      </c>
      <c r="BT3" s="10" t="s">
        <v>70</v>
      </c>
      <c r="BU3" s="10" t="s">
        <v>71</v>
      </c>
      <c r="BV3" s="10" t="s">
        <v>72</v>
      </c>
      <c r="BW3" s="10" t="s">
        <v>73</v>
      </c>
      <c r="BX3" s="10" t="s">
        <v>74</v>
      </c>
      <c r="BY3" s="10" t="s">
        <v>75</v>
      </c>
      <c r="BZ3" s="10" t="s">
        <v>76</v>
      </c>
      <c r="CA3" s="10" t="s">
        <v>77</v>
      </c>
      <c r="CB3" s="10" t="s">
        <v>78</v>
      </c>
      <c r="CC3" s="10" t="s">
        <v>79</v>
      </c>
      <c r="CD3" s="10" t="s">
        <v>80</v>
      </c>
      <c r="CE3" s="10" t="s">
        <v>81</v>
      </c>
      <c r="CF3" s="10" t="s">
        <v>82</v>
      </c>
      <c r="CG3" s="10" t="s">
        <v>83</v>
      </c>
      <c r="CH3" s="10" t="s">
        <v>84</v>
      </c>
      <c r="CI3" s="10" t="s">
        <v>85</v>
      </c>
      <c r="CJ3" s="10" t="s">
        <v>86</v>
      </c>
      <c r="CK3" s="10" t="s">
        <v>87</v>
      </c>
      <c r="CL3" s="10" t="s">
        <v>88</v>
      </c>
      <c r="CM3" s="10" t="s">
        <v>89</v>
      </c>
      <c r="CN3" s="10" t="s">
        <v>90</v>
      </c>
      <c r="CO3" s="10" t="s">
        <v>91</v>
      </c>
      <c r="CP3" s="10" t="s">
        <v>92</v>
      </c>
      <c r="CQ3" s="10" t="s">
        <v>93</v>
      </c>
      <c r="CR3" s="10" t="s">
        <v>94</v>
      </c>
      <c r="CS3" s="10" t="s">
        <v>95</v>
      </c>
      <c r="CT3" s="10" t="s">
        <v>96</v>
      </c>
      <c r="CU3" s="10" t="s">
        <v>97</v>
      </c>
      <c r="CV3" s="10" t="s">
        <v>98</v>
      </c>
      <c r="CW3" s="10" t="s">
        <v>99</v>
      </c>
      <c r="CX3" s="10" t="s">
        <v>100</v>
      </c>
      <c r="CY3" s="10" t="s">
        <v>101</v>
      </c>
      <c r="CZ3" s="10" t="s">
        <v>102</v>
      </c>
      <c r="DA3" s="10" t="s">
        <v>103</v>
      </c>
      <c r="DB3" s="10" t="s">
        <v>104</v>
      </c>
      <c r="DC3" s="10" t="s">
        <v>105</v>
      </c>
      <c r="DD3" s="10" t="s">
        <v>106</v>
      </c>
      <c r="DE3" s="10" t="s">
        <v>107</v>
      </c>
      <c r="DF3" s="10" t="s">
        <v>108</v>
      </c>
      <c r="DG3" s="10" t="s">
        <v>109</v>
      </c>
      <c r="DH3" s="10" t="s">
        <v>110</v>
      </c>
      <c r="DI3" s="10" t="s">
        <v>111</v>
      </c>
      <c r="DJ3" s="10" t="s">
        <v>112</v>
      </c>
      <c r="DK3" s="10" t="s">
        <v>113</v>
      </c>
      <c r="DL3" s="10" t="s">
        <v>114</v>
      </c>
      <c r="DM3" s="10" t="s">
        <v>115</v>
      </c>
      <c r="DN3" s="10" t="s">
        <v>174</v>
      </c>
      <c r="DO3" s="10" t="s">
        <v>175</v>
      </c>
      <c r="DP3" s="10" t="s">
        <v>176</v>
      </c>
      <c r="DQ3" s="10" t="s">
        <v>178</v>
      </c>
      <c r="DR3" s="10" t="s">
        <v>179</v>
      </c>
      <c r="DS3" s="10" t="s">
        <v>186</v>
      </c>
      <c r="DT3" s="10" t="s">
        <v>187</v>
      </c>
      <c r="DU3" s="10" t="s">
        <v>189</v>
      </c>
      <c r="DV3" s="10" t="s">
        <v>190</v>
      </c>
      <c r="DW3" s="10" t="s">
        <v>191</v>
      </c>
      <c r="DX3" s="10" t="s">
        <v>195</v>
      </c>
      <c r="DY3" s="10" t="s">
        <v>196</v>
      </c>
      <c r="DZ3" s="10" t="s">
        <v>197</v>
      </c>
      <c r="EA3" s="10" t="s">
        <v>198</v>
      </c>
      <c r="EB3" s="10" t="s">
        <v>200</v>
      </c>
      <c r="EC3" s="10" t="s">
        <v>201</v>
      </c>
      <c r="ED3" s="10" t="s">
        <v>202</v>
      </c>
      <c r="EE3" s="10" t="s">
        <v>203</v>
      </c>
      <c r="EF3" s="10" t="s">
        <v>204</v>
      </c>
      <c r="EG3" s="10" t="s">
        <v>205</v>
      </c>
      <c r="EH3" s="10" t="s">
        <v>206</v>
      </c>
      <c r="EI3" s="10" t="s">
        <v>210</v>
      </c>
      <c r="EJ3" s="10" t="s">
        <v>211</v>
      </c>
    </row>
    <row r="4" spans="1:140" ht="12.75">
      <c r="A4" t="s">
        <v>116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2"/>
      <c r="AQ4" s="2"/>
      <c r="AR4" s="2"/>
      <c r="AS4" s="2"/>
      <c r="AT4" s="2"/>
      <c r="AU4" s="2"/>
      <c r="AV4" s="3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2:140" ht="12.75">
      <c r="B5" s="7" t="s">
        <v>117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>
        <v>2389878</v>
      </c>
      <c r="X5" s="6">
        <v>2383517</v>
      </c>
      <c r="Y5" s="6">
        <v>2563792</v>
      </c>
      <c r="Z5" s="6">
        <v>2177792</v>
      </c>
      <c r="AA5" s="6">
        <v>2303403</v>
      </c>
      <c r="AB5" s="6">
        <v>2787709</v>
      </c>
      <c r="AC5" s="6">
        <v>3245714</v>
      </c>
      <c r="AD5" s="6">
        <v>3148281</v>
      </c>
      <c r="AE5" s="6">
        <v>3316158</v>
      </c>
      <c r="AF5" s="6">
        <v>3847600</v>
      </c>
      <c r="AG5" s="6">
        <v>1980387</v>
      </c>
      <c r="AH5" s="6">
        <v>4054876</v>
      </c>
      <c r="AI5" s="6">
        <v>4661573</v>
      </c>
      <c r="AJ5" s="6">
        <v>4693600</v>
      </c>
      <c r="AK5" s="6">
        <v>5125289</v>
      </c>
      <c r="AL5" s="6">
        <v>6278420</v>
      </c>
      <c r="AM5" s="6">
        <v>10204773</v>
      </c>
      <c r="AN5" s="9">
        <v>14409987</v>
      </c>
      <c r="AO5" s="9">
        <v>16645069</v>
      </c>
      <c r="AP5" s="6">
        <v>10055259</v>
      </c>
      <c r="AQ5" s="6">
        <v>7815577</v>
      </c>
      <c r="AR5" s="6">
        <v>10029432</v>
      </c>
      <c r="AS5" s="9">
        <v>9500000</v>
      </c>
      <c r="AT5" s="6">
        <v>10000000</v>
      </c>
      <c r="AU5" s="6">
        <v>7510127</v>
      </c>
      <c r="AV5" s="9">
        <v>8627439</v>
      </c>
      <c r="AW5" s="6">
        <v>7887530</v>
      </c>
      <c r="AX5" s="6">
        <v>9883748</v>
      </c>
      <c r="AY5" s="6">
        <v>10315203</v>
      </c>
      <c r="AZ5" s="6">
        <v>5519245</v>
      </c>
      <c r="BA5" s="6">
        <v>5161834</v>
      </c>
      <c r="BB5" s="6">
        <v>1121307</v>
      </c>
      <c r="BC5" s="6">
        <v>1290367</v>
      </c>
      <c r="BD5" s="6">
        <v>7056987</v>
      </c>
      <c r="BE5" s="6">
        <v>6016348</v>
      </c>
      <c r="BF5" s="6">
        <v>5103116</v>
      </c>
      <c r="BG5" s="6">
        <v>3167305</v>
      </c>
      <c r="BH5" s="6">
        <v>3030000</v>
      </c>
      <c r="BI5" s="6">
        <v>5000000</v>
      </c>
      <c r="BJ5" s="6">
        <v>3000000</v>
      </c>
      <c r="BK5" s="6">
        <v>1000000</v>
      </c>
      <c r="BL5" s="6">
        <v>7500000</v>
      </c>
      <c r="BM5" s="6">
        <v>800000</v>
      </c>
      <c r="BN5" s="6">
        <v>0</v>
      </c>
      <c r="BO5" s="6">
        <v>21210</v>
      </c>
      <c r="BP5" s="6"/>
      <c r="BQ5" s="6">
        <v>5353</v>
      </c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2:140" ht="12.75">
      <c r="B6" t="s">
        <v>118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492302</v>
      </c>
      <c r="X6" s="2">
        <v>535864</v>
      </c>
      <c r="Y6" s="2">
        <v>583496</v>
      </c>
      <c r="Z6" s="2">
        <v>652295</v>
      </c>
      <c r="AA6" s="2">
        <v>711229</v>
      </c>
      <c r="AB6" s="2">
        <v>799839</v>
      </c>
      <c r="AC6" s="2">
        <v>810053</v>
      </c>
      <c r="AD6" s="2">
        <v>791042</v>
      </c>
      <c r="AE6" s="2">
        <v>872654</v>
      </c>
      <c r="AF6" s="2">
        <v>1077613</v>
      </c>
      <c r="AG6" s="2">
        <v>500981</v>
      </c>
      <c r="AH6" s="2">
        <v>1249574</v>
      </c>
      <c r="AI6" s="2">
        <v>1249005</v>
      </c>
      <c r="AJ6" s="2">
        <v>1418628</v>
      </c>
      <c r="AK6" s="2">
        <v>1591284</v>
      </c>
      <c r="AL6" s="2">
        <v>1803351</v>
      </c>
      <c r="AM6" s="2">
        <v>1933013</v>
      </c>
      <c r="AN6" s="3">
        <v>2489749</v>
      </c>
      <c r="AO6" s="3">
        <v>3061924</v>
      </c>
      <c r="AP6" s="2">
        <v>1746417</v>
      </c>
      <c r="AQ6" s="2">
        <v>1700187</v>
      </c>
      <c r="AR6" s="2">
        <v>1559805</v>
      </c>
      <c r="AS6" s="3">
        <v>1512974</v>
      </c>
      <c r="AT6" s="2">
        <v>1618877</v>
      </c>
      <c r="AU6" s="2">
        <v>890369</v>
      </c>
      <c r="AV6" s="3">
        <v>1633040</v>
      </c>
      <c r="AW6" s="2"/>
      <c r="AX6" s="2"/>
      <c r="AY6" s="2"/>
      <c r="AZ6" s="2">
        <v>1685307</v>
      </c>
      <c r="BA6" s="2">
        <v>1473165</v>
      </c>
      <c r="BB6" s="2">
        <f>2708148-BB5</f>
        <v>1586841</v>
      </c>
      <c r="BC6" s="2">
        <f>2815935-BC5</f>
        <v>1525568</v>
      </c>
      <c r="BD6" s="2">
        <f aca="true" t="shared" si="0" ref="BD6:BI6">BD7-BD5</f>
        <v>1576998</v>
      </c>
      <c r="BE6" s="2">
        <f t="shared" si="0"/>
        <v>1571526</v>
      </c>
      <c r="BF6" s="2">
        <f t="shared" si="0"/>
        <v>1579009</v>
      </c>
      <c r="BG6" s="2">
        <f t="shared" si="0"/>
        <v>1788481</v>
      </c>
      <c r="BH6" s="2">
        <f t="shared" si="0"/>
        <v>1985238</v>
      </c>
      <c r="BI6" s="2">
        <f t="shared" si="0"/>
        <v>2017022</v>
      </c>
      <c r="BJ6" s="2">
        <v>2654105</v>
      </c>
      <c r="BK6" s="2">
        <v>3086988</v>
      </c>
      <c r="BL6" s="2">
        <f>BL7-BL5</f>
        <v>3129296</v>
      </c>
      <c r="BM6" s="2">
        <f>BM7-BM5</f>
        <v>3469308</v>
      </c>
      <c r="BN6" s="2">
        <v>4021129</v>
      </c>
      <c r="BO6" s="2">
        <f>BO7-BO5</f>
        <v>4905592</v>
      </c>
      <c r="BP6" s="2"/>
      <c r="BQ6" s="2">
        <f>BQ7-BQ5</f>
        <v>5778861</v>
      </c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</row>
    <row r="7" spans="2:140" ht="12.75">
      <c r="B7" s="7" t="s">
        <v>119</v>
      </c>
      <c r="C7" s="8">
        <v>76151</v>
      </c>
      <c r="D7" s="8">
        <v>72563</v>
      </c>
      <c r="E7" s="8">
        <v>139682</v>
      </c>
      <c r="F7" s="8">
        <v>115498</v>
      </c>
      <c r="G7" s="8">
        <v>210399</v>
      </c>
      <c r="H7" s="8">
        <v>217263</v>
      </c>
      <c r="I7" s="8">
        <v>763351</v>
      </c>
      <c r="J7" s="8">
        <v>578759</v>
      </c>
      <c r="K7" s="8">
        <v>861261</v>
      </c>
      <c r="L7" s="8">
        <v>869153</v>
      </c>
      <c r="M7" s="8">
        <v>1067819</v>
      </c>
      <c r="N7" s="8">
        <v>1742794</v>
      </c>
      <c r="O7" s="8">
        <v>1702842</v>
      </c>
      <c r="P7" s="8">
        <v>1941878</v>
      </c>
      <c r="Q7" s="8">
        <v>1741809</v>
      </c>
      <c r="R7" s="8">
        <v>1790319</v>
      </c>
      <c r="S7" s="8">
        <v>1947051</v>
      </c>
      <c r="T7" s="8">
        <v>1928849</v>
      </c>
      <c r="U7" s="8">
        <v>2149379</v>
      </c>
      <c r="V7" s="8">
        <v>2201635</v>
      </c>
      <c r="W7" s="8">
        <f>SUM(W5:W6)</f>
        <v>2882180</v>
      </c>
      <c r="X7" s="8">
        <f aca="true" t="shared" si="1" ref="X7:AH7">SUM(X5:X6)</f>
        <v>2919381</v>
      </c>
      <c r="Y7" s="8">
        <f t="shared" si="1"/>
        <v>3147288</v>
      </c>
      <c r="Z7" s="8">
        <f t="shared" si="1"/>
        <v>2830087</v>
      </c>
      <c r="AA7" s="8">
        <f t="shared" si="1"/>
        <v>3014632</v>
      </c>
      <c r="AB7" s="8">
        <f t="shared" si="1"/>
        <v>3587548</v>
      </c>
      <c r="AC7" s="8">
        <f t="shared" si="1"/>
        <v>4055767</v>
      </c>
      <c r="AD7" s="8">
        <f t="shared" si="1"/>
        <v>3939323</v>
      </c>
      <c r="AE7" s="8">
        <f t="shared" si="1"/>
        <v>4188812</v>
      </c>
      <c r="AF7" s="8">
        <f t="shared" si="1"/>
        <v>4925213</v>
      </c>
      <c r="AG7" s="8">
        <f t="shared" si="1"/>
        <v>2481368</v>
      </c>
      <c r="AH7" s="8">
        <f t="shared" si="1"/>
        <v>5304450</v>
      </c>
      <c r="AI7" s="8">
        <f aca="true" t="shared" si="2" ref="AI7:AN7">SUM(AI5:AI6)</f>
        <v>5910578</v>
      </c>
      <c r="AJ7" s="8">
        <f t="shared" si="2"/>
        <v>6112228</v>
      </c>
      <c r="AK7" s="8">
        <f t="shared" si="2"/>
        <v>6716573</v>
      </c>
      <c r="AL7" s="8">
        <f t="shared" si="2"/>
        <v>8081771</v>
      </c>
      <c r="AM7" s="8">
        <f t="shared" si="2"/>
        <v>12137786</v>
      </c>
      <c r="AN7" s="8">
        <f t="shared" si="2"/>
        <v>16899736</v>
      </c>
      <c r="AO7" s="8">
        <f aca="true" t="shared" si="3" ref="AO7:AV7">SUM(AO5:AO6)</f>
        <v>19706993</v>
      </c>
      <c r="AP7" s="8">
        <f t="shared" si="3"/>
        <v>11801676</v>
      </c>
      <c r="AQ7" s="8">
        <f t="shared" si="3"/>
        <v>9515764</v>
      </c>
      <c r="AR7" s="8">
        <f t="shared" si="3"/>
        <v>11589237</v>
      </c>
      <c r="AS7" s="8">
        <f t="shared" si="3"/>
        <v>11012974</v>
      </c>
      <c r="AT7" s="8">
        <f t="shared" si="3"/>
        <v>11618877</v>
      </c>
      <c r="AU7" s="8">
        <f t="shared" si="3"/>
        <v>8400496</v>
      </c>
      <c r="AV7" s="8">
        <f t="shared" si="3"/>
        <v>10260479</v>
      </c>
      <c r="AW7" s="8">
        <f>AW5</f>
        <v>7887530</v>
      </c>
      <c r="AX7" s="8">
        <f>AX5</f>
        <v>9883748</v>
      </c>
      <c r="AY7" s="8">
        <f>AY5</f>
        <v>10315203</v>
      </c>
      <c r="AZ7" s="8">
        <f>SUM(AZ5:AZ6)</f>
        <v>7204552</v>
      </c>
      <c r="BA7" s="8">
        <f>SUM(BA5:BA6)</f>
        <v>6634999</v>
      </c>
      <c r="BB7" s="8">
        <f>SUM(BB5:BB6)</f>
        <v>2708148</v>
      </c>
      <c r="BC7" s="8">
        <f>SUM(BC5:BC6)</f>
        <v>2815935</v>
      </c>
      <c r="BD7" s="8">
        <v>8633985</v>
      </c>
      <c r="BE7" s="8">
        <v>7587874</v>
      </c>
      <c r="BF7" s="8">
        <v>6682125</v>
      </c>
      <c r="BG7" s="8">
        <v>4955786</v>
      </c>
      <c r="BH7" s="8">
        <v>5015238</v>
      </c>
      <c r="BI7" s="8">
        <v>7017022</v>
      </c>
      <c r="BJ7" s="8">
        <f>BJ5+BJ6</f>
        <v>5654105</v>
      </c>
      <c r="BK7" s="8">
        <f>BK5+BK6</f>
        <v>4086988</v>
      </c>
      <c r="BL7" s="8">
        <v>10629296</v>
      </c>
      <c r="BM7" s="8">
        <v>4269308</v>
      </c>
      <c r="BN7" s="8">
        <f>BN6</f>
        <v>4021129</v>
      </c>
      <c r="BO7" s="8">
        <v>4926802</v>
      </c>
      <c r="BP7" s="8">
        <v>5771979</v>
      </c>
      <c r="BQ7" s="8">
        <v>5784214</v>
      </c>
      <c r="BR7" s="8">
        <v>7431347</v>
      </c>
      <c r="BS7" s="8">
        <v>7126321</v>
      </c>
      <c r="BT7" s="8">
        <v>7323095</v>
      </c>
      <c r="BU7" s="8">
        <v>8589064</v>
      </c>
      <c r="BV7" s="8">
        <v>8377704</v>
      </c>
      <c r="BW7" s="8">
        <v>9849555</v>
      </c>
      <c r="BX7" s="8">
        <v>10116915</v>
      </c>
      <c r="BY7" s="8">
        <v>11284583</v>
      </c>
      <c r="BZ7" s="8">
        <v>11652721</v>
      </c>
      <c r="CA7" s="8">
        <v>12985895</v>
      </c>
      <c r="CB7" s="8">
        <v>13186666</v>
      </c>
      <c r="CC7" s="8">
        <v>12776326</v>
      </c>
      <c r="CD7" s="8">
        <v>14079769</v>
      </c>
      <c r="CE7" s="8">
        <v>13645212</v>
      </c>
      <c r="CF7" s="8">
        <v>11926126</v>
      </c>
      <c r="CG7" s="8">
        <v>13943412</v>
      </c>
      <c r="CH7" s="8">
        <v>13275423</v>
      </c>
      <c r="CI7" s="8">
        <v>14857231</v>
      </c>
      <c r="CJ7" s="8">
        <v>18356000</v>
      </c>
      <c r="CK7" s="8">
        <v>17966000</v>
      </c>
      <c r="CL7" s="8">
        <v>18615000</v>
      </c>
      <c r="CM7" s="8">
        <v>19716000</v>
      </c>
      <c r="CN7" s="8">
        <v>21547000</v>
      </c>
      <c r="CO7" s="8">
        <v>22661000</v>
      </c>
      <c r="CP7" s="8">
        <v>24260000</v>
      </c>
      <c r="CQ7" s="8">
        <v>26790000</v>
      </c>
      <c r="CR7" s="8">
        <v>27285000</v>
      </c>
      <c r="CS7" s="8">
        <v>30589000</v>
      </c>
      <c r="CT7" s="8">
        <v>31195000</v>
      </c>
      <c r="CU7" s="8">
        <v>36147000</v>
      </c>
      <c r="CV7" s="8">
        <v>33451000</v>
      </c>
      <c r="CW7" s="8">
        <v>39229000</v>
      </c>
      <c r="CX7" s="8">
        <v>37278000</v>
      </c>
      <c r="CY7" s="8">
        <v>38549000</v>
      </c>
      <c r="CZ7" s="8">
        <v>41433000</v>
      </c>
      <c r="DA7" s="8">
        <v>47620000</v>
      </c>
      <c r="DB7" s="8">
        <v>41744000</v>
      </c>
      <c r="DC7" s="8">
        <v>38339000</v>
      </c>
      <c r="DD7" s="8">
        <v>50905000</v>
      </c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</row>
    <row r="8" spans="3:140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/>
      <c r="AO8" s="3"/>
      <c r="AP8" s="2"/>
      <c r="AQ8" s="2"/>
      <c r="AR8" s="2"/>
      <c r="AS8" s="2"/>
      <c r="AT8" s="2"/>
      <c r="AU8" s="2"/>
      <c r="AV8" s="3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12.75">
      <c r="A9" t="s">
        <v>120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"/>
      <c r="AO9" s="3"/>
      <c r="AP9" s="2"/>
      <c r="AQ9" s="2"/>
      <c r="AR9" s="2"/>
      <c r="AS9" s="2"/>
      <c r="AT9" s="2"/>
      <c r="AU9" s="2"/>
      <c r="AV9" s="3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</row>
    <row r="10" spans="2:141" ht="12.75">
      <c r="B10" t="s">
        <v>121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"/>
      <c r="AO10" s="3"/>
      <c r="AP10" s="2"/>
      <c r="AQ10" s="2"/>
      <c r="AR10" s="2"/>
      <c r="AS10" s="2"/>
      <c r="AT10" s="2"/>
      <c r="AU10" s="2"/>
      <c r="AV10" s="3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>
        <v>10268046</v>
      </c>
      <c r="BO10" s="2">
        <v>15735102</v>
      </c>
      <c r="BP10" s="2">
        <v>16679233</v>
      </c>
      <c r="BQ10" s="2">
        <v>15727649</v>
      </c>
      <c r="BR10" s="2">
        <v>18581508</v>
      </c>
      <c r="BS10" s="2">
        <v>19702947</v>
      </c>
      <c r="BT10" s="2">
        <v>18326561</v>
      </c>
      <c r="BU10" s="2">
        <v>20797178</v>
      </c>
      <c r="BV10" s="2">
        <v>21900215</v>
      </c>
      <c r="BW10" s="2">
        <v>25138987</v>
      </c>
      <c r="BX10" s="2">
        <v>28672937</v>
      </c>
      <c r="BY10" s="2">
        <v>28805046</v>
      </c>
      <c r="BZ10" s="2">
        <v>35779696</v>
      </c>
      <c r="CA10" s="2">
        <v>36413694</v>
      </c>
      <c r="CB10" s="2">
        <v>36891979</v>
      </c>
      <c r="CC10" s="2">
        <v>41015910</v>
      </c>
      <c r="CD10" s="2">
        <v>45058022</v>
      </c>
      <c r="CE10" s="2">
        <v>48017529</v>
      </c>
      <c r="CF10" s="2">
        <v>57361383</v>
      </c>
      <c r="CG10" s="2">
        <v>97684680</v>
      </c>
      <c r="CH10" s="2">
        <v>121951199</v>
      </c>
      <c r="CI10" s="2">
        <v>116307861</v>
      </c>
      <c r="CJ10" s="2">
        <v>132434000</v>
      </c>
      <c r="CK10" s="2">
        <v>146373000</v>
      </c>
      <c r="CL10" s="2">
        <v>150036000</v>
      </c>
      <c r="CM10" s="2">
        <v>233358000</v>
      </c>
      <c r="CN10" s="2">
        <v>288115000</v>
      </c>
      <c r="CO10" s="2">
        <v>364802000</v>
      </c>
      <c r="CP10" s="2">
        <v>410369000</v>
      </c>
      <c r="CQ10" s="2">
        <v>449952000</v>
      </c>
      <c r="CR10" s="2">
        <v>508613000</v>
      </c>
      <c r="CS10" s="2">
        <v>565066000</v>
      </c>
      <c r="CT10" s="2">
        <v>669924000</v>
      </c>
      <c r="CU10" s="2">
        <v>721344000</v>
      </c>
      <c r="CV10" s="2">
        <v>769792000</v>
      </c>
      <c r="CW10" s="2">
        <v>837218000</v>
      </c>
      <c r="CX10" s="2">
        <v>853577000</v>
      </c>
      <c r="CY10" s="2">
        <v>929326000</v>
      </c>
      <c r="CZ10" s="2">
        <v>977805000</v>
      </c>
      <c r="DA10" s="2">
        <v>1002343000</v>
      </c>
      <c r="DB10" s="2">
        <v>1133584000</v>
      </c>
      <c r="DC10" s="2">
        <v>1235127000</v>
      </c>
      <c r="DD10" s="2">
        <v>1368010000</v>
      </c>
      <c r="DE10" s="2">
        <v>1445632000</v>
      </c>
      <c r="DF10" s="2">
        <v>1526152000</v>
      </c>
      <c r="DG10" s="2">
        <v>1587537000</v>
      </c>
      <c r="DH10" s="2">
        <v>1698886000</v>
      </c>
      <c r="DI10" s="2">
        <v>1784924796.68</v>
      </c>
      <c r="DJ10" s="2">
        <v>1874153386.06</v>
      </c>
      <c r="DK10" s="2">
        <v>2001767348.84</v>
      </c>
      <c r="DL10" s="2">
        <v>2123126371.18</v>
      </c>
      <c r="DM10" s="2">
        <v>2288427834.54</v>
      </c>
      <c r="DN10" s="2">
        <v>2233709918.91</v>
      </c>
      <c r="DO10" s="2">
        <v>2375918665.83</v>
      </c>
      <c r="DP10" s="2">
        <v>2426553283.47</v>
      </c>
      <c r="DQ10" s="2">
        <v>2372024994.23</v>
      </c>
      <c r="DR10" s="2">
        <v>2417616995.86</v>
      </c>
      <c r="DS10" s="2">
        <v>2592269689.31</v>
      </c>
      <c r="DT10" s="2">
        <v>2782347632.44</v>
      </c>
      <c r="DU10" s="2">
        <v>2854190497</v>
      </c>
      <c r="DV10" s="2">
        <v>3085931498</v>
      </c>
      <c r="DW10" s="2">
        <v>3359666057</v>
      </c>
      <c r="DX10" s="2">
        <v>3330663608.2400002</v>
      </c>
      <c r="DY10" s="2">
        <v>3235929111.619996</v>
      </c>
      <c r="DZ10" s="2">
        <v>3461733813.0899997</v>
      </c>
      <c r="EA10" s="2">
        <v>3634281607.1600056</v>
      </c>
      <c r="EB10" s="2">
        <v>4083902671.879998</v>
      </c>
      <c r="EC10" s="2">
        <v>3974838489.4799986</v>
      </c>
      <c r="ED10" s="2">
        <v>4207249686.700002</v>
      </c>
      <c r="EE10" s="2">
        <v>4355435345.739994</v>
      </c>
      <c r="EF10" s="2">
        <v>4468934896.2</v>
      </c>
      <c r="EG10" s="2">
        <v>4746682862.37</v>
      </c>
      <c r="EH10" s="2">
        <v>4944019141.21</v>
      </c>
      <c r="EI10" s="2">
        <v>4651979397.18</v>
      </c>
      <c r="EJ10" s="2">
        <v>5434533430.57</v>
      </c>
      <c r="EK10" s="27"/>
    </row>
    <row r="11" spans="2:141" ht="12.75">
      <c r="B11" s="7" t="s">
        <v>122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9"/>
      <c r="AO11" s="9"/>
      <c r="AP11" s="6"/>
      <c r="AQ11" s="6"/>
      <c r="AR11" s="6"/>
      <c r="AS11" s="6"/>
      <c r="AT11" s="6"/>
      <c r="AU11" s="6"/>
      <c r="AV11" s="9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>
        <v>36772165</v>
      </c>
      <c r="BO11" s="6">
        <v>44886839</v>
      </c>
      <c r="BP11" s="6">
        <v>48662845</v>
      </c>
      <c r="BQ11" s="6">
        <v>42810675</v>
      </c>
      <c r="BR11" s="6">
        <f>52564001-5204185</f>
        <v>47359816</v>
      </c>
      <c r="BS11" s="6">
        <f>52507742-5256118</f>
        <v>47251624</v>
      </c>
      <c r="BT11" s="6">
        <v>51799207</v>
      </c>
      <c r="BU11" s="6">
        <f>53560804-5362896</f>
        <v>48197908</v>
      </c>
      <c r="BV11" s="6">
        <f>55004099-5504079</f>
        <v>49500020</v>
      </c>
      <c r="BW11" s="6">
        <f>69219971-6924128</f>
        <v>62295843</v>
      </c>
      <c r="BX11" s="6">
        <f>74689453-7470194</f>
        <v>67219259</v>
      </c>
      <c r="BY11" s="6">
        <f>65240670-6525379</f>
        <v>58715291</v>
      </c>
      <c r="BZ11" s="6">
        <f>66430262-6643485</f>
        <v>59786777</v>
      </c>
      <c r="CA11" s="6">
        <f>69120317-6910697</f>
        <v>62209620</v>
      </c>
      <c r="CB11" s="6">
        <f>69109671-6908571</f>
        <v>62201100</v>
      </c>
      <c r="CC11" s="6">
        <f>69937061-6969867</f>
        <v>62967194</v>
      </c>
      <c r="CD11" s="6">
        <f>72606093-7284906</f>
        <v>65321187</v>
      </c>
      <c r="CE11" s="6">
        <f>74543763-7454376</f>
        <v>67089387</v>
      </c>
      <c r="CF11" s="6">
        <f>77551005-7755101</f>
        <v>69795904</v>
      </c>
      <c r="CG11" s="6">
        <f>94409488-9440949</f>
        <v>84968539</v>
      </c>
      <c r="CH11" s="6">
        <f>93306053-9330605</f>
        <v>83975448</v>
      </c>
      <c r="CI11" s="6">
        <f>132933496-8879488</f>
        <v>124054008</v>
      </c>
      <c r="CJ11" s="6">
        <f>173699000-11580000</f>
        <v>162119000</v>
      </c>
      <c r="CK11" s="6">
        <f>184337000-12789000</f>
        <v>171548000</v>
      </c>
      <c r="CL11" s="6">
        <f>192570000-1200000</f>
        <v>191370000</v>
      </c>
      <c r="CM11" s="6">
        <v>196472000</v>
      </c>
      <c r="CN11" s="6">
        <v>218071000</v>
      </c>
      <c r="CO11" s="6">
        <f>254337000-16956000</f>
        <v>237381000</v>
      </c>
      <c r="CP11" s="6">
        <f>242978000-16198000</f>
        <v>226780000</v>
      </c>
      <c r="CQ11" s="6">
        <v>269725000</v>
      </c>
      <c r="CR11" s="6">
        <v>302756000</v>
      </c>
      <c r="CS11" s="6">
        <v>327712000</v>
      </c>
      <c r="CT11" s="6">
        <v>368733000</v>
      </c>
      <c r="CU11" s="6">
        <v>391831000</v>
      </c>
      <c r="CV11" s="6">
        <v>402530000</v>
      </c>
      <c r="CW11" s="6">
        <v>405597000</v>
      </c>
      <c r="CX11" s="6">
        <v>451248000</v>
      </c>
      <c r="CY11" s="6">
        <v>584253000</v>
      </c>
      <c r="CZ11" s="6">
        <v>586213000</v>
      </c>
      <c r="DA11" s="6">
        <v>602216000</v>
      </c>
      <c r="DB11" s="6">
        <v>642760000</v>
      </c>
      <c r="DC11" s="6">
        <v>667315000</v>
      </c>
      <c r="DD11" s="6">
        <v>702045000</v>
      </c>
      <c r="DE11" s="6">
        <v>728530000</v>
      </c>
      <c r="DF11" s="6">
        <v>764652000</v>
      </c>
      <c r="DG11" s="6">
        <v>800367000</v>
      </c>
      <c r="DH11" s="6">
        <v>1012469000</v>
      </c>
      <c r="DI11" s="6">
        <v>1110117339.01</v>
      </c>
      <c r="DJ11" s="6">
        <v>1147244447.23</v>
      </c>
      <c r="DK11" s="6">
        <v>1213017213.85</v>
      </c>
      <c r="DL11" s="6">
        <v>1237396762.57</v>
      </c>
      <c r="DM11" s="6">
        <v>1271812137.85</v>
      </c>
      <c r="DN11" s="6">
        <v>1377456984.98</v>
      </c>
      <c r="DO11" s="6">
        <v>1416565042.04</v>
      </c>
      <c r="DP11" s="6">
        <v>1441711373.57</v>
      </c>
      <c r="DQ11" s="6">
        <v>1452961148.69</v>
      </c>
      <c r="DR11" s="6">
        <v>1450314888.52</v>
      </c>
      <c r="DS11" s="6">
        <v>1465592197.83</v>
      </c>
      <c r="DT11" s="6">
        <v>1515512186.5</v>
      </c>
      <c r="DU11" s="6">
        <v>1594721653</v>
      </c>
      <c r="DV11" s="6">
        <v>1596290882</v>
      </c>
      <c r="DW11" s="6">
        <v>1647282064</v>
      </c>
      <c r="DX11" s="6">
        <v>1952725290.7300005</v>
      </c>
      <c r="DY11" s="6">
        <v>1921897140.1800017</v>
      </c>
      <c r="DZ11" s="6">
        <v>1983986318.1499987</v>
      </c>
      <c r="EA11" s="6">
        <v>2073896695.0599985</v>
      </c>
      <c r="EB11" s="6">
        <v>2089427973.4999998</v>
      </c>
      <c r="EC11" s="6">
        <v>2158087638.6000004</v>
      </c>
      <c r="ED11" s="6">
        <v>2253533345.1999965</v>
      </c>
      <c r="EE11" s="6">
        <v>2311932644.8400006</v>
      </c>
      <c r="EF11" s="6">
        <v>2306401529.16</v>
      </c>
      <c r="EG11" s="6">
        <v>2382041731.45</v>
      </c>
      <c r="EH11" s="6">
        <v>2388007829.21</v>
      </c>
      <c r="EI11" s="6">
        <v>2445121161.98</v>
      </c>
      <c r="EJ11" s="6">
        <v>2686966058.77</v>
      </c>
      <c r="EK11" s="27"/>
    </row>
    <row r="12" spans="2:140" ht="12.75">
      <c r="B12" t="s">
        <v>124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"/>
      <c r="AO12" s="3"/>
      <c r="AP12" s="2"/>
      <c r="AQ12" s="2"/>
      <c r="AR12" s="2"/>
      <c r="AS12" s="2"/>
      <c r="AT12" s="2"/>
      <c r="AU12" s="2"/>
      <c r="AV12" s="3"/>
      <c r="AW12" s="2"/>
      <c r="AX12" s="2"/>
      <c r="AY12" s="2"/>
      <c r="AZ12" s="2"/>
      <c r="BA12" s="2"/>
      <c r="BB12" s="2"/>
      <c r="BC12" s="2"/>
      <c r="BD12" s="2"/>
      <c r="BE12" s="2">
        <v>896001</v>
      </c>
      <c r="BF12" s="2">
        <v>1197469</v>
      </c>
      <c r="BG12" s="2">
        <v>2783509</v>
      </c>
      <c r="BH12" s="2"/>
      <c r="BI12" s="2"/>
      <c r="BJ12" s="2"/>
      <c r="BK12" s="2"/>
      <c r="BL12" s="2"/>
      <c r="BM12" s="2">
        <v>1810163</v>
      </c>
      <c r="BN12" s="2">
        <v>4331539</v>
      </c>
      <c r="BO12" s="2">
        <v>6159889</v>
      </c>
      <c r="BP12" s="2">
        <v>8117798</v>
      </c>
      <c r="BQ12" s="2">
        <v>3300502</v>
      </c>
      <c r="BR12" s="2">
        <f>9537199-6383808</f>
        <v>3153391</v>
      </c>
      <c r="BS12" s="2">
        <f>7941674-4623897</f>
        <v>3317777</v>
      </c>
      <c r="BT12" s="2">
        <v>3448567</v>
      </c>
      <c r="BU12" s="2">
        <f>9541138-5715125</f>
        <v>3826013</v>
      </c>
      <c r="BV12" s="2">
        <f>9995583.53-6505408</f>
        <v>3490175.5299999993</v>
      </c>
      <c r="BW12" s="2">
        <f>11362037-6502444</f>
        <v>4859593</v>
      </c>
      <c r="BX12" s="2">
        <f>11996965-5787210</f>
        <v>6209755</v>
      </c>
      <c r="BY12" s="2">
        <f>11022217-6062294</f>
        <v>4959923</v>
      </c>
      <c r="BZ12" s="2">
        <f>11350314-6006853</f>
        <v>5343461</v>
      </c>
      <c r="CA12" s="2">
        <f>12673171-6584925</f>
        <v>6088246</v>
      </c>
      <c r="CB12" s="2">
        <f>14754349-6295580</f>
        <v>8458769</v>
      </c>
      <c r="CC12" s="2">
        <f>13176599-6625894</f>
        <v>6550705</v>
      </c>
      <c r="CD12" s="2">
        <f>16602477-7681719</f>
        <v>8920758</v>
      </c>
      <c r="CE12" s="2">
        <f>16697317-8329004</f>
        <v>8368313</v>
      </c>
      <c r="CF12" s="2">
        <f>17253547-9215397</f>
        <v>8038150</v>
      </c>
      <c r="CG12" s="2">
        <f>20781678-11183986</f>
        <v>9597692</v>
      </c>
      <c r="CH12" s="2">
        <f>21751025-10574468</f>
        <v>11176557</v>
      </c>
      <c r="CI12" s="2">
        <f>28891272-14299769</f>
        <v>14591503</v>
      </c>
      <c r="CJ12" s="2">
        <v>20262000</v>
      </c>
      <c r="CK12" s="2">
        <v>20874000</v>
      </c>
      <c r="CL12" s="2">
        <v>20963000</v>
      </c>
      <c r="CM12" s="2">
        <v>22258000</v>
      </c>
      <c r="CN12" s="2">
        <v>25838000</v>
      </c>
      <c r="CO12" s="2">
        <v>31648000</v>
      </c>
      <c r="CP12" s="2">
        <v>40778000</v>
      </c>
      <c r="CQ12" s="2">
        <v>42444000</v>
      </c>
      <c r="CR12" s="2">
        <v>49765000</v>
      </c>
      <c r="CS12" s="2">
        <v>53570000</v>
      </c>
      <c r="CT12" s="2">
        <v>58060000</v>
      </c>
      <c r="CU12" s="2">
        <v>64248000</v>
      </c>
      <c r="CV12" s="2">
        <v>72071000</v>
      </c>
      <c r="CW12" s="2">
        <v>76032000</v>
      </c>
      <c r="CX12" s="2">
        <v>65920000</v>
      </c>
      <c r="CY12" s="2">
        <v>81811000</v>
      </c>
      <c r="CZ12" s="2">
        <v>91128000</v>
      </c>
      <c r="DA12" s="2">
        <v>95383000</v>
      </c>
      <c r="DB12" s="2">
        <v>102721000</v>
      </c>
      <c r="DC12" s="2">
        <v>94895000</v>
      </c>
      <c r="DD12" s="2">
        <v>103501000</v>
      </c>
      <c r="DE12" s="2">
        <v>114282000</v>
      </c>
      <c r="DF12" s="2">
        <v>120913000</v>
      </c>
      <c r="DG12" s="2">
        <v>122815000</v>
      </c>
      <c r="DH12" s="2">
        <v>151201000</v>
      </c>
      <c r="DI12" s="2">
        <v>175089918.27</v>
      </c>
      <c r="DJ12" s="2">
        <v>196040704.12</v>
      </c>
      <c r="DK12" s="2">
        <v>207824491.53</v>
      </c>
      <c r="DL12" s="2">
        <v>223092676.4</v>
      </c>
      <c r="DM12" s="2">
        <v>243018703.62</v>
      </c>
      <c r="DN12" s="2">
        <v>242663370.6</v>
      </c>
      <c r="DO12" s="2">
        <v>246794603</v>
      </c>
      <c r="DP12" s="2">
        <v>249368999.91</v>
      </c>
      <c r="DQ12" s="2">
        <v>238540719.6</v>
      </c>
      <c r="DR12" s="2">
        <v>254153821.09</v>
      </c>
      <c r="DS12" s="2">
        <v>266753315.56</v>
      </c>
      <c r="DT12" s="2">
        <v>296787662.32</v>
      </c>
      <c r="DU12" s="2">
        <v>286347588</v>
      </c>
      <c r="DV12" s="2">
        <v>313756502</v>
      </c>
      <c r="DW12" s="2">
        <v>352964386</v>
      </c>
      <c r="DX12" s="2">
        <v>374718028.4300002</v>
      </c>
      <c r="DY12" s="2">
        <v>371135054.4500001</v>
      </c>
      <c r="DZ12" s="2">
        <v>397409212.85000026</v>
      </c>
      <c r="EA12" s="2">
        <v>431402895.05999994</v>
      </c>
      <c r="EB12" s="2">
        <v>458175579.5100002</v>
      </c>
      <c r="EC12" s="2">
        <v>484244547.06999934</v>
      </c>
      <c r="ED12" s="2">
        <v>499546579.4800004</v>
      </c>
      <c r="EE12" s="2">
        <v>498727838.80000013</v>
      </c>
      <c r="EF12" s="2">
        <v>505933983.26</v>
      </c>
      <c r="EG12" s="2">
        <v>559437748</v>
      </c>
      <c r="EH12" s="2">
        <v>657484523.91</v>
      </c>
      <c r="EI12" s="2">
        <v>730966724.76</v>
      </c>
      <c r="EJ12" s="2">
        <v>825354373.2</v>
      </c>
    </row>
    <row r="13" spans="2:141" ht="12.75">
      <c r="B13" s="7" t="s">
        <v>123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9"/>
      <c r="AN13" s="9"/>
      <c r="AO13" s="9"/>
      <c r="AP13" s="6"/>
      <c r="AQ13" s="6"/>
      <c r="AR13" s="6"/>
      <c r="AS13" s="6"/>
      <c r="AT13" s="6"/>
      <c r="AU13" s="6"/>
      <c r="AV13" s="9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>
        <v>1918399</v>
      </c>
      <c r="BO13" s="6">
        <v>2640073</v>
      </c>
      <c r="BP13" s="6">
        <v>2935503</v>
      </c>
      <c r="BQ13" s="6">
        <v>2676161</v>
      </c>
      <c r="BR13" s="6">
        <v>2961224</v>
      </c>
      <c r="BS13" s="6">
        <v>2883889</v>
      </c>
      <c r="BT13" s="6">
        <v>2331604</v>
      </c>
      <c r="BU13" s="6">
        <v>2321544</v>
      </c>
      <c r="BV13" s="6">
        <v>2284130</v>
      </c>
      <c r="BW13" s="6">
        <v>3190239</v>
      </c>
      <c r="BX13" s="6">
        <v>3860831</v>
      </c>
      <c r="BY13" s="6">
        <v>3181422</v>
      </c>
      <c r="BZ13" s="6">
        <v>2634973</v>
      </c>
      <c r="CA13" s="6">
        <v>3785022</v>
      </c>
      <c r="CB13" s="6">
        <v>4453769</v>
      </c>
      <c r="CC13" s="6">
        <v>4369182</v>
      </c>
      <c r="CD13" s="6">
        <v>4607800</v>
      </c>
      <c r="CE13" s="6">
        <v>5016964</v>
      </c>
      <c r="CF13" s="6">
        <v>5886653</v>
      </c>
      <c r="CG13" s="6">
        <v>7793348</v>
      </c>
      <c r="CH13" s="6">
        <v>11974515</v>
      </c>
      <c r="CI13" s="6">
        <v>19081972</v>
      </c>
      <c r="CJ13" s="6">
        <v>24105000</v>
      </c>
      <c r="CK13" s="6">
        <v>24273000</v>
      </c>
      <c r="CL13" s="6">
        <v>23897000</v>
      </c>
      <c r="CM13" s="6">
        <v>32421000</v>
      </c>
      <c r="CN13" s="6">
        <v>42527000</v>
      </c>
      <c r="CO13" s="6">
        <v>53925000</v>
      </c>
      <c r="CP13" s="6">
        <v>65560000</v>
      </c>
      <c r="CQ13" s="6">
        <v>82722000</v>
      </c>
      <c r="CR13" s="6">
        <v>96319000</v>
      </c>
      <c r="CS13" s="6">
        <v>115356000</v>
      </c>
      <c r="CT13" s="6">
        <v>149270000</v>
      </c>
      <c r="CU13" s="6">
        <v>152244000</v>
      </c>
      <c r="CV13" s="6">
        <v>148179000</v>
      </c>
      <c r="CW13" s="6">
        <v>169985000</v>
      </c>
      <c r="CX13" s="6">
        <v>168694000</v>
      </c>
      <c r="CY13" s="6">
        <v>159299000</v>
      </c>
      <c r="CZ13" s="6">
        <v>187573000</v>
      </c>
      <c r="DA13" s="6">
        <v>165690000</v>
      </c>
      <c r="DB13" s="6">
        <v>185681000</v>
      </c>
      <c r="DC13" s="6">
        <v>195328000</v>
      </c>
      <c r="DD13" s="6">
        <v>236024000</v>
      </c>
      <c r="DE13" s="6">
        <v>230697000</v>
      </c>
      <c r="DF13" s="6">
        <v>239439000</v>
      </c>
      <c r="DG13" s="6">
        <v>237245000</v>
      </c>
      <c r="DH13" s="6">
        <v>224160000</v>
      </c>
      <c r="DI13" s="6">
        <v>220769492.84</v>
      </c>
      <c r="DJ13" s="6">
        <v>254235166.6</v>
      </c>
      <c r="DK13" s="6">
        <v>292102569.56</v>
      </c>
      <c r="DL13" s="6">
        <v>318769963.58</v>
      </c>
      <c r="DM13" s="6">
        <v>290722395.23</v>
      </c>
      <c r="DN13" s="6">
        <v>321789926.02</v>
      </c>
      <c r="DO13" s="6">
        <v>326140816.37</v>
      </c>
      <c r="DP13" s="6">
        <v>284832060.75</v>
      </c>
      <c r="DQ13" s="6">
        <v>221250822.18</v>
      </c>
      <c r="DR13" s="6">
        <v>237040874.33</v>
      </c>
      <c r="DS13" s="6">
        <v>234789927.91</v>
      </c>
      <c r="DT13" s="6">
        <v>280872903.72</v>
      </c>
      <c r="DU13" s="6">
        <v>348628624</v>
      </c>
      <c r="DV13" s="6">
        <v>424616999</v>
      </c>
      <c r="DW13" s="6">
        <v>483792852</v>
      </c>
      <c r="DX13" s="6">
        <v>416467060.90999997</v>
      </c>
      <c r="DY13" s="6">
        <v>389337449.20999986</v>
      </c>
      <c r="DZ13" s="6">
        <v>394511521.9099999</v>
      </c>
      <c r="EA13" s="6">
        <v>520718600.33999985</v>
      </c>
      <c r="EB13" s="6">
        <v>555289366.1199998</v>
      </c>
      <c r="EC13" s="6">
        <v>549580693.6899998</v>
      </c>
      <c r="ED13" s="6">
        <v>576278895.9899993</v>
      </c>
      <c r="EE13" s="6">
        <v>520531643.98999923</v>
      </c>
      <c r="EF13" s="6">
        <v>549703563.71</v>
      </c>
      <c r="EG13" s="6">
        <v>565042399.79</v>
      </c>
      <c r="EH13" s="6">
        <v>706278089.99</v>
      </c>
      <c r="EI13" s="6">
        <v>648682046.37</v>
      </c>
      <c r="EJ13" s="6">
        <v>983757689.44</v>
      </c>
      <c r="EK13" s="27"/>
    </row>
    <row r="14" spans="2:140" ht="12.75">
      <c r="B14" t="s">
        <v>125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196465</v>
      </c>
      <c r="AE14" s="2">
        <v>234665</v>
      </c>
      <c r="AF14" s="2">
        <v>283443</v>
      </c>
      <c r="AG14" s="2">
        <v>190748</v>
      </c>
      <c r="AH14" s="2">
        <v>341360</v>
      </c>
      <c r="AI14" s="2">
        <v>447177</v>
      </c>
      <c r="AJ14" s="2">
        <v>490809</v>
      </c>
      <c r="AK14" s="2">
        <v>637131</v>
      </c>
      <c r="AL14" s="2">
        <v>697368</v>
      </c>
      <c r="AM14" s="2">
        <v>873394</v>
      </c>
      <c r="AN14" s="3">
        <v>1224212</v>
      </c>
      <c r="AO14" s="3">
        <v>1348385</v>
      </c>
      <c r="AP14" s="2">
        <v>925354</v>
      </c>
      <c r="AQ14" s="2">
        <v>1001338</v>
      </c>
      <c r="AR14" s="2">
        <v>1068816</v>
      </c>
      <c r="AS14" s="2">
        <v>1121533</v>
      </c>
      <c r="AT14" s="2">
        <v>1118247</v>
      </c>
      <c r="AU14" s="2">
        <v>1222787</v>
      </c>
      <c r="AV14" s="3">
        <v>1129939</v>
      </c>
      <c r="AW14" s="2">
        <v>1259012</v>
      </c>
      <c r="AX14" s="2">
        <v>957364</v>
      </c>
      <c r="AY14" s="2">
        <v>812555</v>
      </c>
      <c r="AZ14" s="2">
        <v>911985</v>
      </c>
      <c r="BA14" s="2">
        <v>851168</v>
      </c>
      <c r="BB14" s="2">
        <v>1251758</v>
      </c>
      <c r="BC14" s="2">
        <v>1139014</v>
      </c>
      <c r="BD14" s="2">
        <v>961476</v>
      </c>
      <c r="BE14" s="2">
        <v>1141944</v>
      </c>
      <c r="BF14" s="2">
        <v>1516411</v>
      </c>
      <c r="BG14" s="2">
        <v>1020718</v>
      </c>
      <c r="BH14" s="2">
        <v>1600293</v>
      </c>
      <c r="BI14" s="2">
        <v>1495325</v>
      </c>
      <c r="BJ14" s="2">
        <v>1518476</v>
      </c>
      <c r="BK14" s="2">
        <v>1757098</v>
      </c>
      <c r="BL14" s="2">
        <v>2218173</v>
      </c>
      <c r="BM14" s="2">
        <v>2249958</v>
      </c>
      <c r="BN14" s="2">
        <v>2753158</v>
      </c>
      <c r="BO14" s="2">
        <v>3205454</v>
      </c>
      <c r="BP14" s="2">
        <v>3184188</v>
      </c>
      <c r="BQ14" s="2">
        <v>3418654</v>
      </c>
      <c r="BR14" s="2">
        <v>3648699</v>
      </c>
      <c r="BS14" s="2">
        <v>3939209</v>
      </c>
      <c r="BT14" s="2">
        <v>4588375</v>
      </c>
      <c r="BU14" s="2">
        <v>5156501</v>
      </c>
      <c r="BV14" s="2">
        <v>4701299</v>
      </c>
      <c r="BW14" s="2">
        <v>4758986</v>
      </c>
      <c r="BX14" s="2">
        <v>5491739</v>
      </c>
      <c r="BY14" s="2">
        <v>7427755</v>
      </c>
      <c r="BZ14" s="2">
        <v>6533936</v>
      </c>
      <c r="CA14" s="2">
        <v>7293534</v>
      </c>
      <c r="CB14" s="2">
        <v>7410768</v>
      </c>
      <c r="CC14" s="2">
        <v>8161970</v>
      </c>
      <c r="CD14" s="2">
        <v>8312552</v>
      </c>
      <c r="CE14" s="2">
        <v>9515999</v>
      </c>
      <c r="CF14" s="2">
        <v>10020378</v>
      </c>
      <c r="CG14" s="2">
        <v>12086480</v>
      </c>
      <c r="CH14" s="2">
        <v>12095968</v>
      </c>
      <c r="CI14" s="2">
        <v>15101635</v>
      </c>
      <c r="CJ14" s="2">
        <v>15173000</v>
      </c>
      <c r="CK14" s="2">
        <v>16767000</v>
      </c>
      <c r="CL14" s="2">
        <v>19139000</v>
      </c>
      <c r="CM14" s="2">
        <v>20255000</v>
      </c>
      <c r="CN14" s="2">
        <v>21801000</v>
      </c>
      <c r="CO14" s="2">
        <v>25122000</v>
      </c>
      <c r="CP14" s="2">
        <v>29460000</v>
      </c>
      <c r="CQ14" s="2">
        <v>28270000</v>
      </c>
      <c r="CR14" s="2">
        <v>33068000</v>
      </c>
      <c r="CS14" s="2">
        <v>36808000</v>
      </c>
      <c r="CT14" s="2">
        <v>40717000</v>
      </c>
      <c r="CU14" s="2">
        <v>47668000</v>
      </c>
      <c r="CV14" s="2">
        <v>54970000</v>
      </c>
      <c r="CW14" s="2">
        <v>79842000</v>
      </c>
      <c r="CX14" s="2">
        <v>65148000</v>
      </c>
      <c r="CY14" s="2">
        <v>57541000</v>
      </c>
      <c r="CZ14" s="2">
        <v>58252000</v>
      </c>
      <c r="DA14" s="2">
        <v>58262000</v>
      </c>
      <c r="DB14" s="2">
        <v>58368000</v>
      </c>
      <c r="DC14" s="2">
        <v>58932000</v>
      </c>
      <c r="DD14" s="2">
        <v>66510000</v>
      </c>
      <c r="DE14" s="2">
        <v>65119000</v>
      </c>
      <c r="DF14" s="2">
        <v>68977000</v>
      </c>
      <c r="DG14" s="2">
        <v>78031000</v>
      </c>
      <c r="DH14" s="2">
        <v>76873000</v>
      </c>
      <c r="DI14" s="2">
        <v>88146489.71</v>
      </c>
      <c r="DJ14" s="2">
        <v>89224347.69</v>
      </c>
      <c r="DK14" s="2">
        <v>95897772.87</v>
      </c>
      <c r="DL14" s="2">
        <v>109347093.71</v>
      </c>
      <c r="DM14" s="2">
        <v>109810787.65</v>
      </c>
      <c r="DN14" s="2">
        <v>90142488.08</v>
      </c>
      <c r="DO14" s="2">
        <v>114771016.89</v>
      </c>
      <c r="DP14" s="2">
        <v>104576824.38</v>
      </c>
      <c r="DQ14" s="2">
        <v>100351562.28</v>
      </c>
      <c r="DR14" s="2">
        <v>88137862.17</v>
      </c>
      <c r="DS14" s="2">
        <v>80120525.71</v>
      </c>
      <c r="DT14" s="2">
        <v>78394022.96</v>
      </c>
      <c r="DU14" s="2">
        <v>73053389</v>
      </c>
      <c r="DV14" s="2">
        <v>76032813</v>
      </c>
      <c r="DW14" s="2">
        <v>78435167</v>
      </c>
      <c r="DX14" s="2">
        <v>75445882.05000004</v>
      </c>
      <c r="DY14" s="2">
        <v>67426364.83000007</v>
      </c>
      <c r="DZ14" s="2">
        <v>66394791.41</v>
      </c>
      <c r="EA14" s="2">
        <v>77644726.57</v>
      </c>
      <c r="EB14" s="2">
        <v>86809228.12000005</v>
      </c>
      <c r="EC14" s="2">
        <v>91034036.75000003</v>
      </c>
      <c r="ED14" s="2">
        <v>86976847.24999997</v>
      </c>
      <c r="EE14" s="2">
        <v>91779863.83</v>
      </c>
      <c r="EF14" s="2">
        <v>86192867.81</v>
      </c>
      <c r="EG14" s="2">
        <v>83069974.94</v>
      </c>
      <c r="EH14" s="2">
        <v>80677008.82</v>
      </c>
      <c r="EI14" s="2">
        <v>81523828.5</v>
      </c>
      <c r="EJ14" s="2">
        <v>94587652.29</v>
      </c>
    </row>
    <row r="15" spans="2:140" ht="12.75">
      <c r="B15" s="7" t="s">
        <v>126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9"/>
      <c r="AN15" s="9"/>
      <c r="AO15" s="9">
        <v>590919</v>
      </c>
      <c r="AP15" s="6">
        <v>643094</v>
      </c>
      <c r="AQ15" s="6">
        <v>700078</v>
      </c>
      <c r="AR15" s="6">
        <v>776381</v>
      </c>
      <c r="AS15" s="6">
        <v>829175</v>
      </c>
      <c r="AT15" s="6">
        <v>912476</v>
      </c>
      <c r="AU15" s="6">
        <v>1101423</v>
      </c>
      <c r="AV15" s="9">
        <v>1247997</v>
      </c>
      <c r="AW15" s="6">
        <v>1371584</v>
      </c>
      <c r="AX15" s="6">
        <v>1406929</v>
      </c>
      <c r="AY15" s="6">
        <v>1207138</v>
      </c>
      <c r="AZ15" s="6">
        <v>1061707</v>
      </c>
      <c r="BA15" s="6">
        <v>1194493</v>
      </c>
      <c r="BB15" s="6">
        <v>1311696</v>
      </c>
      <c r="BC15" s="6">
        <v>1486694</v>
      </c>
      <c r="BD15" s="6">
        <v>1619344</v>
      </c>
      <c r="BE15" s="6">
        <v>1714571</v>
      </c>
      <c r="BF15" s="6">
        <v>1786009</v>
      </c>
      <c r="BG15" s="6">
        <v>2176762</v>
      </c>
      <c r="BH15" s="6">
        <v>2103556</v>
      </c>
      <c r="BI15" s="6">
        <v>2342269</v>
      </c>
      <c r="BJ15" s="6">
        <v>2435274</v>
      </c>
      <c r="BK15" s="6">
        <v>2747051</v>
      </c>
      <c r="BL15" s="6">
        <v>2202014</v>
      </c>
      <c r="BM15" s="6">
        <v>3586442</v>
      </c>
      <c r="BN15" s="6">
        <v>4211798</v>
      </c>
      <c r="BO15" s="6">
        <v>4746312</v>
      </c>
      <c r="BP15" s="6">
        <v>4904068</v>
      </c>
      <c r="BQ15" s="6">
        <v>4960822</v>
      </c>
      <c r="BR15" s="6">
        <v>5054030</v>
      </c>
      <c r="BS15" s="6">
        <v>5021938</v>
      </c>
      <c r="BT15" s="6">
        <v>5090535</v>
      </c>
      <c r="BU15" s="6">
        <v>7335506</v>
      </c>
      <c r="BV15" s="6">
        <v>7020425</v>
      </c>
      <c r="BW15" s="6">
        <v>7119127</v>
      </c>
      <c r="BX15" s="6">
        <v>7311823</v>
      </c>
      <c r="BY15" s="6">
        <v>7603518</v>
      </c>
      <c r="BZ15" s="6">
        <v>8330966</v>
      </c>
      <c r="CA15" s="6">
        <v>11489407</v>
      </c>
      <c r="CB15" s="6">
        <v>11747528</v>
      </c>
      <c r="CC15" s="6">
        <v>11977967</v>
      </c>
      <c r="CD15" s="6">
        <v>12143104</v>
      </c>
      <c r="CE15" s="6">
        <v>14510077</v>
      </c>
      <c r="CF15" s="6">
        <v>15208979</v>
      </c>
      <c r="CG15" s="6">
        <v>23684069</v>
      </c>
      <c r="CH15" s="6">
        <v>24128176</v>
      </c>
      <c r="CI15" s="6">
        <v>28825562</v>
      </c>
      <c r="CJ15" s="6">
        <v>28924000</v>
      </c>
      <c r="CK15" s="6">
        <v>29121000</v>
      </c>
      <c r="CL15" s="6">
        <v>32260000</v>
      </c>
      <c r="CM15" s="6">
        <v>39354000</v>
      </c>
      <c r="CN15" s="6">
        <v>40247000</v>
      </c>
      <c r="CO15" s="6">
        <v>42684000</v>
      </c>
      <c r="CP15" s="6">
        <v>43529000</v>
      </c>
      <c r="CQ15" s="6">
        <v>45129000</v>
      </c>
      <c r="CR15" s="6">
        <v>45513000</v>
      </c>
      <c r="CS15" s="6">
        <v>46222000</v>
      </c>
      <c r="CT15" s="6">
        <v>46250000</v>
      </c>
      <c r="CU15" s="6">
        <v>46551000</v>
      </c>
      <c r="CV15" s="6">
        <v>49853000</v>
      </c>
      <c r="CW15" s="6">
        <v>61070000</v>
      </c>
      <c r="CX15" s="6">
        <v>60385000</v>
      </c>
      <c r="CY15" s="6">
        <v>59095000</v>
      </c>
      <c r="CZ15" s="6">
        <v>58060000</v>
      </c>
      <c r="DA15" s="6">
        <v>70539000</v>
      </c>
      <c r="DB15" s="6">
        <v>75609000</v>
      </c>
      <c r="DC15" s="6">
        <v>81179000</v>
      </c>
      <c r="DD15" s="6">
        <v>89670000</v>
      </c>
      <c r="DE15" s="6">
        <v>82623000</v>
      </c>
      <c r="DF15" s="6">
        <v>83472000</v>
      </c>
      <c r="DG15" s="6">
        <v>93535000</v>
      </c>
      <c r="DH15" s="6">
        <v>90671000</v>
      </c>
      <c r="DI15" s="6">
        <v>91606755.44</v>
      </c>
      <c r="DJ15" s="6">
        <v>93273613.81</v>
      </c>
      <c r="DK15" s="6">
        <v>94133883.04</v>
      </c>
      <c r="DL15" s="6">
        <v>94565821.68</v>
      </c>
      <c r="DM15" s="6">
        <v>94626420.8</v>
      </c>
      <c r="DN15" s="6">
        <v>92323542.16</v>
      </c>
      <c r="DO15" s="6">
        <v>91053156.02</v>
      </c>
      <c r="DP15" s="6">
        <v>89560502.69</v>
      </c>
      <c r="DQ15" s="6">
        <v>87993979.19</v>
      </c>
      <c r="DR15" s="6">
        <v>88104902.16</v>
      </c>
      <c r="DS15" s="6">
        <v>87089664.88</v>
      </c>
      <c r="DT15" s="6">
        <v>87427382.05</v>
      </c>
      <c r="DU15" s="6">
        <v>89480207</v>
      </c>
      <c r="DV15" s="6">
        <v>121991145</v>
      </c>
      <c r="DW15" s="6">
        <v>229456990</v>
      </c>
      <c r="DX15" s="6">
        <v>215815109.51999998</v>
      </c>
      <c r="DY15" s="6">
        <v>206067666.18999988</v>
      </c>
      <c r="DZ15" s="6">
        <v>200085184.62</v>
      </c>
      <c r="EA15" s="6">
        <v>103154513.50999993</v>
      </c>
      <c r="EB15" s="6">
        <v>102702926.07000005</v>
      </c>
      <c r="EC15" s="6">
        <v>-313.71999999999997</v>
      </c>
      <c r="ED15" s="6">
        <v>-5213.66</v>
      </c>
      <c r="EE15" s="6">
        <v>4221.36</v>
      </c>
      <c r="EF15" s="6">
        <v>430.13</v>
      </c>
      <c r="EG15" s="6">
        <v>-444.37</v>
      </c>
      <c r="EH15" s="6">
        <v>-4865.88</v>
      </c>
      <c r="EI15" s="6">
        <v>4340.24</v>
      </c>
      <c r="EJ15" s="6">
        <v>-1250</v>
      </c>
    </row>
    <row r="16" spans="2:140" ht="12.75">
      <c r="B16" t="s">
        <v>127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  <c r="AO16" s="3"/>
      <c r="AP16" s="2"/>
      <c r="AQ16" s="2"/>
      <c r="AR16" s="2"/>
      <c r="AS16" s="2"/>
      <c r="AT16" s="2"/>
      <c r="AU16" s="2"/>
      <c r="AV16" s="3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>
        <v>564543</v>
      </c>
      <c r="CJ16" s="2">
        <v>681000</v>
      </c>
      <c r="CK16" s="2">
        <v>703000</v>
      </c>
      <c r="CL16" s="2">
        <v>762000</v>
      </c>
      <c r="CM16" s="2">
        <v>753000</v>
      </c>
      <c r="CN16" s="2">
        <v>731000</v>
      </c>
      <c r="CO16" s="2">
        <v>722000</v>
      </c>
      <c r="CP16" s="2">
        <v>764000</v>
      </c>
      <c r="CQ16" s="2">
        <v>769000</v>
      </c>
      <c r="CR16" s="2">
        <v>764000</v>
      </c>
      <c r="CS16" s="2">
        <v>780000</v>
      </c>
      <c r="CT16" s="2"/>
      <c r="CU16" s="2"/>
      <c r="CV16" s="2"/>
      <c r="CW16" s="2"/>
      <c r="CX16" s="2"/>
      <c r="CY16" s="2"/>
      <c r="CZ16" s="2"/>
      <c r="DA16" s="2">
        <v>1720000</v>
      </c>
      <c r="DB16" s="2">
        <v>1880000</v>
      </c>
      <c r="DC16" s="2">
        <v>2030000</v>
      </c>
      <c r="DD16" s="2">
        <v>2507000</v>
      </c>
      <c r="DE16" s="2">
        <v>2603000</v>
      </c>
      <c r="DF16" s="2">
        <v>3052000</v>
      </c>
      <c r="DG16" s="2">
        <v>3899000</v>
      </c>
      <c r="DH16" s="2">
        <v>4007000</v>
      </c>
      <c r="DI16" s="2">
        <v>4594984.58</v>
      </c>
      <c r="DJ16" s="2">
        <v>5050572.87</v>
      </c>
      <c r="DK16" s="2">
        <v>5309615.83</v>
      </c>
      <c r="DL16" s="2">
        <v>5710584.68</v>
      </c>
      <c r="DM16" s="2">
        <v>6094281.8</v>
      </c>
      <c r="DN16" s="2">
        <v>6530308.66</v>
      </c>
      <c r="DO16" s="2">
        <v>6635201.13</v>
      </c>
      <c r="DP16" s="2">
        <v>6660779.31</v>
      </c>
      <c r="DQ16" s="2">
        <v>7087941.04</v>
      </c>
      <c r="DR16" s="2">
        <v>7438460.59</v>
      </c>
      <c r="DS16" s="2">
        <v>8015905.89</v>
      </c>
      <c r="DT16" s="2">
        <v>8734060.6</v>
      </c>
      <c r="DU16" s="2">
        <v>9204408</v>
      </c>
      <c r="DV16" s="2">
        <v>12107559</v>
      </c>
      <c r="DW16" s="2">
        <v>21247113</v>
      </c>
      <c r="DX16" s="2">
        <v>22985702.770000007</v>
      </c>
      <c r="DY16" s="2">
        <v>26005168.159999996</v>
      </c>
      <c r="DZ16" s="2">
        <v>27219951.200000003</v>
      </c>
      <c r="EA16" s="2">
        <v>16277072.44</v>
      </c>
      <c r="EB16" s="2">
        <v>18693932.96</v>
      </c>
      <c r="EC16" s="2">
        <v>1409677.1600000001</v>
      </c>
      <c r="ED16" s="2">
        <v>68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</row>
    <row r="17" spans="2:140" ht="12.75">
      <c r="B17" s="7" t="s">
        <v>128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14920</v>
      </c>
      <c r="O17" s="6">
        <v>43548</v>
      </c>
      <c r="P17" s="6">
        <v>76721</v>
      </c>
      <c r="Q17" s="6">
        <v>105908</v>
      </c>
      <c r="R17" s="6">
        <v>109577</v>
      </c>
      <c r="S17" s="6">
        <v>85949</v>
      </c>
      <c r="T17" s="6">
        <v>88410</v>
      </c>
      <c r="U17" s="6">
        <v>109087</v>
      </c>
      <c r="V17" s="6">
        <v>125471</v>
      </c>
      <c r="W17" s="6">
        <v>140355</v>
      </c>
      <c r="X17" s="6">
        <v>149288</v>
      </c>
      <c r="Y17" s="6">
        <v>174610</v>
      </c>
      <c r="Z17" s="6">
        <v>224302</v>
      </c>
      <c r="AA17" s="6">
        <v>241123</v>
      </c>
      <c r="AB17" s="6">
        <v>246565</v>
      </c>
      <c r="AC17" s="6">
        <v>304468</v>
      </c>
      <c r="AD17" s="6">
        <v>382165</v>
      </c>
      <c r="AE17" s="6">
        <v>475484</v>
      </c>
      <c r="AF17" s="6">
        <v>555172</v>
      </c>
      <c r="AG17" s="6">
        <v>299909</v>
      </c>
      <c r="AH17" s="6">
        <v>630433</v>
      </c>
      <c r="AI17" s="6">
        <v>651037</v>
      </c>
      <c r="AJ17" s="6">
        <v>710246</v>
      </c>
      <c r="AK17" s="6">
        <v>859706</v>
      </c>
      <c r="AL17" s="6">
        <v>1023995</v>
      </c>
      <c r="AM17" s="6">
        <v>1224560</v>
      </c>
      <c r="AN17" s="9">
        <v>1752756</v>
      </c>
      <c r="AO17" s="9">
        <v>2180803</v>
      </c>
      <c r="AP17" s="6">
        <v>1076715</v>
      </c>
      <c r="AQ17" s="6">
        <v>1176320</v>
      </c>
      <c r="AR17" s="6">
        <v>1207783</v>
      </c>
      <c r="AS17" s="6">
        <v>1348179</v>
      </c>
      <c r="AT17" s="6">
        <v>1362765</v>
      </c>
      <c r="AU17" s="6">
        <v>1476337</v>
      </c>
      <c r="AV17" s="9">
        <v>1546140</v>
      </c>
      <c r="AW17" s="6">
        <v>1649787</v>
      </c>
      <c r="AX17" s="6">
        <v>1700925</v>
      </c>
      <c r="AY17" s="6">
        <v>1653119</v>
      </c>
      <c r="AZ17" s="6">
        <v>1448326</v>
      </c>
      <c r="BA17" s="6">
        <v>1292271</v>
      </c>
      <c r="BB17" s="6">
        <v>1445921</v>
      </c>
      <c r="BC17" s="6">
        <v>1626136</v>
      </c>
      <c r="BD17" s="6">
        <v>1842455</v>
      </c>
      <c r="BE17" s="6">
        <v>1652338</v>
      </c>
      <c r="BF17" s="6">
        <v>1679039</v>
      </c>
      <c r="BG17" s="6">
        <v>1709095</v>
      </c>
      <c r="BH17" s="6">
        <v>1777757</v>
      </c>
      <c r="BI17" s="6">
        <v>1827603</v>
      </c>
      <c r="BJ17" s="6">
        <v>1879524</v>
      </c>
      <c r="BK17" s="6">
        <v>2003242</v>
      </c>
      <c r="BL17" s="9">
        <v>1958161</v>
      </c>
      <c r="BM17" s="9">
        <v>2265144</v>
      </c>
      <c r="BN17" s="6">
        <v>2660949</v>
      </c>
      <c r="BO17" s="6">
        <v>3300524</v>
      </c>
      <c r="BP17" s="6">
        <v>3739461</v>
      </c>
      <c r="BQ17" s="6">
        <v>4052078</v>
      </c>
      <c r="BR17" s="6">
        <v>4278666</v>
      </c>
      <c r="BS17" s="6">
        <v>4466295</v>
      </c>
      <c r="BT17" s="6">
        <v>4630257</v>
      </c>
      <c r="BU17" s="6">
        <v>5208782</v>
      </c>
      <c r="BV17" s="6">
        <v>5441448</v>
      </c>
      <c r="BW17" s="6">
        <v>5793806</v>
      </c>
      <c r="BX17" s="6">
        <v>6009706</v>
      </c>
      <c r="BY17" s="6">
        <v>6398293</v>
      </c>
      <c r="BZ17" s="6">
        <v>7003608</v>
      </c>
      <c r="CA17" s="6">
        <v>7497047</v>
      </c>
      <c r="CB17" s="6">
        <v>7952227</v>
      </c>
      <c r="CC17" s="6">
        <v>8272261</v>
      </c>
      <c r="CD17" s="6">
        <v>8776892</v>
      </c>
      <c r="CE17" s="6">
        <v>9615604</v>
      </c>
      <c r="CF17" s="6">
        <v>10274582</v>
      </c>
      <c r="CG17" s="6">
        <v>11475934</v>
      </c>
      <c r="CH17" s="6">
        <v>12367996</v>
      </c>
      <c r="CI17" s="6">
        <v>13477716</v>
      </c>
      <c r="CJ17" s="6">
        <v>14518000</v>
      </c>
      <c r="CK17" s="6">
        <v>15704000</v>
      </c>
      <c r="CL17" s="6">
        <v>17210000</v>
      </c>
      <c r="CM17" s="6">
        <v>18547000</v>
      </c>
      <c r="CN17" s="6">
        <v>20080000</v>
      </c>
      <c r="CO17" s="6">
        <v>21573000</v>
      </c>
      <c r="CP17" s="6">
        <v>23592000</v>
      </c>
      <c r="CQ17" s="6">
        <v>26780000</v>
      </c>
      <c r="CR17" s="6">
        <v>30909000</v>
      </c>
      <c r="CS17" s="6">
        <v>35836000</v>
      </c>
      <c r="CT17" s="6">
        <v>39400000</v>
      </c>
      <c r="CU17" s="6">
        <v>43740000</v>
      </c>
      <c r="CV17" s="6">
        <v>45695000</v>
      </c>
      <c r="CW17" s="6">
        <v>71410000</v>
      </c>
      <c r="CX17" s="6">
        <v>49432000</v>
      </c>
      <c r="CY17" s="6">
        <v>52338000</v>
      </c>
      <c r="CZ17" s="6">
        <v>55632000</v>
      </c>
      <c r="DA17" s="6">
        <v>72764000</v>
      </c>
      <c r="DB17" s="6">
        <v>76490000</v>
      </c>
      <c r="DC17" s="6">
        <v>81033000</v>
      </c>
      <c r="DD17" s="6">
        <v>84878000</v>
      </c>
      <c r="DE17" s="6">
        <v>86976000</v>
      </c>
      <c r="DF17" s="6">
        <v>92288000</v>
      </c>
      <c r="DG17" s="6">
        <v>97445000</v>
      </c>
      <c r="DH17" s="6">
        <v>96505000</v>
      </c>
      <c r="DI17" s="6">
        <v>103326858.85</v>
      </c>
      <c r="DJ17" s="6">
        <v>102057650.54</v>
      </c>
      <c r="DK17" s="6">
        <v>104274001.36</v>
      </c>
      <c r="DL17" s="6">
        <v>105957053.96</v>
      </c>
      <c r="DM17" s="6">
        <v>108868140.6</v>
      </c>
      <c r="DN17" s="6">
        <v>114344548.88</v>
      </c>
      <c r="DO17" s="6">
        <v>120211667.83</v>
      </c>
      <c r="DP17" s="6">
        <v>126610891.04</v>
      </c>
      <c r="DQ17" s="6">
        <v>135372923.37</v>
      </c>
      <c r="DR17" s="6">
        <v>142235491.47</v>
      </c>
      <c r="DS17" s="6">
        <v>138228667.83</v>
      </c>
      <c r="DT17" s="6">
        <v>130933013.77</v>
      </c>
      <c r="DU17" s="6">
        <v>121428266</v>
      </c>
      <c r="DV17" s="6">
        <v>105222996</v>
      </c>
      <c r="DW17" s="6">
        <v>111653217</v>
      </c>
      <c r="DX17" s="6">
        <v>90028137.97</v>
      </c>
      <c r="DY17" s="6">
        <v>88570528.06</v>
      </c>
      <c r="DZ17" s="6">
        <v>97097741.46999998</v>
      </c>
      <c r="EA17" s="6">
        <v>101406032.84</v>
      </c>
      <c r="EB17" s="6">
        <v>104884699.73999996</v>
      </c>
      <c r="EC17" s="6">
        <v>105531948.27</v>
      </c>
      <c r="ED17" s="6">
        <v>109633595.08999997</v>
      </c>
      <c r="EE17" s="6">
        <v>119674744.45</v>
      </c>
      <c r="EF17" s="6">
        <v>114808432.46</v>
      </c>
      <c r="EG17" s="6">
        <v>121862975.75</v>
      </c>
      <c r="EH17" s="6">
        <v>153440855.68</v>
      </c>
      <c r="EI17" s="6">
        <v>143430798.56</v>
      </c>
      <c r="EJ17" s="6">
        <v>144028835.72</v>
      </c>
    </row>
    <row r="18" spans="2:140" ht="12.75">
      <c r="B18" t="s">
        <v>129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"/>
      <c r="AO18" s="3"/>
      <c r="AP18" s="2"/>
      <c r="AQ18" s="2"/>
      <c r="AR18" s="2"/>
      <c r="AS18" s="2"/>
      <c r="AT18" s="2"/>
      <c r="AU18" s="2"/>
      <c r="AV18" s="3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>
        <v>1370472</v>
      </c>
      <c r="BL18" s="2">
        <v>1402721</v>
      </c>
      <c r="BM18" s="2">
        <v>1549660</v>
      </c>
      <c r="BN18" s="2">
        <v>1629336</v>
      </c>
      <c r="BO18" s="2">
        <v>3419534</v>
      </c>
      <c r="BP18" s="2">
        <v>3274205</v>
      </c>
      <c r="BQ18" s="2">
        <v>3309779</v>
      </c>
      <c r="BR18" s="2">
        <v>3218921</v>
      </c>
      <c r="BS18" s="2">
        <v>3094470</v>
      </c>
      <c r="BT18" s="2">
        <v>3129213</v>
      </c>
      <c r="BU18" s="2">
        <v>3233490</v>
      </c>
      <c r="BV18" s="2">
        <v>3214402</v>
      </c>
      <c r="BW18" s="2">
        <v>3188945</v>
      </c>
      <c r="BX18" s="2">
        <v>3122470</v>
      </c>
      <c r="BY18" s="2">
        <v>3472404</v>
      </c>
      <c r="BZ18" s="2">
        <v>3095147</v>
      </c>
      <c r="CA18" s="2">
        <v>3235308</v>
      </c>
      <c r="CB18" s="2">
        <v>3246474</v>
      </c>
      <c r="CC18" s="2">
        <v>3266296</v>
      </c>
      <c r="CD18" s="2">
        <v>3301182</v>
      </c>
      <c r="CE18" s="2">
        <v>3413216</v>
      </c>
      <c r="CF18" s="2">
        <v>3442128</v>
      </c>
      <c r="CG18" s="2">
        <v>3486995</v>
      </c>
      <c r="CH18" s="2">
        <v>3631694</v>
      </c>
      <c r="CI18" s="2">
        <v>5020222</v>
      </c>
      <c r="CJ18" s="2">
        <v>5448000</v>
      </c>
      <c r="CK18" s="2">
        <v>5797000</v>
      </c>
      <c r="CL18" s="2">
        <v>6091000</v>
      </c>
      <c r="CM18" s="2">
        <v>7198000</v>
      </c>
      <c r="CN18" s="2">
        <v>7604000</v>
      </c>
      <c r="CO18" s="2">
        <v>8120000</v>
      </c>
      <c r="CP18" s="2">
        <v>8516000</v>
      </c>
      <c r="CQ18" s="2">
        <v>8840000</v>
      </c>
      <c r="CR18" s="2">
        <v>9160000</v>
      </c>
      <c r="CS18" s="2">
        <v>9498000</v>
      </c>
      <c r="CT18" s="2">
        <v>10146000</v>
      </c>
      <c r="CU18" s="2">
        <v>9897000</v>
      </c>
      <c r="CV18" s="2">
        <v>16965000</v>
      </c>
      <c r="CW18" s="2">
        <v>16935000</v>
      </c>
      <c r="CX18" s="2">
        <v>16728000</v>
      </c>
      <c r="CY18" s="2">
        <v>16561000</v>
      </c>
      <c r="CZ18" s="2">
        <v>16295000</v>
      </c>
      <c r="DA18" s="2">
        <v>14825000</v>
      </c>
      <c r="DB18" s="2">
        <v>12818000</v>
      </c>
      <c r="DC18" s="2">
        <v>12745000</v>
      </c>
      <c r="DD18" s="2">
        <v>12551000</v>
      </c>
      <c r="DE18" s="2">
        <v>12592000</v>
      </c>
      <c r="DF18" s="2">
        <v>12703000</v>
      </c>
      <c r="DG18" s="2">
        <v>12629000</v>
      </c>
      <c r="DH18" s="2">
        <v>12467000</v>
      </c>
      <c r="DI18" s="2">
        <v>12477296.32</v>
      </c>
      <c r="DJ18" s="2">
        <v>12428590.93</v>
      </c>
      <c r="DK18" s="2">
        <v>12550308.63</v>
      </c>
      <c r="DL18" s="2">
        <v>12477857.13</v>
      </c>
      <c r="DM18" s="2">
        <v>12671461.3</v>
      </c>
      <c r="DN18" s="2">
        <v>13115403.16</v>
      </c>
      <c r="DO18" s="2">
        <v>13586385.4</v>
      </c>
      <c r="DP18" s="2">
        <v>13568794.3</v>
      </c>
      <c r="DQ18" s="2">
        <v>13767760.6</v>
      </c>
      <c r="DR18" s="2">
        <v>13918222.55</v>
      </c>
      <c r="DS18" s="2">
        <v>14003309.03</v>
      </c>
      <c r="DT18" s="2">
        <v>14012394.49</v>
      </c>
      <c r="DU18" s="2">
        <v>14204819</v>
      </c>
      <c r="DV18" s="2">
        <v>14298945</v>
      </c>
      <c r="DW18" s="2">
        <v>14509173</v>
      </c>
      <c r="DX18" s="2">
        <v>14662278.099999994</v>
      </c>
      <c r="DY18" s="2">
        <v>14404350.61</v>
      </c>
      <c r="DZ18" s="2">
        <v>14340407.230000002</v>
      </c>
      <c r="EA18" s="2">
        <v>14235883.049999999</v>
      </c>
      <c r="EB18" s="2">
        <v>14522408.050000003</v>
      </c>
      <c r="EC18" s="2">
        <v>14126578.840000004</v>
      </c>
      <c r="ED18" s="2">
        <v>14459799.67</v>
      </c>
      <c r="EE18" s="2">
        <v>14100376.819999998</v>
      </c>
      <c r="EF18" s="2">
        <v>13939847.12</v>
      </c>
      <c r="EG18" s="2">
        <v>13707177.92</v>
      </c>
      <c r="EH18" s="2">
        <v>13517809.02</v>
      </c>
      <c r="EI18" s="2">
        <v>9844720.98</v>
      </c>
      <c r="EJ18" s="2">
        <v>17647904.77</v>
      </c>
    </row>
    <row r="19" spans="2:140" ht="12.75">
      <c r="B19" s="7" t="s">
        <v>130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9"/>
      <c r="AO19" s="9"/>
      <c r="AP19" s="6"/>
      <c r="AQ19" s="6"/>
      <c r="AR19" s="6"/>
      <c r="AS19" s="6"/>
      <c r="AT19" s="6"/>
      <c r="AU19" s="6"/>
      <c r="AV19" s="9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>
        <v>3079525</v>
      </c>
      <c r="CF19" s="6">
        <v>3939243</v>
      </c>
      <c r="CG19" s="6">
        <v>4606937</v>
      </c>
      <c r="CH19" s="6">
        <v>5102400</v>
      </c>
      <c r="CI19" s="6">
        <v>3482288</v>
      </c>
      <c r="CJ19" s="6">
        <v>2813000</v>
      </c>
      <c r="CK19" s="6">
        <v>3253000</v>
      </c>
      <c r="CL19" s="6">
        <v>3438000</v>
      </c>
      <c r="CM19" s="6">
        <v>3353000</v>
      </c>
      <c r="CN19" s="6">
        <v>4530000</v>
      </c>
      <c r="CO19" s="6">
        <v>4784000</v>
      </c>
      <c r="CP19" s="6">
        <v>5078000</v>
      </c>
      <c r="CQ19" s="6">
        <v>5481000</v>
      </c>
      <c r="CR19" s="6">
        <v>5588000</v>
      </c>
      <c r="CS19" s="6">
        <v>6190000</v>
      </c>
      <c r="CT19" s="6">
        <v>6328000</v>
      </c>
      <c r="CU19" s="6">
        <v>6473000</v>
      </c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>
        <v>470.79</v>
      </c>
      <c r="EI19" s="6">
        <v>107.04</v>
      </c>
      <c r="EJ19" s="6">
        <v>0</v>
      </c>
    </row>
    <row r="20" spans="2:140" ht="12.75">
      <c r="B20" t="s">
        <v>188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"/>
      <c r="AO20" s="3"/>
      <c r="AP20" s="2"/>
      <c r="AQ20" s="2"/>
      <c r="AR20" s="2"/>
      <c r="AS20" s="2"/>
      <c r="AT20" s="2"/>
      <c r="AU20" s="2"/>
      <c r="AV20" s="3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>
        <v>446000</v>
      </c>
      <c r="CM20" s="2">
        <v>4464000</v>
      </c>
      <c r="CN20" s="2">
        <v>685000</v>
      </c>
      <c r="CO20" s="2">
        <v>2656000</v>
      </c>
      <c r="CP20" s="2">
        <v>3588000</v>
      </c>
      <c r="CQ20" s="2">
        <v>3985000</v>
      </c>
      <c r="CR20" s="2">
        <v>4068000</v>
      </c>
      <c r="CS20" s="2">
        <v>5022000</v>
      </c>
      <c r="CT20" s="2">
        <v>6255000</v>
      </c>
      <c r="CU20" s="2">
        <v>6924000</v>
      </c>
      <c r="CV20" s="2">
        <v>9603000</v>
      </c>
      <c r="CW20" s="2">
        <v>8154000</v>
      </c>
      <c r="CX20" s="2">
        <v>6640000</v>
      </c>
      <c r="CY20" s="2">
        <v>6627000</v>
      </c>
      <c r="CZ20" s="2">
        <v>9450000</v>
      </c>
      <c r="DA20" s="2">
        <v>8738000</v>
      </c>
      <c r="DB20" s="2">
        <v>4294000</v>
      </c>
      <c r="DC20" s="2">
        <v>8463000</v>
      </c>
      <c r="DD20" s="2">
        <v>22663000</v>
      </c>
      <c r="DE20" s="2">
        <v>25535000</v>
      </c>
      <c r="DF20" s="2">
        <v>24989000</v>
      </c>
      <c r="DG20" s="2">
        <v>26436000</v>
      </c>
      <c r="DH20" s="2">
        <v>31668000</v>
      </c>
      <c r="DI20" s="2">
        <v>34051675.33</v>
      </c>
      <c r="DJ20" s="2">
        <v>28905465.76</v>
      </c>
      <c r="DK20" s="2">
        <v>26476123.26</v>
      </c>
      <c r="DL20" s="2">
        <v>35642954.14</v>
      </c>
      <c r="DM20" s="2">
        <v>36406413.2</v>
      </c>
      <c r="DN20" s="2">
        <v>33755649.04</v>
      </c>
      <c r="DO20" s="2">
        <v>31764120.33</v>
      </c>
      <c r="DP20" s="2">
        <v>31247069.37</v>
      </c>
      <c r="DQ20" s="2">
        <v>30914566.8</v>
      </c>
      <c r="DR20" s="2">
        <v>35255732.91</v>
      </c>
      <c r="DS20" s="2">
        <v>38011341.04</v>
      </c>
      <c r="DT20" s="2">
        <v>35420054.12</v>
      </c>
      <c r="DU20" s="2">
        <v>35469977</v>
      </c>
      <c r="DV20" s="2">
        <v>33294696</v>
      </c>
      <c r="DW20" s="2">
        <v>37583387</v>
      </c>
      <c r="DX20" s="2">
        <v>33643711.89</v>
      </c>
      <c r="DY20" s="2">
        <v>31623470.83</v>
      </c>
      <c r="DZ20" s="2">
        <v>36323414.61</v>
      </c>
      <c r="EA20" s="2">
        <v>41485762.21</v>
      </c>
      <c r="EB20" s="2">
        <v>42904242.55</v>
      </c>
      <c r="EC20" s="2">
        <v>42918556.27</v>
      </c>
      <c r="ED20" s="2">
        <v>46949478.1</v>
      </c>
      <c r="EE20" s="2">
        <v>52036498.19</v>
      </c>
      <c r="EF20" s="2">
        <v>53798247.8</v>
      </c>
      <c r="EG20" s="2">
        <v>46696451.91</v>
      </c>
      <c r="EH20" s="2">
        <v>59644082.31</v>
      </c>
      <c r="EI20" s="2">
        <v>67910451.46</v>
      </c>
      <c r="EJ20" s="2">
        <v>69814561.55</v>
      </c>
    </row>
    <row r="21" spans="2:141" ht="12.75">
      <c r="B21" s="7" t="s">
        <v>131</v>
      </c>
      <c r="C21" s="6"/>
      <c r="D21" s="6">
        <v>16486</v>
      </c>
      <c r="E21" s="6"/>
      <c r="F21" s="6">
        <v>10515</v>
      </c>
      <c r="G21" s="6">
        <v>53463</v>
      </c>
      <c r="H21" s="6"/>
      <c r="I21" s="6"/>
      <c r="J21" s="6"/>
      <c r="K21" s="6"/>
      <c r="L21" s="6"/>
      <c r="M21" s="6"/>
      <c r="N21" s="6"/>
      <c r="O21" s="6"/>
      <c r="P21" s="6">
        <v>77180</v>
      </c>
      <c r="Q21" s="6">
        <v>19008</v>
      </c>
      <c r="R21" s="6">
        <v>7608</v>
      </c>
      <c r="S21" s="6">
        <v>21944</v>
      </c>
      <c r="T21" s="6">
        <v>20955</v>
      </c>
      <c r="U21" s="6">
        <v>43992</v>
      </c>
      <c r="V21" s="6">
        <v>56930</v>
      </c>
      <c r="W21" s="6">
        <v>61384</v>
      </c>
      <c r="X21" s="6">
        <v>63861</v>
      </c>
      <c r="Y21" s="6">
        <v>76178</v>
      </c>
      <c r="Z21" s="6">
        <v>490249</v>
      </c>
      <c r="AA21" s="6">
        <v>122642</v>
      </c>
      <c r="AB21" s="6">
        <v>130590</v>
      </c>
      <c r="AC21" s="6">
        <v>425639</v>
      </c>
      <c r="AD21" s="6">
        <f>473721-AD14</f>
        <v>277256</v>
      </c>
      <c r="AE21" s="6">
        <f>1032331-AE14</f>
        <v>797666</v>
      </c>
      <c r="AF21" s="6">
        <f>713977-AF14</f>
        <v>430534</v>
      </c>
      <c r="AG21" s="6">
        <f>410764-AG14</f>
        <v>220016</v>
      </c>
      <c r="AH21" s="6">
        <f>723299-AH14</f>
        <v>381939</v>
      </c>
      <c r="AI21" s="6"/>
      <c r="AJ21" s="6"/>
      <c r="AK21" s="6"/>
      <c r="AL21" s="6"/>
      <c r="AM21" s="6"/>
      <c r="AN21" s="9"/>
      <c r="AO21" s="9">
        <v>299362</v>
      </c>
      <c r="AP21" s="6"/>
      <c r="AQ21" s="6"/>
      <c r="AR21" s="6"/>
      <c r="AS21" s="6"/>
      <c r="AT21" s="6"/>
      <c r="AU21" s="6"/>
      <c r="AV21" s="9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>
        <v>1876000</v>
      </c>
      <c r="CU21" s="6">
        <v>1127000</v>
      </c>
      <c r="CV21" s="6">
        <v>1286000</v>
      </c>
      <c r="CW21" s="6">
        <v>1446000</v>
      </c>
      <c r="CX21" s="6">
        <v>1195000</v>
      </c>
      <c r="CY21" s="6">
        <v>-11000</v>
      </c>
      <c r="CZ21" s="6">
        <v>228000</v>
      </c>
      <c r="DA21" s="6">
        <v>270000</v>
      </c>
      <c r="DB21" s="6">
        <v>319000</v>
      </c>
      <c r="DC21" s="6">
        <v>341000</v>
      </c>
      <c r="DD21" s="6">
        <v>450000</v>
      </c>
      <c r="DE21" s="6">
        <v>565000</v>
      </c>
      <c r="DF21" s="6">
        <v>566000</v>
      </c>
      <c r="DG21" s="6">
        <v>671000</v>
      </c>
      <c r="DH21" s="6">
        <v>843000</v>
      </c>
      <c r="DI21" s="6">
        <f>494687.3-1557.52+637635.31</f>
        <v>1130765.09</v>
      </c>
      <c r="DJ21" s="6">
        <f>487874.19-584.41+509145.78</f>
        <v>996435.56</v>
      </c>
      <c r="DK21" s="6">
        <f>533087.78+401708.12</f>
        <v>934795.9</v>
      </c>
      <c r="DL21" s="6">
        <f>706984.56+484059.19</f>
        <v>1191043.75</v>
      </c>
      <c r="DM21" s="6">
        <f>828993.18+471198.63</f>
        <v>1300191.81</v>
      </c>
      <c r="DN21" s="6">
        <f>817504.43+245627.4</f>
        <v>1063131.83</v>
      </c>
      <c r="DO21" s="6">
        <f>848250.47+302659.9+138354.02</f>
        <v>1289264.3900000001</v>
      </c>
      <c r="DP21" s="6">
        <f>964021.15+192526.46+139539.78</f>
        <v>1296087.3900000001</v>
      </c>
      <c r="DQ21" s="6">
        <f>1098010.3+224027.01+140475.58</f>
        <v>1462512.8900000001</v>
      </c>
      <c r="DR21" s="6">
        <f>805413.84+139470.09+143468.28</f>
        <v>1088352.21</v>
      </c>
      <c r="DS21" s="6">
        <v>1078433.85</v>
      </c>
      <c r="DT21" s="6">
        <v>568570.84</v>
      </c>
      <c r="DU21" s="6">
        <v>638200</v>
      </c>
      <c r="DV21" s="6">
        <v>957388</v>
      </c>
      <c r="DW21" s="6">
        <v>958392</v>
      </c>
      <c r="DX21" s="6">
        <v>2426069.999999999</v>
      </c>
      <c r="DY21" s="6">
        <v>-430829.37999999966</v>
      </c>
      <c r="DZ21" s="6">
        <v>1045569.8500000001</v>
      </c>
      <c r="EA21" s="6">
        <v>1084801.0200000003</v>
      </c>
      <c r="EB21" s="6">
        <v>1146291.1199999999</v>
      </c>
      <c r="EC21" s="6">
        <v>1224736.0099999998</v>
      </c>
      <c r="ED21" s="6">
        <v>1395436.5699999998</v>
      </c>
      <c r="EE21" s="6">
        <v>1466849.2800000007</v>
      </c>
      <c r="EF21" s="6">
        <v>1386340.2</v>
      </c>
      <c r="EG21" s="6">
        <v>1653795.93</v>
      </c>
      <c r="EH21" s="6">
        <v>14066664.29</v>
      </c>
      <c r="EI21" s="6">
        <v>24938594.68</v>
      </c>
      <c r="EJ21" s="6">
        <v>22915370.75</v>
      </c>
      <c r="EK21" s="27"/>
    </row>
    <row r="22" spans="2:140" ht="12.75">
      <c r="B22" t="s">
        <v>132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>
        <v>45948</v>
      </c>
      <c r="AO22" s="3">
        <v>46527</v>
      </c>
      <c r="AP22" s="2">
        <v>30433</v>
      </c>
      <c r="AQ22" s="2">
        <v>30963</v>
      </c>
      <c r="AR22" s="2">
        <v>40800</v>
      </c>
      <c r="AS22" s="2">
        <v>46146</v>
      </c>
      <c r="AT22" s="2">
        <v>65530</v>
      </c>
      <c r="AU22" s="2">
        <v>61690</v>
      </c>
      <c r="AV22" s="3">
        <v>83734</v>
      </c>
      <c r="AW22" s="2">
        <v>77071</v>
      </c>
      <c r="AX22" s="2">
        <v>60876</v>
      </c>
      <c r="AY22" s="2">
        <v>47073</v>
      </c>
      <c r="AZ22" s="2">
        <v>40766</v>
      </c>
      <c r="BA22" s="2">
        <v>27512</v>
      </c>
      <c r="BB22" s="2">
        <v>28618</v>
      </c>
      <c r="BC22" s="2">
        <v>28050</v>
      </c>
      <c r="BD22" s="2">
        <v>29777</v>
      </c>
      <c r="BE22" s="2">
        <v>34971</v>
      </c>
      <c r="BF22" s="2">
        <v>34285</v>
      </c>
      <c r="BG22" s="2">
        <v>34096.9</v>
      </c>
      <c r="BH22" s="2">
        <v>51062</v>
      </c>
      <c r="BI22" s="2">
        <v>48866</v>
      </c>
      <c r="BJ22" s="2">
        <v>50473</v>
      </c>
      <c r="BK22" s="2">
        <v>53208</v>
      </c>
      <c r="BL22" s="2">
        <v>46321</v>
      </c>
      <c r="BM22" s="2">
        <v>48577.8</v>
      </c>
      <c r="BN22" s="2">
        <v>68577</v>
      </c>
      <c r="BO22" s="2">
        <v>69401</v>
      </c>
      <c r="BP22" s="2">
        <v>95234</v>
      </c>
      <c r="BQ22" s="2">
        <v>95430</v>
      </c>
      <c r="BR22" s="2">
        <v>83997</v>
      </c>
      <c r="BS22" s="2">
        <v>92911</v>
      </c>
      <c r="BT22" s="2">
        <v>100819</v>
      </c>
      <c r="BU22" s="2">
        <v>101325</v>
      </c>
      <c r="BV22" s="2">
        <v>102620</v>
      </c>
      <c r="BW22" s="2">
        <v>101447</v>
      </c>
      <c r="BX22" s="2">
        <v>106062</v>
      </c>
      <c r="BY22" s="2">
        <v>110630</v>
      </c>
      <c r="BZ22" s="2">
        <v>109817</v>
      </c>
      <c r="CA22" s="2">
        <v>113442</v>
      </c>
      <c r="CB22" s="2">
        <v>127710</v>
      </c>
      <c r="CC22" s="2">
        <v>124219</v>
      </c>
      <c r="CD22" s="2">
        <v>116740</v>
      </c>
      <c r="CE22" s="2">
        <v>111545</v>
      </c>
      <c r="CF22" s="2">
        <v>114762</v>
      </c>
      <c r="CG22" s="2">
        <v>118762</v>
      </c>
      <c r="CH22" s="2">
        <v>109652</v>
      </c>
      <c r="CI22" s="2">
        <v>119438</v>
      </c>
      <c r="CJ22" s="2">
        <v>114000</v>
      </c>
      <c r="CK22" s="2">
        <v>116000</v>
      </c>
      <c r="CL22" s="2">
        <v>124000</v>
      </c>
      <c r="CM22" s="2">
        <v>121000</v>
      </c>
      <c r="CN22" s="2">
        <v>110000</v>
      </c>
      <c r="CO22" s="2">
        <v>113000</v>
      </c>
      <c r="CP22" s="2">
        <v>115000</v>
      </c>
      <c r="CQ22" s="2">
        <v>125000</v>
      </c>
      <c r="CR22" s="2">
        <v>117000</v>
      </c>
      <c r="CS22" s="2">
        <v>92000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2:140" ht="12.75">
      <c r="B23" s="7" t="s">
        <v>133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9"/>
      <c r="AO23" s="9"/>
      <c r="AP23" s="6"/>
      <c r="AQ23" s="6"/>
      <c r="AR23" s="6"/>
      <c r="AS23" s="6"/>
      <c r="AT23" s="6"/>
      <c r="AU23" s="6"/>
      <c r="AV23" s="9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>
        <v>124575</v>
      </c>
      <c r="BH23" s="6">
        <v>127950</v>
      </c>
      <c r="BI23" s="6">
        <v>40500</v>
      </c>
      <c r="BJ23" s="6">
        <v>37502</v>
      </c>
      <c r="BK23" s="6">
        <v>35239</v>
      </c>
      <c r="BL23" s="6">
        <v>34616</v>
      </c>
      <c r="BM23" s="6">
        <v>35943</v>
      </c>
      <c r="BN23" s="6">
        <v>32915</v>
      </c>
      <c r="BO23" s="6">
        <v>27048</v>
      </c>
      <c r="BP23" s="6">
        <v>28351</v>
      </c>
      <c r="BQ23" s="6">
        <v>18570</v>
      </c>
      <c r="BR23" s="6">
        <v>30157</v>
      </c>
      <c r="BS23" s="6">
        <v>31732</v>
      </c>
      <c r="BT23" s="6">
        <v>33200</v>
      </c>
      <c r="BU23" s="6">
        <v>31880</v>
      </c>
      <c r="BV23" s="6">
        <v>32779</v>
      </c>
      <c r="BW23" s="6">
        <v>31261</v>
      </c>
      <c r="BX23" s="6">
        <v>40334</v>
      </c>
      <c r="BY23" s="6">
        <v>20763</v>
      </c>
      <c r="BZ23" s="6">
        <v>30075</v>
      </c>
      <c r="CA23" s="6">
        <v>31797</v>
      </c>
      <c r="CB23" s="6">
        <v>32802</v>
      </c>
      <c r="CC23" s="6">
        <v>33943</v>
      </c>
      <c r="CD23" s="6">
        <v>34399</v>
      </c>
      <c r="CE23" s="6">
        <v>37385</v>
      </c>
      <c r="CF23" s="6">
        <v>37081</v>
      </c>
      <c r="CG23" s="6">
        <v>44841</v>
      </c>
      <c r="CH23" s="6">
        <v>52683</v>
      </c>
      <c r="CI23" s="6">
        <v>54368</v>
      </c>
      <c r="CJ23" s="6">
        <v>47000</v>
      </c>
      <c r="CK23" s="6">
        <v>48000</v>
      </c>
      <c r="CL23" s="6">
        <v>52000</v>
      </c>
      <c r="CM23" s="6">
        <v>51000</v>
      </c>
      <c r="CN23" s="6">
        <v>55000</v>
      </c>
      <c r="CO23" s="6">
        <v>60000</v>
      </c>
      <c r="CP23" s="6">
        <v>60000</v>
      </c>
      <c r="CQ23" s="6">
        <v>65000</v>
      </c>
      <c r="CR23" s="6">
        <v>67000</v>
      </c>
      <c r="CS23" s="6">
        <v>117000</v>
      </c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7"/>
      <c r="DF23" s="7"/>
      <c r="DG23" s="7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</row>
    <row r="24" spans="2:140" ht="12.75">
      <c r="B24" t="s">
        <v>134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"/>
      <c r="AO24" s="3"/>
      <c r="AP24" s="2"/>
      <c r="AQ24" s="2"/>
      <c r="AR24" s="2"/>
      <c r="AS24" s="2"/>
      <c r="AT24" s="2"/>
      <c r="AU24" s="2"/>
      <c r="AV24" s="3"/>
      <c r="AW24" s="2"/>
      <c r="AX24" s="2"/>
      <c r="AY24" s="2"/>
      <c r="AZ24" s="2"/>
      <c r="BA24" s="2"/>
      <c r="BB24" s="2"/>
      <c r="BC24" s="2"/>
      <c r="BD24" s="2"/>
      <c r="BE24" s="2"/>
      <c r="BF24" s="2">
        <v>105680</v>
      </c>
      <c r="BG24" s="2">
        <v>91045.9</v>
      </c>
      <c r="BH24" s="2">
        <v>151713</v>
      </c>
      <c r="BI24" s="2">
        <v>134119</v>
      </c>
      <c r="BJ24" s="2">
        <v>206419</v>
      </c>
      <c r="BK24" s="2">
        <v>203078</v>
      </c>
      <c r="BL24" s="2">
        <v>366390</v>
      </c>
      <c r="BM24" s="2">
        <v>274764</v>
      </c>
      <c r="BN24" s="2">
        <v>340149</v>
      </c>
      <c r="BO24" s="2">
        <v>645693</v>
      </c>
      <c r="BP24" s="2">
        <v>610691</v>
      </c>
      <c r="BQ24" s="2">
        <v>619354</v>
      </c>
      <c r="BR24" s="2">
        <v>579889</v>
      </c>
      <c r="BS24" s="2">
        <v>616920</v>
      </c>
      <c r="BT24" s="2">
        <v>619500</v>
      </c>
      <c r="BU24" s="2">
        <v>1476.8</v>
      </c>
      <c r="BV24" s="2">
        <v>0</v>
      </c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2:140" ht="12.75">
      <c r="B25" s="7" t="s">
        <v>135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2888</v>
      </c>
      <c r="T25" s="6">
        <v>7388</v>
      </c>
      <c r="U25" s="6">
        <v>9778</v>
      </c>
      <c r="V25" s="6">
        <v>16811</v>
      </c>
      <c r="W25" s="6">
        <v>19281</v>
      </c>
      <c r="X25" s="6">
        <v>25530</v>
      </c>
      <c r="Y25" s="6">
        <v>29960</v>
      </c>
      <c r="Z25" s="6">
        <v>30625</v>
      </c>
      <c r="AA25" s="6">
        <v>30184</v>
      </c>
      <c r="AB25" s="6">
        <v>30538</v>
      </c>
      <c r="AC25" s="6">
        <v>40214</v>
      </c>
      <c r="AD25" s="6">
        <v>20034</v>
      </c>
      <c r="AE25" s="6"/>
      <c r="AF25" s="6"/>
      <c r="AG25" s="6"/>
      <c r="AH25" s="6"/>
      <c r="AI25" s="6"/>
      <c r="AJ25" s="6"/>
      <c r="AK25" s="6"/>
      <c r="AL25" s="6"/>
      <c r="AM25" s="6"/>
      <c r="AN25" s="9"/>
      <c r="AO25" s="9"/>
      <c r="AP25" s="6"/>
      <c r="AQ25" s="6"/>
      <c r="AR25" s="6"/>
      <c r="AS25" s="6"/>
      <c r="AT25" s="6"/>
      <c r="AU25" s="6"/>
      <c r="AV25" s="9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</row>
    <row r="26" spans="2:140" ht="12.75">
      <c r="B26" t="s">
        <v>136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3278</v>
      </c>
      <c r="X26" s="2">
        <v>9641</v>
      </c>
      <c r="Y26" s="2">
        <v>9720</v>
      </c>
      <c r="Z26" s="2">
        <v>9780</v>
      </c>
      <c r="AA26" s="2">
        <v>9780</v>
      </c>
      <c r="AB26" s="2">
        <v>10488</v>
      </c>
      <c r="AC26" s="2">
        <v>18735</v>
      </c>
      <c r="AD26" s="2">
        <v>14136</v>
      </c>
      <c r="AE26" s="2"/>
      <c r="AF26" s="2"/>
      <c r="AG26" s="2"/>
      <c r="AH26" s="2"/>
      <c r="AI26" s="2"/>
      <c r="AJ26" s="2"/>
      <c r="AK26" s="2"/>
      <c r="AL26" s="2"/>
      <c r="AM26" s="2"/>
      <c r="AN26" s="3"/>
      <c r="AO26" s="3"/>
      <c r="AP26" s="2"/>
      <c r="AQ26" s="2"/>
      <c r="AR26" s="2"/>
      <c r="AS26" s="2"/>
      <c r="AT26" s="2"/>
      <c r="AU26" s="2"/>
      <c r="AV26" s="3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</row>
    <row r="27" spans="2:140" ht="12.75">
      <c r="B27" s="7" t="s">
        <v>137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v>12180</v>
      </c>
      <c r="AD27" s="6">
        <v>8804</v>
      </c>
      <c r="AE27" s="6"/>
      <c r="AF27" s="6"/>
      <c r="AG27" s="6"/>
      <c r="AH27" s="6"/>
      <c r="AI27" s="6"/>
      <c r="AJ27" s="6"/>
      <c r="AK27" s="6">
        <v>22656</v>
      </c>
      <c r="AL27" s="6"/>
      <c r="AM27" s="6"/>
      <c r="AN27" s="9"/>
      <c r="AO27" s="9"/>
      <c r="AP27" s="6"/>
      <c r="AQ27" s="6"/>
      <c r="AR27" s="6"/>
      <c r="AS27" s="6"/>
      <c r="AT27" s="6"/>
      <c r="AU27" s="6"/>
      <c r="AV27" s="9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</row>
    <row r="28" spans="2:140" ht="12.75">
      <c r="B28" t="s">
        <v>138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"/>
      <c r="AO28" s="3"/>
      <c r="AP28" s="2"/>
      <c r="AQ28" s="2"/>
      <c r="AR28" s="2"/>
      <c r="AS28" s="2"/>
      <c r="AT28" s="2"/>
      <c r="AU28" s="2">
        <v>169709</v>
      </c>
      <c r="AV28" s="3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>
        <v>9000</v>
      </c>
      <c r="CN28" s="2">
        <v>100000</v>
      </c>
      <c r="CO28" s="2">
        <v>62000</v>
      </c>
      <c r="CP28" s="2">
        <v>114000</v>
      </c>
      <c r="CQ28" s="2">
        <v>98000</v>
      </c>
      <c r="CR28" s="2">
        <v>114000</v>
      </c>
      <c r="CS28" s="2">
        <v>109000</v>
      </c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</row>
    <row r="29" spans="2:140" ht="12.75">
      <c r="B29" s="7" t="s">
        <v>139</v>
      </c>
      <c r="C29" s="8">
        <f aca="true" t="shared" si="4" ref="C29:R29">SUM(C10:C28)</f>
        <v>0</v>
      </c>
      <c r="D29" s="8">
        <f t="shared" si="4"/>
        <v>16486</v>
      </c>
      <c r="E29" s="8">
        <f t="shared" si="4"/>
        <v>0</v>
      </c>
      <c r="F29" s="8">
        <f t="shared" si="4"/>
        <v>10515</v>
      </c>
      <c r="G29" s="8">
        <f t="shared" si="4"/>
        <v>53463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14920</v>
      </c>
      <c r="O29" s="8">
        <f t="shared" si="4"/>
        <v>43548</v>
      </c>
      <c r="P29" s="8">
        <f t="shared" si="4"/>
        <v>153901</v>
      </c>
      <c r="Q29" s="8">
        <f t="shared" si="4"/>
        <v>124916</v>
      </c>
      <c r="R29" s="8">
        <f t="shared" si="4"/>
        <v>117185</v>
      </c>
      <c r="S29" s="8">
        <f aca="true" t="shared" si="5" ref="S29:AH29">SUM(S10:S28)</f>
        <v>110781</v>
      </c>
      <c r="T29" s="8">
        <f t="shared" si="5"/>
        <v>116753</v>
      </c>
      <c r="U29" s="8">
        <f t="shared" si="5"/>
        <v>162857</v>
      </c>
      <c r="V29" s="8">
        <f t="shared" si="5"/>
        <v>199212</v>
      </c>
      <c r="W29" s="8">
        <f t="shared" si="5"/>
        <v>224298</v>
      </c>
      <c r="X29" s="8">
        <f t="shared" si="5"/>
        <v>248320</v>
      </c>
      <c r="Y29" s="8">
        <f t="shared" si="5"/>
        <v>290468</v>
      </c>
      <c r="Z29" s="8">
        <f t="shared" si="5"/>
        <v>754956</v>
      </c>
      <c r="AA29" s="8">
        <f t="shared" si="5"/>
        <v>403729</v>
      </c>
      <c r="AB29" s="8">
        <f t="shared" si="5"/>
        <v>418181</v>
      </c>
      <c r="AC29" s="8">
        <f t="shared" si="5"/>
        <v>801236</v>
      </c>
      <c r="AD29" s="8">
        <f t="shared" si="5"/>
        <v>898860</v>
      </c>
      <c r="AE29" s="8">
        <f t="shared" si="5"/>
        <v>1507815</v>
      </c>
      <c r="AF29" s="8">
        <f t="shared" si="5"/>
        <v>1269149</v>
      </c>
      <c r="AG29" s="8">
        <f t="shared" si="5"/>
        <v>710673</v>
      </c>
      <c r="AH29" s="8">
        <f t="shared" si="5"/>
        <v>1353732</v>
      </c>
      <c r="AI29" s="8">
        <f aca="true" t="shared" si="6" ref="AI29:AN29">SUM(AI10:AI28)</f>
        <v>1098214</v>
      </c>
      <c r="AJ29" s="8">
        <f t="shared" si="6"/>
        <v>1201055</v>
      </c>
      <c r="AK29" s="8">
        <f t="shared" si="6"/>
        <v>1519493</v>
      </c>
      <c r="AL29" s="8">
        <f t="shared" si="6"/>
        <v>1721363</v>
      </c>
      <c r="AM29" s="8">
        <f t="shared" si="6"/>
        <v>2097954</v>
      </c>
      <c r="AN29" s="8">
        <f t="shared" si="6"/>
        <v>3022916</v>
      </c>
      <c r="AO29" s="8">
        <f aca="true" t="shared" si="7" ref="AO29:AV29">SUM(AO10:AO28)</f>
        <v>4465996</v>
      </c>
      <c r="AP29" s="8">
        <f t="shared" si="7"/>
        <v>2675596</v>
      </c>
      <c r="AQ29" s="8">
        <f t="shared" si="7"/>
        <v>2908699</v>
      </c>
      <c r="AR29" s="8">
        <f t="shared" si="7"/>
        <v>3093780</v>
      </c>
      <c r="AS29" s="8">
        <f t="shared" si="7"/>
        <v>3345033</v>
      </c>
      <c r="AT29" s="8">
        <f t="shared" si="7"/>
        <v>3459018</v>
      </c>
      <c r="AU29" s="8">
        <f t="shared" si="7"/>
        <v>4031946</v>
      </c>
      <c r="AV29" s="8">
        <f t="shared" si="7"/>
        <v>4007810</v>
      </c>
      <c r="AW29" s="8">
        <f aca="true" t="shared" si="8" ref="AW29:BC29">SUM(AW10:AW28)</f>
        <v>4357454</v>
      </c>
      <c r="AX29" s="8">
        <f t="shared" si="8"/>
        <v>4126094</v>
      </c>
      <c r="AY29" s="8">
        <f t="shared" si="8"/>
        <v>3719885</v>
      </c>
      <c r="AZ29" s="8">
        <f t="shared" si="8"/>
        <v>3462784</v>
      </c>
      <c r="BA29" s="8">
        <f t="shared" si="8"/>
        <v>3365444</v>
      </c>
      <c r="BB29" s="8">
        <f t="shared" si="8"/>
        <v>4037993</v>
      </c>
      <c r="BC29" s="8">
        <f t="shared" si="8"/>
        <v>4279894</v>
      </c>
      <c r="BD29" s="8">
        <f>SUM(BD10:BD28)</f>
        <v>4453052</v>
      </c>
      <c r="BE29" s="8">
        <f aca="true" t="shared" si="9" ref="BE29:BT29">SUM(BE10:BE28)</f>
        <v>5439825</v>
      </c>
      <c r="BF29" s="8">
        <f t="shared" si="9"/>
        <v>6318893</v>
      </c>
      <c r="BG29" s="8">
        <f t="shared" si="9"/>
        <v>7939801.800000001</v>
      </c>
      <c r="BH29" s="8">
        <f t="shared" si="9"/>
        <v>5812331</v>
      </c>
      <c r="BI29" s="8">
        <f t="shared" si="9"/>
        <v>5888682</v>
      </c>
      <c r="BJ29" s="8">
        <f t="shared" si="9"/>
        <v>6127668</v>
      </c>
      <c r="BK29" s="8">
        <f t="shared" si="9"/>
        <v>8169388</v>
      </c>
      <c r="BL29" s="8">
        <f t="shared" si="9"/>
        <v>8228396</v>
      </c>
      <c r="BM29" s="8">
        <f t="shared" si="9"/>
        <v>11820651.8</v>
      </c>
      <c r="BN29" s="8">
        <f t="shared" si="9"/>
        <v>64987031</v>
      </c>
      <c r="BO29" s="8">
        <f t="shared" si="9"/>
        <v>84835869</v>
      </c>
      <c r="BP29" s="8">
        <f t="shared" si="9"/>
        <v>92231577</v>
      </c>
      <c r="BQ29" s="8">
        <f t="shared" si="9"/>
        <v>80989674</v>
      </c>
      <c r="BR29" s="8">
        <f t="shared" si="9"/>
        <v>88950298</v>
      </c>
      <c r="BS29" s="8">
        <f t="shared" si="9"/>
        <v>90419712</v>
      </c>
      <c r="BT29" s="8">
        <f t="shared" si="9"/>
        <v>94097838</v>
      </c>
      <c r="BU29" s="8">
        <f aca="true" t="shared" si="10" ref="BU29:CJ29">SUM(BU10:BU28)</f>
        <v>96211603.8</v>
      </c>
      <c r="BV29" s="8">
        <f t="shared" si="10"/>
        <v>97687513.53</v>
      </c>
      <c r="BW29" s="8">
        <f t="shared" si="10"/>
        <v>116478234</v>
      </c>
      <c r="BX29" s="8">
        <f t="shared" si="10"/>
        <v>128044916</v>
      </c>
      <c r="BY29" s="8">
        <f t="shared" si="10"/>
        <v>120695045</v>
      </c>
      <c r="BZ29" s="8">
        <f t="shared" si="10"/>
        <v>128648456</v>
      </c>
      <c r="CA29" s="8">
        <f t="shared" si="10"/>
        <v>138157117</v>
      </c>
      <c r="CB29" s="8">
        <f t="shared" si="10"/>
        <v>142523126</v>
      </c>
      <c r="CC29" s="8">
        <f t="shared" si="10"/>
        <v>146739647</v>
      </c>
      <c r="CD29" s="8">
        <f t="shared" si="10"/>
        <v>156592636</v>
      </c>
      <c r="CE29" s="8">
        <f t="shared" si="10"/>
        <v>168775544</v>
      </c>
      <c r="CF29" s="8">
        <f t="shared" si="10"/>
        <v>184119243</v>
      </c>
      <c r="CG29" s="8">
        <f t="shared" si="10"/>
        <v>255548277</v>
      </c>
      <c r="CH29" s="8">
        <f t="shared" si="10"/>
        <v>286566288</v>
      </c>
      <c r="CI29" s="8">
        <f t="shared" si="10"/>
        <v>340681116</v>
      </c>
      <c r="CJ29" s="8">
        <f t="shared" si="10"/>
        <v>406638000</v>
      </c>
      <c r="CK29" s="8">
        <f aca="true" t="shared" si="11" ref="CK29:CZ29">SUM(CK10:CK28)</f>
        <v>434577000</v>
      </c>
      <c r="CL29" s="8">
        <f t="shared" si="11"/>
        <v>465788000</v>
      </c>
      <c r="CM29" s="8">
        <f t="shared" si="11"/>
        <v>578614000</v>
      </c>
      <c r="CN29" s="8">
        <f t="shared" si="11"/>
        <v>670494000</v>
      </c>
      <c r="CO29" s="8">
        <f t="shared" si="11"/>
        <v>793652000</v>
      </c>
      <c r="CP29" s="8">
        <f t="shared" si="11"/>
        <v>858303000</v>
      </c>
      <c r="CQ29" s="8">
        <f t="shared" si="11"/>
        <v>964385000</v>
      </c>
      <c r="CR29" s="8">
        <f t="shared" si="11"/>
        <v>1086821000</v>
      </c>
      <c r="CS29" s="8">
        <f t="shared" si="11"/>
        <v>1202378000</v>
      </c>
      <c r="CT29" s="8">
        <f t="shared" si="11"/>
        <v>1396959000</v>
      </c>
      <c r="CU29" s="8">
        <f t="shared" si="11"/>
        <v>1492047000</v>
      </c>
      <c r="CV29" s="8">
        <f t="shared" si="11"/>
        <v>1570944000</v>
      </c>
      <c r="CW29" s="8">
        <f t="shared" si="11"/>
        <v>1727689000</v>
      </c>
      <c r="CX29" s="8">
        <f t="shared" si="11"/>
        <v>1738967000</v>
      </c>
      <c r="CY29" s="8">
        <f t="shared" si="11"/>
        <v>1946840000</v>
      </c>
      <c r="CZ29" s="8">
        <f t="shared" si="11"/>
        <v>2040636000</v>
      </c>
      <c r="DA29" s="8">
        <f aca="true" t="shared" si="12" ref="DA29:DT29">SUM(DA10:DA28)</f>
        <v>2092750000</v>
      </c>
      <c r="DB29" s="8">
        <f t="shared" si="12"/>
        <v>2294524000</v>
      </c>
      <c r="DC29" s="8">
        <f t="shared" si="12"/>
        <v>2437388000</v>
      </c>
      <c r="DD29" s="8">
        <f t="shared" si="12"/>
        <v>2688809000</v>
      </c>
      <c r="DE29" s="8">
        <f t="shared" si="12"/>
        <v>2795154000</v>
      </c>
      <c r="DF29" s="8">
        <f t="shared" si="12"/>
        <v>2937203000</v>
      </c>
      <c r="DG29" s="8">
        <f t="shared" si="12"/>
        <v>3060610000</v>
      </c>
      <c r="DH29" s="8">
        <f t="shared" si="12"/>
        <v>3399750000</v>
      </c>
      <c r="DI29" s="8">
        <f t="shared" si="12"/>
        <v>3626236372.1200004</v>
      </c>
      <c r="DJ29" s="8">
        <f t="shared" si="12"/>
        <v>3803610381.1699996</v>
      </c>
      <c r="DK29" s="8">
        <f t="shared" si="12"/>
        <v>4054288124.67</v>
      </c>
      <c r="DL29" s="8">
        <f t="shared" si="12"/>
        <v>4267278182.7799997</v>
      </c>
      <c r="DM29" s="8">
        <f t="shared" si="12"/>
        <v>4463758768.400001</v>
      </c>
      <c r="DN29" s="8">
        <f>SUM(DN10:DN28)</f>
        <v>4526895272.32</v>
      </c>
      <c r="DO29" s="8">
        <f t="shared" si="12"/>
        <v>4744729939.2300005</v>
      </c>
      <c r="DP29" s="8">
        <f t="shared" si="12"/>
        <v>4775986666.18</v>
      </c>
      <c r="DQ29" s="8">
        <f t="shared" si="12"/>
        <v>4661728930.87</v>
      </c>
      <c r="DR29" s="8">
        <f t="shared" si="12"/>
        <v>4735305603.860001</v>
      </c>
      <c r="DS29" s="8">
        <f t="shared" si="12"/>
        <v>4925952978.84</v>
      </c>
      <c r="DT29" s="8">
        <f t="shared" si="12"/>
        <v>5231009883.810001</v>
      </c>
      <c r="DU29" s="8">
        <f aca="true" t="shared" si="13" ref="DU29:EH29">SUM(DU10:DU28)</f>
        <v>5427367628</v>
      </c>
      <c r="DV29" s="8">
        <f t="shared" si="13"/>
        <v>5784501423</v>
      </c>
      <c r="DW29" s="8">
        <f t="shared" si="13"/>
        <v>6337548798</v>
      </c>
      <c r="DX29" s="8">
        <f t="shared" si="13"/>
        <v>6529580880.6100025</v>
      </c>
      <c r="DY29" s="8">
        <f t="shared" si="13"/>
        <v>6351965474.759996</v>
      </c>
      <c r="DZ29" s="8">
        <f t="shared" si="13"/>
        <v>6680147926.3899975</v>
      </c>
      <c r="EA29" s="8">
        <f t="shared" si="13"/>
        <v>7015588589.260005</v>
      </c>
      <c r="EB29" s="8">
        <f>SUM(EB10:EB28)</f>
        <v>7558459319.619998</v>
      </c>
      <c r="EC29" s="8">
        <f>SUM(EC10:EC28)</f>
        <v>7422996588.419999</v>
      </c>
      <c r="ED29" s="8">
        <f t="shared" si="13"/>
        <v>7796018518.389999</v>
      </c>
      <c r="EE29" s="8">
        <f t="shared" si="13"/>
        <v>7965690027.299992</v>
      </c>
      <c r="EF29" s="8">
        <f t="shared" si="13"/>
        <v>8101100137.85</v>
      </c>
      <c r="EG29" s="8">
        <f t="shared" si="13"/>
        <v>8520194673.69</v>
      </c>
      <c r="EH29" s="28">
        <f t="shared" si="13"/>
        <v>9017131609.350002</v>
      </c>
      <c r="EI29" s="28">
        <f>SUM(EI10:EI28)</f>
        <v>8804402171.75</v>
      </c>
      <c r="EJ29" s="28">
        <f>SUM(EJ10:EJ28)</f>
        <v>10279604627.060001</v>
      </c>
    </row>
    <row r="30" spans="3:140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  <c r="AO30" s="3"/>
      <c r="AP30" s="2"/>
      <c r="AQ30" s="2"/>
      <c r="AR30" s="2"/>
      <c r="AS30" s="2"/>
      <c r="AT30" s="2"/>
      <c r="AU30" s="2"/>
      <c r="AV30" s="3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140" ht="12.75">
      <c r="A31" t="s">
        <v>140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"/>
      <c r="AO31" s="3"/>
      <c r="AP31" s="2"/>
      <c r="AQ31" s="2"/>
      <c r="AR31" s="2"/>
      <c r="AS31" s="2"/>
      <c r="AT31" s="2"/>
      <c r="AU31" s="2"/>
      <c r="AV31" s="3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2:140" ht="12.75">
      <c r="B32" s="7" t="s">
        <v>141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23193</v>
      </c>
      <c r="P32" s="6">
        <v>34564</v>
      </c>
      <c r="Q32" s="6">
        <v>36805</v>
      </c>
      <c r="R32" s="6">
        <v>40597</v>
      </c>
      <c r="S32" s="6">
        <v>43588</v>
      </c>
      <c r="T32" s="6">
        <v>51431</v>
      </c>
      <c r="U32" s="6">
        <v>62569</v>
      </c>
      <c r="V32" s="6">
        <v>61068</v>
      </c>
      <c r="W32" s="6">
        <v>67407</v>
      </c>
      <c r="X32" s="6">
        <v>74023</v>
      </c>
      <c r="Y32" s="6">
        <v>78760</v>
      </c>
      <c r="Z32" s="6">
        <v>95746</v>
      </c>
      <c r="AA32" s="6">
        <v>101155</v>
      </c>
      <c r="AB32" s="6">
        <v>121749</v>
      </c>
      <c r="AC32" s="6">
        <v>222399</v>
      </c>
      <c r="AD32" s="6">
        <v>281875</v>
      </c>
      <c r="AE32" s="6">
        <v>481228</v>
      </c>
      <c r="AF32" s="6">
        <v>405985</v>
      </c>
      <c r="AG32" s="6">
        <v>274108</v>
      </c>
      <c r="AH32" s="6">
        <v>588955</v>
      </c>
      <c r="AI32" s="6">
        <f>924400-AI14</f>
        <v>477223</v>
      </c>
      <c r="AJ32" s="6">
        <f>1020506-AJ14</f>
        <v>529697</v>
      </c>
      <c r="AK32" s="6">
        <v>4750</v>
      </c>
      <c r="AL32" s="6">
        <f>1115547-AL14</f>
        <v>418179</v>
      </c>
      <c r="AM32" s="6">
        <f>1183056-AM14</f>
        <v>309662</v>
      </c>
      <c r="AN32" s="9">
        <v>11776643</v>
      </c>
      <c r="AO32" s="9">
        <v>20745857</v>
      </c>
      <c r="AP32" s="6">
        <v>11616099</v>
      </c>
      <c r="AQ32" s="6">
        <v>842214</v>
      </c>
      <c r="AR32" s="6">
        <f>808754+63000</f>
        <v>871754</v>
      </c>
      <c r="AS32" s="6">
        <v>686762</v>
      </c>
      <c r="AT32" s="6">
        <v>658339</v>
      </c>
      <c r="AU32" s="6">
        <v>738468</v>
      </c>
      <c r="AV32" s="9">
        <v>622813</v>
      </c>
      <c r="AW32" s="6">
        <v>3567697</v>
      </c>
      <c r="AX32" s="6">
        <v>5480408</v>
      </c>
      <c r="AY32" s="6">
        <v>5981533</v>
      </c>
      <c r="AZ32" s="6">
        <v>654843</v>
      </c>
      <c r="BA32" s="6">
        <v>694600</v>
      </c>
      <c r="BB32" s="6">
        <v>761847</v>
      </c>
      <c r="BC32" s="6">
        <v>803208</v>
      </c>
      <c r="BD32" s="6">
        <v>968299</v>
      </c>
      <c r="BE32" s="6">
        <v>904808</v>
      </c>
      <c r="BF32" s="6">
        <v>852358</v>
      </c>
      <c r="BG32" s="6">
        <v>1589019</v>
      </c>
      <c r="BH32" s="6">
        <v>1319434</v>
      </c>
      <c r="BI32" s="6">
        <v>1894598</v>
      </c>
      <c r="BJ32" s="6">
        <v>1335185</v>
      </c>
      <c r="BK32" s="6">
        <v>1950892</v>
      </c>
      <c r="BL32" s="6">
        <v>1317614</v>
      </c>
      <c r="BM32" s="6">
        <v>1480499</v>
      </c>
      <c r="BN32" s="6">
        <v>1896128</v>
      </c>
      <c r="BO32" s="6">
        <v>1817884</v>
      </c>
      <c r="BP32" s="6">
        <v>2021165</v>
      </c>
      <c r="BQ32" s="6">
        <v>2325636</v>
      </c>
      <c r="BR32" s="6">
        <v>2487403</v>
      </c>
      <c r="BS32" s="6">
        <v>2953509</v>
      </c>
      <c r="BT32" s="6">
        <v>3032175</v>
      </c>
      <c r="BU32" s="6">
        <v>3439361</v>
      </c>
      <c r="BV32" s="6">
        <v>3493082</v>
      </c>
      <c r="BW32" s="6">
        <v>3817370</v>
      </c>
      <c r="BX32" s="6">
        <v>3924634</v>
      </c>
      <c r="BY32" s="6">
        <v>5295861</v>
      </c>
      <c r="BZ32" s="6">
        <v>5315454</v>
      </c>
      <c r="CA32" s="6">
        <v>5452417</v>
      </c>
      <c r="CB32" s="6">
        <v>5389954</v>
      </c>
      <c r="CC32" s="6">
        <v>5551075</v>
      </c>
      <c r="CD32" s="6">
        <v>6053151</v>
      </c>
      <c r="CE32" s="6">
        <v>6455544</v>
      </c>
      <c r="CF32" s="6">
        <v>6392541</v>
      </c>
      <c r="CG32" s="6">
        <v>8856131</v>
      </c>
      <c r="CH32" s="6">
        <v>8102468</v>
      </c>
      <c r="CI32" s="6">
        <v>10753782</v>
      </c>
      <c r="CJ32" s="6">
        <v>7710000</v>
      </c>
      <c r="CK32" s="6">
        <v>10500000</v>
      </c>
      <c r="CL32" s="6">
        <v>11911000</v>
      </c>
      <c r="CM32" s="6">
        <v>14760000</v>
      </c>
      <c r="CN32" s="6">
        <v>12372000</v>
      </c>
      <c r="CO32" s="6">
        <v>13989000</v>
      </c>
      <c r="CP32" s="6">
        <v>15337000</v>
      </c>
      <c r="CQ32" s="6">
        <v>15567000</v>
      </c>
      <c r="CR32" s="6">
        <v>14991000</v>
      </c>
      <c r="CS32" s="6">
        <v>16894000</v>
      </c>
      <c r="CT32" s="6">
        <v>17710000</v>
      </c>
      <c r="CU32" s="6">
        <v>19802000</v>
      </c>
      <c r="CV32" s="6">
        <v>21812000</v>
      </c>
      <c r="CW32" s="6">
        <v>25750000</v>
      </c>
      <c r="CX32" s="6">
        <v>28345000</v>
      </c>
      <c r="CY32" s="6">
        <v>30044000</v>
      </c>
      <c r="CZ32" s="6">
        <v>23899000</v>
      </c>
      <c r="DA32" s="6">
        <v>25939000</v>
      </c>
      <c r="DB32" s="6">
        <v>19438000</v>
      </c>
      <c r="DC32" s="6">
        <v>13871000</v>
      </c>
      <c r="DD32" s="6">
        <v>14767000</v>
      </c>
      <c r="DE32" s="6">
        <v>11958000</v>
      </c>
      <c r="DF32" s="6">
        <v>16684000</v>
      </c>
      <c r="DG32" s="6">
        <v>49300000</v>
      </c>
      <c r="DH32" s="6">
        <v>53136000</v>
      </c>
      <c r="DI32" s="6">
        <v>55647600.1</v>
      </c>
      <c r="DJ32" s="6">
        <v>57308691.32</v>
      </c>
      <c r="DK32" s="6">
        <v>61661502.59</v>
      </c>
      <c r="DL32" s="6">
        <v>63600756.9</v>
      </c>
      <c r="DM32" s="6">
        <v>65262465.9</v>
      </c>
      <c r="DN32" s="6">
        <v>58400932.93</v>
      </c>
      <c r="DO32" s="6">
        <v>66349000.6</v>
      </c>
      <c r="DP32" s="6">
        <v>72484766.88</v>
      </c>
      <c r="DQ32" s="6">
        <v>70229015.6</v>
      </c>
      <c r="DR32" s="6">
        <v>72141680.76</v>
      </c>
      <c r="DS32" s="6">
        <v>79869239.27</v>
      </c>
      <c r="DT32" s="6">
        <v>72318833.09</v>
      </c>
      <c r="DU32" s="6">
        <v>76245010</v>
      </c>
      <c r="DV32" s="6">
        <v>84720192</v>
      </c>
      <c r="DW32" s="6">
        <v>82064398</v>
      </c>
      <c r="DX32" s="6">
        <v>77733770.50999987</v>
      </c>
      <c r="DY32" s="6">
        <v>47825330.33000001</v>
      </c>
      <c r="DZ32" s="6">
        <v>30133022.589999944</v>
      </c>
      <c r="EA32" s="6">
        <v>29129279.25</v>
      </c>
      <c r="EB32" s="6">
        <v>29120516.75</v>
      </c>
      <c r="EC32" s="6">
        <v>28842528.27999999</v>
      </c>
      <c r="ED32" s="6">
        <v>27771631.08999997</v>
      </c>
      <c r="EE32" s="6">
        <v>28047505.79000002</v>
      </c>
      <c r="EF32" s="6">
        <v>25354749.57</v>
      </c>
      <c r="EG32" s="6">
        <v>26119160.79</v>
      </c>
      <c r="EH32" s="6">
        <v>28901040.05</v>
      </c>
      <c r="EI32" s="6">
        <v>28405608.74</v>
      </c>
      <c r="EJ32" s="6">
        <v>29913190.93</v>
      </c>
    </row>
    <row r="33" spans="2:140" ht="12.75">
      <c r="B33" t="s">
        <v>142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3"/>
      <c r="AO33" s="3"/>
      <c r="AP33" s="2"/>
      <c r="AQ33" s="2"/>
      <c r="AR33" s="2"/>
      <c r="AS33" s="2"/>
      <c r="AT33" s="2"/>
      <c r="AU33" s="2"/>
      <c r="AV33" s="3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>
        <v>17149000</v>
      </c>
      <c r="CZ33" s="2">
        <v>21409000</v>
      </c>
      <c r="DA33" s="2">
        <v>24880000</v>
      </c>
      <c r="DB33" s="2">
        <v>28523000</v>
      </c>
      <c r="DC33" s="2">
        <v>30784000</v>
      </c>
      <c r="DD33" s="2">
        <v>33652000</v>
      </c>
      <c r="DE33" s="2">
        <v>35289000</v>
      </c>
      <c r="DF33" s="2">
        <v>35727000</v>
      </c>
      <c r="DG33" s="2">
        <v>37871000</v>
      </c>
      <c r="DH33" s="2">
        <v>40639000</v>
      </c>
      <c r="DI33" s="2">
        <v>43632715.34</v>
      </c>
      <c r="DJ33" s="2">
        <v>48435564.54</v>
      </c>
      <c r="DK33" s="2">
        <v>40002844.78</v>
      </c>
      <c r="DL33" s="2">
        <v>42945383.82</v>
      </c>
      <c r="DM33" s="2">
        <v>42939597.36</v>
      </c>
      <c r="DN33" s="2">
        <v>48269481.77</v>
      </c>
      <c r="DO33" s="2">
        <v>52298560.67</v>
      </c>
      <c r="DP33" s="2">
        <v>48845539.81</v>
      </c>
      <c r="DQ33" s="2">
        <v>51890329.15</v>
      </c>
      <c r="DR33" s="2">
        <v>54699478.78</v>
      </c>
      <c r="DS33" s="2">
        <v>57492923.23</v>
      </c>
      <c r="DT33" s="2">
        <v>59158928.44</v>
      </c>
      <c r="DU33" s="2">
        <v>63068353</v>
      </c>
      <c r="DV33" s="2">
        <v>66899789</v>
      </c>
      <c r="DW33" s="2">
        <v>89987213</v>
      </c>
      <c r="DX33" s="2">
        <v>98839370.37000012</v>
      </c>
      <c r="DY33" s="2">
        <v>108627627.39999986</v>
      </c>
      <c r="DZ33" s="2">
        <v>101549512.41999997</v>
      </c>
      <c r="EA33" s="2">
        <v>113830162.74000016</v>
      </c>
      <c r="EB33" s="2">
        <v>107988401.88999985</v>
      </c>
      <c r="EC33" s="2">
        <v>103972263.17</v>
      </c>
      <c r="ED33" s="2">
        <v>99883226.41999999</v>
      </c>
      <c r="EE33" s="2">
        <v>97683522.15999997</v>
      </c>
      <c r="EF33" s="2">
        <v>94314687.72</v>
      </c>
      <c r="EG33" s="2">
        <v>97444201.69</v>
      </c>
      <c r="EH33" s="2">
        <v>95343680.81</v>
      </c>
      <c r="EI33" s="2">
        <v>90397151.39</v>
      </c>
      <c r="EJ33" s="2">
        <v>86487218.15</v>
      </c>
    </row>
    <row r="34" spans="2:140" ht="12.75">
      <c r="B34" s="7" t="s">
        <v>143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9"/>
      <c r="AO34" s="9"/>
      <c r="AP34" s="6"/>
      <c r="AQ34" s="6"/>
      <c r="AR34" s="6"/>
      <c r="AS34" s="6"/>
      <c r="AT34" s="6"/>
      <c r="AU34" s="6"/>
      <c r="AV34" s="9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>
        <v>29698000</v>
      </c>
      <c r="CZ34" s="6">
        <v>38502000</v>
      </c>
      <c r="DA34" s="6">
        <v>41109000</v>
      </c>
      <c r="DB34" s="6">
        <v>44041000</v>
      </c>
      <c r="DC34" s="6">
        <v>48100000</v>
      </c>
      <c r="DD34" s="6">
        <v>53769000</v>
      </c>
      <c r="DE34" s="6">
        <v>55230000</v>
      </c>
      <c r="DF34" s="6">
        <v>59083000</v>
      </c>
      <c r="DG34" s="6">
        <f>107857000-DG38</f>
        <v>60994100</v>
      </c>
      <c r="DH34" s="6">
        <f>104375000-DH38</f>
        <v>55601000</v>
      </c>
      <c r="DI34" s="6">
        <v>59388116.2</v>
      </c>
      <c r="DJ34" s="6">
        <v>62274608.22</v>
      </c>
      <c r="DK34" s="6">
        <v>65025246.17</v>
      </c>
      <c r="DL34" s="6">
        <v>67218535.61</v>
      </c>
      <c r="DM34" s="6">
        <v>39218279.16</v>
      </c>
      <c r="DN34" s="6">
        <v>31413670.29</v>
      </c>
      <c r="DO34" s="6">
        <v>29193461.71</v>
      </c>
      <c r="DP34" s="6">
        <v>28966405.3</v>
      </c>
      <c r="DQ34" s="6">
        <v>31898038.85</v>
      </c>
      <c r="DR34" s="6">
        <v>1961352.7</v>
      </c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</row>
    <row r="35" spans="2:140" ht="12.75">
      <c r="B35" t="s">
        <v>144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902262</v>
      </c>
      <c r="AJ35" s="2">
        <v>1427344</v>
      </c>
      <c r="AK35" s="2">
        <v>1123555</v>
      </c>
      <c r="AL35" s="2">
        <v>4411288</v>
      </c>
      <c r="AM35" s="2">
        <v>6255302</v>
      </c>
      <c r="AN35" s="3"/>
      <c r="AO35" s="3">
        <v>41640</v>
      </c>
      <c r="AP35" s="2"/>
      <c r="AQ35" s="2"/>
      <c r="AR35" s="2"/>
      <c r="AS35" s="2"/>
      <c r="AT35" s="2"/>
      <c r="AU35" s="2"/>
      <c r="AV35" s="3"/>
      <c r="AW35" s="2"/>
      <c r="AX35" s="2"/>
      <c r="AY35" s="2"/>
      <c r="AZ35" s="2"/>
      <c r="BA35" s="2"/>
      <c r="BB35" s="2"/>
      <c r="BC35" s="2"/>
      <c r="BD35" s="2">
        <v>1467630</v>
      </c>
      <c r="BE35" s="2">
        <v>1910758</v>
      </c>
      <c r="BF35" s="2">
        <v>2399038</v>
      </c>
      <c r="BG35" s="2">
        <v>3431412</v>
      </c>
      <c r="BH35" s="2">
        <v>3529082</v>
      </c>
      <c r="BI35" s="2">
        <v>3514223</v>
      </c>
      <c r="BJ35" s="2">
        <v>9975</v>
      </c>
      <c r="BK35" s="2">
        <v>6429</v>
      </c>
      <c r="BL35" s="2"/>
      <c r="BM35" s="2"/>
      <c r="BN35" s="2">
        <v>29214</v>
      </c>
      <c r="BO35" s="2">
        <v>58711</v>
      </c>
      <c r="BP35" s="2">
        <v>117087</v>
      </c>
      <c r="BQ35" s="2">
        <v>115211</v>
      </c>
      <c r="BR35" s="2">
        <v>127017</v>
      </c>
      <c r="BS35" s="2">
        <v>130084</v>
      </c>
      <c r="BT35" s="2">
        <v>129415</v>
      </c>
      <c r="BU35" s="2">
        <v>397923</v>
      </c>
      <c r="BV35" s="2">
        <v>138128</v>
      </c>
      <c r="BW35" s="2">
        <v>257657</v>
      </c>
      <c r="BX35" s="2">
        <v>303680</v>
      </c>
      <c r="BY35" s="2">
        <v>234865</v>
      </c>
      <c r="BZ35" s="2">
        <v>289184</v>
      </c>
      <c r="CA35" s="2">
        <v>228846</v>
      </c>
      <c r="CB35" s="2">
        <v>210268</v>
      </c>
      <c r="CC35" s="2">
        <v>272870</v>
      </c>
      <c r="CD35" s="2">
        <v>221184</v>
      </c>
      <c r="CE35" s="2">
        <v>432264</v>
      </c>
      <c r="CF35" s="2">
        <v>390567</v>
      </c>
      <c r="CG35" s="2">
        <v>1100272</v>
      </c>
      <c r="CH35" s="2">
        <v>562196</v>
      </c>
      <c r="CI35" s="2">
        <v>4438664</v>
      </c>
      <c r="CJ35" s="2">
        <v>3018000</v>
      </c>
      <c r="CK35" s="2">
        <v>3492000</v>
      </c>
      <c r="CL35" s="2">
        <v>10708000</v>
      </c>
      <c r="CM35" s="2">
        <v>3785000</v>
      </c>
      <c r="CN35" s="2">
        <v>3752000</v>
      </c>
      <c r="CO35" s="2">
        <v>5517000</v>
      </c>
      <c r="CP35" s="2">
        <v>8528000</v>
      </c>
      <c r="CQ35" s="2">
        <v>9249000</v>
      </c>
      <c r="CR35" s="2">
        <v>12641000</v>
      </c>
      <c r="CS35" s="2">
        <v>14272000</v>
      </c>
      <c r="CT35" s="2">
        <v>13613000</v>
      </c>
      <c r="CU35" s="2">
        <v>15336000</v>
      </c>
      <c r="CV35" s="2">
        <v>19356000</v>
      </c>
      <c r="CW35" s="2">
        <v>16712000</v>
      </c>
      <c r="CX35" s="2">
        <v>21996000</v>
      </c>
      <c r="CY35" s="2">
        <v>6752000</v>
      </c>
      <c r="CZ35" s="2">
        <v>10761000</v>
      </c>
      <c r="DA35" s="2">
        <v>12801000</v>
      </c>
      <c r="DB35" s="2">
        <v>20933000</v>
      </c>
      <c r="DC35" s="2">
        <v>10372000</v>
      </c>
      <c r="DD35" s="2">
        <v>13551000</v>
      </c>
      <c r="DE35" s="2">
        <v>16349000</v>
      </c>
      <c r="DF35" s="2">
        <v>14329000</v>
      </c>
      <c r="DG35" s="2">
        <v>23796000</v>
      </c>
      <c r="DH35" s="2">
        <v>36529000</v>
      </c>
      <c r="DI35" s="2">
        <v>47656997.98</v>
      </c>
      <c r="DJ35" s="2">
        <v>40691804.57</v>
      </c>
      <c r="DK35" s="2">
        <v>49518363.11</v>
      </c>
      <c r="DL35" s="2">
        <v>53952932.54</v>
      </c>
      <c r="DM35" s="2">
        <v>60051993.53</v>
      </c>
      <c r="DN35" s="2">
        <v>61131510.29</v>
      </c>
      <c r="DO35" s="2">
        <v>52892862.63</v>
      </c>
      <c r="DP35" s="2">
        <v>45152587.17</v>
      </c>
      <c r="DQ35" s="2">
        <v>42125035.32</v>
      </c>
      <c r="DR35" s="2">
        <v>41356228.65</v>
      </c>
      <c r="DS35" s="2">
        <v>55321148.37</v>
      </c>
      <c r="DT35" s="2">
        <v>65061627.77</v>
      </c>
      <c r="DU35" s="2">
        <v>49704837</v>
      </c>
      <c r="DV35" s="2">
        <v>35732291</v>
      </c>
      <c r="DW35" s="2">
        <v>36061585</v>
      </c>
      <c r="DX35" s="2">
        <v>39803499.18999998</v>
      </c>
      <c r="DY35" s="2">
        <v>37811310.35000004</v>
      </c>
      <c r="DZ35" s="2">
        <v>38395995.08000007</v>
      </c>
      <c r="EA35" s="2">
        <v>37729948.10000006</v>
      </c>
      <c r="EB35" s="2">
        <v>39855494.67000001</v>
      </c>
      <c r="EC35" s="2">
        <v>43368188.61</v>
      </c>
      <c r="ED35" s="2">
        <v>39689115.980000004</v>
      </c>
      <c r="EE35" s="2">
        <v>42731784.46999999</v>
      </c>
      <c r="EF35" s="2">
        <v>60568658.35</v>
      </c>
      <c r="EG35" s="2">
        <v>52321720.85</v>
      </c>
      <c r="EH35" s="2">
        <v>62145601.36</v>
      </c>
      <c r="EI35" s="2">
        <v>51068563.39</v>
      </c>
      <c r="EJ35" s="2">
        <v>70753985.9</v>
      </c>
    </row>
    <row r="36" spans="2:140" ht="12.75">
      <c r="B36" s="7" t="s">
        <v>192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9"/>
      <c r="AO36" s="9"/>
      <c r="AP36" s="6"/>
      <c r="AQ36" s="6"/>
      <c r="AR36" s="6"/>
      <c r="AS36" s="6"/>
      <c r="AT36" s="6"/>
      <c r="AU36" s="6"/>
      <c r="AV36" s="9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>
        <v>2105000</v>
      </c>
      <c r="DB36" s="6">
        <v>10794000</v>
      </c>
      <c r="DC36" s="6">
        <v>11093000</v>
      </c>
      <c r="DD36" s="6">
        <v>10928000</v>
      </c>
      <c r="DE36" s="6">
        <v>8813000</v>
      </c>
      <c r="DF36" s="6">
        <v>7153000</v>
      </c>
      <c r="DG36" s="6">
        <v>19082000</v>
      </c>
      <c r="DH36" s="6">
        <v>13041000</v>
      </c>
      <c r="DI36" s="6">
        <v>10204625.57</v>
      </c>
      <c r="DJ36" s="6">
        <v>28497526.52</v>
      </c>
      <c r="DK36" s="6">
        <v>104019338.21</v>
      </c>
      <c r="DL36" s="6">
        <f>60000000-46076129.99</f>
        <v>13923870.009999998</v>
      </c>
      <c r="DM36" s="6">
        <v>60108320</v>
      </c>
      <c r="DN36" s="6">
        <v>60000000</v>
      </c>
      <c r="DO36" s="6">
        <v>60000000.02</v>
      </c>
      <c r="DP36" s="6">
        <v>59999999.9</v>
      </c>
      <c r="DQ36" s="6">
        <v>60000000</v>
      </c>
      <c r="DR36" s="6">
        <v>60000000</v>
      </c>
      <c r="DS36" s="6">
        <v>60000000</v>
      </c>
      <c r="DT36" s="6">
        <v>60000000</v>
      </c>
      <c r="DU36" s="6">
        <v>60000000</v>
      </c>
      <c r="DV36" s="6">
        <v>60000000</v>
      </c>
      <c r="DW36" s="6">
        <v>60000000</v>
      </c>
      <c r="DX36" s="6">
        <v>60000000</v>
      </c>
      <c r="DY36" s="6">
        <v>66000000</v>
      </c>
      <c r="DZ36" s="6">
        <v>66000000</v>
      </c>
      <c r="EA36" s="6">
        <v>66000000</v>
      </c>
      <c r="EB36" s="6">
        <v>40000000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2250000</v>
      </c>
      <c r="EI36" s="6">
        <v>2250000</v>
      </c>
      <c r="EJ36" s="6">
        <v>2250000</v>
      </c>
    </row>
    <row r="37" spans="2:140" ht="12.75">
      <c r="B37" t="s">
        <v>145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3"/>
      <c r="AO37" s="3"/>
      <c r="AP37" s="2"/>
      <c r="AQ37" s="2"/>
      <c r="AR37" s="2"/>
      <c r="AS37" s="2"/>
      <c r="AT37" s="2"/>
      <c r="AU37" s="2"/>
      <c r="AV37" s="3"/>
      <c r="AW37" s="2"/>
      <c r="AX37" s="2"/>
      <c r="AY37" s="2"/>
      <c r="AZ37" s="2"/>
      <c r="BA37" s="2"/>
      <c r="BB37" s="2"/>
      <c r="BC37" s="2"/>
      <c r="BD37" s="2">
        <v>667196</v>
      </c>
      <c r="BE37" s="2">
        <v>1099659</v>
      </c>
      <c r="BF37" s="2">
        <v>1614975</v>
      </c>
      <c r="BG37" s="2">
        <v>2795401</v>
      </c>
      <c r="BH37" s="2">
        <v>3552701</v>
      </c>
      <c r="BI37" s="2">
        <v>1939050</v>
      </c>
      <c r="BJ37" s="2">
        <v>1777273</v>
      </c>
      <c r="BK37" s="2">
        <v>2020652</v>
      </c>
      <c r="BL37" s="2"/>
      <c r="BM37" s="2"/>
      <c r="BN37" s="2">
        <v>3580526</v>
      </c>
      <c r="BO37" s="2">
        <v>1864182</v>
      </c>
      <c r="BP37" s="2"/>
      <c r="BQ37" s="2">
        <f>644715</f>
        <v>644715</v>
      </c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2:140" ht="12.75">
      <c r="B38" s="7" t="s">
        <v>146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>
        <v>96658</v>
      </c>
      <c r="AL38" s="6"/>
      <c r="AM38" s="6"/>
      <c r="AN38" s="9"/>
      <c r="AO38" s="9"/>
      <c r="AP38" s="6"/>
      <c r="AQ38" s="6"/>
      <c r="AR38" s="6"/>
      <c r="AS38" s="6"/>
      <c r="AT38" s="6"/>
      <c r="AU38" s="6"/>
      <c r="AV38" s="9"/>
      <c r="AW38" s="6"/>
      <c r="AX38" s="6"/>
      <c r="AY38" s="6"/>
      <c r="AZ38" s="6"/>
      <c r="BA38" s="6"/>
      <c r="BB38" s="6"/>
      <c r="BC38" s="6"/>
      <c r="BD38" s="6">
        <v>979908</v>
      </c>
      <c r="BE38" s="6">
        <v>1079166</v>
      </c>
      <c r="BF38" s="6">
        <v>1133773</v>
      </c>
      <c r="BG38" s="6">
        <v>1081900</v>
      </c>
      <c r="BH38" s="6">
        <v>1185020</v>
      </c>
      <c r="BI38" s="6">
        <v>1148234</v>
      </c>
      <c r="BJ38" s="6">
        <v>1196728</v>
      </c>
      <c r="BK38" s="6">
        <v>1136135</v>
      </c>
      <c r="BL38" s="6"/>
      <c r="BM38" s="6"/>
      <c r="BN38" s="6">
        <f>1250484+27389</f>
        <v>1277873</v>
      </c>
      <c r="BO38" s="6">
        <f>1169703+64194</f>
        <v>1233897</v>
      </c>
      <c r="BP38" s="6"/>
      <c r="BQ38" s="6">
        <f>996920+385474+64444+1000</f>
        <v>1447838</v>
      </c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>
        <v>50700000</v>
      </c>
      <c r="DF38" s="6">
        <v>46273800</v>
      </c>
      <c r="DG38" s="6">
        <v>46862900</v>
      </c>
      <c r="DH38" s="6">
        <v>48774000</v>
      </c>
      <c r="DI38" s="6">
        <f>38312624.89+7803960.14</f>
        <v>46116585.03</v>
      </c>
      <c r="DJ38" s="6">
        <f>38745747.77+9060183.34</f>
        <v>47805931.11</v>
      </c>
      <c r="DK38" s="6">
        <f>32999278.78+8396157.67</f>
        <v>41395436.45</v>
      </c>
      <c r="DL38" s="6">
        <f>31388139.05+7139872.77</f>
        <v>38528011.82</v>
      </c>
      <c r="DM38" s="6">
        <f>23452966.86+7045165.09</f>
        <v>30498131.95</v>
      </c>
      <c r="DN38" s="6">
        <f>7896929.58+11616245.07</f>
        <v>19513174.65</v>
      </c>
      <c r="DO38" s="6">
        <f>9979815.72+9607256.89</f>
        <v>19587072.61</v>
      </c>
      <c r="DP38" s="6">
        <f>8679160.82+9315613.6</f>
        <v>17994774.42</v>
      </c>
      <c r="DQ38" s="6">
        <f>7238053.02+9386234.85</f>
        <v>16624287.87</v>
      </c>
      <c r="DR38" s="6">
        <f>6566114.95+7645588.49</f>
        <v>14211703.440000001</v>
      </c>
      <c r="DS38" s="6">
        <v>13684722.67</v>
      </c>
      <c r="DT38" s="6">
        <v>12709312.23</v>
      </c>
      <c r="DU38" s="6">
        <v>13007276</v>
      </c>
      <c r="DV38" s="6">
        <v>12940421</v>
      </c>
      <c r="DW38" s="6">
        <v>14946488</v>
      </c>
      <c r="DX38" s="6">
        <v>15440891.750000013</v>
      </c>
      <c r="DY38" s="6">
        <v>14824256.650000002</v>
      </c>
      <c r="DZ38" s="6">
        <v>9962654.369999997</v>
      </c>
      <c r="EA38" s="6">
        <v>12983595.349999987</v>
      </c>
      <c r="EB38" s="6">
        <v>14325034.870000005</v>
      </c>
      <c r="EC38" s="6">
        <v>12774347.690000007</v>
      </c>
      <c r="ED38" s="6">
        <v>15505727.869999997</v>
      </c>
      <c r="EE38" s="6">
        <v>12088002.590000007</v>
      </c>
      <c r="EF38" s="6">
        <v>11522711.24</v>
      </c>
      <c r="EG38" s="6">
        <v>11918649.39</v>
      </c>
      <c r="EH38" s="6">
        <v>11219684.11</v>
      </c>
      <c r="EI38" s="6">
        <v>12587217.73</v>
      </c>
      <c r="EJ38" s="6">
        <v>7054888.7</v>
      </c>
    </row>
    <row r="39" spans="2:140" ht="12.75">
      <c r="B39" t="s">
        <v>147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3"/>
      <c r="AO39" s="3"/>
      <c r="AP39" s="2"/>
      <c r="AQ39" s="2"/>
      <c r="AR39" s="2"/>
      <c r="AS39" s="2"/>
      <c r="AT39" s="2"/>
      <c r="AU39" s="2"/>
      <c r="AV39" s="3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>
        <f>6955259-3000000</f>
        <v>3955259</v>
      </c>
      <c r="BK39" s="2">
        <f>5262309-1000000</f>
        <v>4262309</v>
      </c>
      <c r="BL39" s="2"/>
      <c r="BM39" s="2"/>
      <c r="BN39" s="2">
        <f>3396610+4914284</f>
        <v>8310894</v>
      </c>
      <c r="BO39" s="2">
        <f>75771481+990681</f>
        <v>76762162</v>
      </c>
      <c r="BP39" s="2"/>
      <c r="BQ39" s="2">
        <f>1106749+364004</f>
        <v>1470753</v>
      </c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2:140" ht="12.75">
      <c r="B40" s="7" t="s">
        <v>148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>
        <v>174117</v>
      </c>
      <c r="AL40" s="6"/>
      <c r="AM40" s="6"/>
      <c r="AN40" s="9">
        <v>1648791</v>
      </c>
      <c r="AO40" s="9">
        <f>1331683+1138+30640</f>
        <v>1363461</v>
      </c>
      <c r="AP40" s="6">
        <v>3149494</v>
      </c>
      <c r="AQ40" s="6">
        <v>1052953</v>
      </c>
      <c r="AR40" s="6">
        <v>1050206</v>
      </c>
      <c r="AS40" s="6">
        <v>1363081</v>
      </c>
      <c r="AT40" s="6">
        <v>1298500</v>
      </c>
      <c r="AU40" s="6">
        <v>2017532</v>
      </c>
      <c r="AV40" s="9">
        <v>1652073</v>
      </c>
      <c r="AW40" s="6">
        <v>746006</v>
      </c>
      <c r="AX40" s="6"/>
      <c r="AY40" s="6"/>
      <c r="AZ40" s="6">
        <v>4413354</v>
      </c>
      <c r="BA40" s="6">
        <v>1156955</v>
      </c>
      <c r="BB40" s="6">
        <v>10881209</v>
      </c>
      <c r="BC40" s="6">
        <v>9875017</v>
      </c>
      <c r="BD40" s="6"/>
      <c r="BE40" s="6"/>
      <c r="BF40" s="6"/>
      <c r="BG40" s="6"/>
      <c r="BH40" s="6"/>
      <c r="BI40" s="6"/>
      <c r="BJ40" s="6"/>
      <c r="BK40" s="6"/>
      <c r="BL40" s="6">
        <v>4532641</v>
      </c>
      <c r="BM40" s="6">
        <v>6740908</v>
      </c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</row>
    <row r="41" spans="2:140" ht="12.75">
      <c r="B41" t="s">
        <v>149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3"/>
      <c r="AO41" s="3"/>
      <c r="AP41" s="2"/>
      <c r="AQ41" s="2"/>
      <c r="AR41" s="2"/>
      <c r="AS41" s="2"/>
      <c r="AT41" s="2"/>
      <c r="AU41" s="2"/>
      <c r="AV41" s="3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>
        <v>32172000</v>
      </c>
      <c r="CP41" s="2">
        <v>28754000</v>
      </c>
      <c r="CQ41" s="2">
        <v>28704000</v>
      </c>
      <c r="CR41" s="2">
        <v>27871000</v>
      </c>
      <c r="CS41" s="2">
        <v>27318000</v>
      </c>
      <c r="CT41" s="2">
        <v>26987000</v>
      </c>
      <c r="CU41" s="2">
        <v>27091000</v>
      </c>
      <c r="CV41" s="2">
        <v>42928000</v>
      </c>
      <c r="CW41" s="2">
        <v>0</v>
      </c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2:140" ht="12.75">
      <c r="B42" s="7" t="s">
        <v>150</v>
      </c>
      <c r="C42" s="8">
        <f aca="true" t="shared" si="14" ref="C42:R42">SUM(C32:C41)</f>
        <v>0</v>
      </c>
      <c r="D42" s="8">
        <f t="shared" si="14"/>
        <v>0</v>
      </c>
      <c r="E42" s="8">
        <f t="shared" si="14"/>
        <v>0</v>
      </c>
      <c r="F42" s="8">
        <f t="shared" si="14"/>
        <v>0</v>
      </c>
      <c r="G42" s="8">
        <f t="shared" si="14"/>
        <v>0</v>
      </c>
      <c r="H42" s="8">
        <f t="shared" si="14"/>
        <v>0</v>
      </c>
      <c r="I42" s="8">
        <f t="shared" si="14"/>
        <v>0</v>
      </c>
      <c r="J42" s="8">
        <f t="shared" si="14"/>
        <v>0</v>
      </c>
      <c r="K42" s="8">
        <f t="shared" si="14"/>
        <v>0</v>
      </c>
      <c r="L42" s="8">
        <f t="shared" si="14"/>
        <v>0</v>
      </c>
      <c r="M42" s="8">
        <f t="shared" si="14"/>
        <v>0</v>
      </c>
      <c r="N42" s="8">
        <f t="shared" si="14"/>
        <v>0</v>
      </c>
      <c r="O42" s="8">
        <f t="shared" si="14"/>
        <v>23193</v>
      </c>
      <c r="P42" s="8">
        <f t="shared" si="14"/>
        <v>34564</v>
      </c>
      <c r="Q42" s="8">
        <f t="shared" si="14"/>
        <v>36805</v>
      </c>
      <c r="R42" s="8">
        <f t="shared" si="14"/>
        <v>40597</v>
      </c>
      <c r="S42" s="8">
        <f aca="true" t="shared" si="15" ref="S42:AH42">SUM(S32:S41)</f>
        <v>43588</v>
      </c>
      <c r="T42" s="8">
        <f t="shared" si="15"/>
        <v>51431</v>
      </c>
      <c r="U42" s="8">
        <f t="shared" si="15"/>
        <v>62569</v>
      </c>
      <c r="V42" s="8">
        <f t="shared" si="15"/>
        <v>61068</v>
      </c>
      <c r="W42" s="8">
        <f t="shared" si="15"/>
        <v>67407</v>
      </c>
      <c r="X42" s="8">
        <f t="shared" si="15"/>
        <v>74023</v>
      </c>
      <c r="Y42" s="8">
        <f t="shared" si="15"/>
        <v>78760</v>
      </c>
      <c r="Z42" s="8">
        <f t="shared" si="15"/>
        <v>95746</v>
      </c>
      <c r="AA42" s="8">
        <f t="shared" si="15"/>
        <v>101155</v>
      </c>
      <c r="AB42" s="8">
        <f t="shared" si="15"/>
        <v>121749</v>
      </c>
      <c r="AC42" s="8">
        <f t="shared" si="15"/>
        <v>222399</v>
      </c>
      <c r="AD42" s="8">
        <f t="shared" si="15"/>
        <v>281875</v>
      </c>
      <c r="AE42" s="8">
        <f t="shared" si="15"/>
        <v>481228</v>
      </c>
      <c r="AF42" s="8">
        <f t="shared" si="15"/>
        <v>405985</v>
      </c>
      <c r="AG42" s="8">
        <f t="shared" si="15"/>
        <v>274108</v>
      </c>
      <c r="AH42" s="8">
        <f t="shared" si="15"/>
        <v>588955</v>
      </c>
      <c r="AI42" s="8">
        <f aca="true" t="shared" si="16" ref="AI42:AN42">SUM(AI32:AI41)</f>
        <v>1379485</v>
      </c>
      <c r="AJ42" s="8">
        <f t="shared" si="16"/>
        <v>1957041</v>
      </c>
      <c r="AK42" s="8">
        <f t="shared" si="16"/>
        <v>1399080</v>
      </c>
      <c r="AL42" s="8">
        <f t="shared" si="16"/>
        <v>4829467</v>
      </c>
      <c r="AM42" s="8">
        <f t="shared" si="16"/>
        <v>6564964</v>
      </c>
      <c r="AN42" s="8">
        <f t="shared" si="16"/>
        <v>13425434</v>
      </c>
      <c r="AO42" s="8">
        <f aca="true" t="shared" si="17" ref="AO42:AV42">SUM(AO32:AO41)</f>
        <v>22150958</v>
      </c>
      <c r="AP42" s="8">
        <f t="shared" si="17"/>
        <v>14765593</v>
      </c>
      <c r="AQ42" s="8">
        <f t="shared" si="17"/>
        <v>1895167</v>
      </c>
      <c r="AR42" s="8">
        <f t="shared" si="17"/>
        <v>1921960</v>
      </c>
      <c r="AS42" s="8">
        <f t="shared" si="17"/>
        <v>2049843</v>
      </c>
      <c r="AT42" s="8">
        <f t="shared" si="17"/>
        <v>1956839</v>
      </c>
      <c r="AU42" s="8">
        <f t="shared" si="17"/>
        <v>2756000</v>
      </c>
      <c r="AV42" s="8">
        <f t="shared" si="17"/>
        <v>2274886</v>
      </c>
      <c r="AW42" s="8">
        <f aca="true" t="shared" si="18" ref="AW42:BC42">SUM(AW32:AW41)</f>
        <v>4313703</v>
      </c>
      <c r="AX42" s="8">
        <f t="shared" si="18"/>
        <v>5480408</v>
      </c>
      <c r="AY42" s="8">
        <f t="shared" si="18"/>
        <v>5981533</v>
      </c>
      <c r="AZ42" s="8">
        <f t="shared" si="18"/>
        <v>5068197</v>
      </c>
      <c r="BA42" s="8">
        <f t="shared" si="18"/>
        <v>1851555</v>
      </c>
      <c r="BB42" s="8">
        <f t="shared" si="18"/>
        <v>11643056</v>
      </c>
      <c r="BC42" s="8">
        <f t="shared" si="18"/>
        <v>10678225</v>
      </c>
      <c r="BD42" s="8">
        <f>SUM(BD32:BD41)</f>
        <v>4083033</v>
      </c>
      <c r="BE42" s="8">
        <f aca="true" t="shared" si="19" ref="BE42:BT42">SUM(BE32:BE41)</f>
        <v>4994391</v>
      </c>
      <c r="BF42" s="8">
        <f t="shared" si="19"/>
        <v>6000144</v>
      </c>
      <c r="BG42" s="8">
        <f t="shared" si="19"/>
        <v>8897732</v>
      </c>
      <c r="BH42" s="8">
        <f t="shared" si="19"/>
        <v>9586237</v>
      </c>
      <c r="BI42" s="8">
        <f t="shared" si="19"/>
        <v>8496105</v>
      </c>
      <c r="BJ42" s="8">
        <f t="shared" si="19"/>
        <v>8274420</v>
      </c>
      <c r="BK42" s="8">
        <f t="shared" si="19"/>
        <v>9376417</v>
      </c>
      <c r="BL42" s="8">
        <f t="shared" si="19"/>
        <v>5850255</v>
      </c>
      <c r="BM42" s="8">
        <f t="shared" si="19"/>
        <v>8221407</v>
      </c>
      <c r="BN42" s="8">
        <f t="shared" si="19"/>
        <v>15094635</v>
      </c>
      <c r="BO42" s="8">
        <f t="shared" si="19"/>
        <v>81736836</v>
      </c>
      <c r="BP42" s="8">
        <f t="shared" si="19"/>
        <v>2138252</v>
      </c>
      <c r="BQ42" s="8">
        <f t="shared" si="19"/>
        <v>6004153</v>
      </c>
      <c r="BR42" s="8">
        <f t="shared" si="19"/>
        <v>2614420</v>
      </c>
      <c r="BS42" s="8">
        <f t="shared" si="19"/>
        <v>3083593</v>
      </c>
      <c r="BT42" s="8">
        <f t="shared" si="19"/>
        <v>3161590</v>
      </c>
      <c r="BU42" s="8">
        <f aca="true" t="shared" si="20" ref="BU42:CJ42">SUM(BU32:BU41)</f>
        <v>3837284</v>
      </c>
      <c r="BV42" s="8">
        <f t="shared" si="20"/>
        <v>3631210</v>
      </c>
      <c r="BW42" s="8">
        <f t="shared" si="20"/>
        <v>4075027</v>
      </c>
      <c r="BX42" s="8">
        <f t="shared" si="20"/>
        <v>4228314</v>
      </c>
      <c r="BY42" s="8">
        <f t="shared" si="20"/>
        <v>5530726</v>
      </c>
      <c r="BZ42" s="8">
        <f t="shared" si="20"/>
        <v>5604638</v>
      </c>
      <c r="CA42" s="8">
        <f t="shared" si="20"/>
        <v>5681263</v>
      </c>
      <c r="CB42" s="8">
        <f t="shared" si="20"/>
        <v>5600222</v>
      </c>
      <c r="CC42" s="8">
        <f t="shared" si="20"/>
        <v>5823945</v>
      </c>
      <c r="CD42" s="8">
        <f t="shared" si="20"/>
        <v>6274335</v>
      </c>
      <c r="CE42" s="8">
        <f t="shared" si="20"/>
        <v>6887808</v>
      </c>
      <c r="CF42" s="8">
        <f t="shared" si="20"/>
        <v>6783108</v>
      </c>
      <c r="CG42" s="8">
        <f t="shared" si="20"/>
        <v>9956403</v>
      </c>
      <c r="CH42" s="8">
        <f t="shared" si="20"/>
        <v>8664664</v>
      </c>
      <c r="CI42" s="8">
        <f t="shared" si="20"/>
        <v>15192446</v>
      </c>
      <c r="CJ42" s="8">
        <f t="shared" si="20"/>
        <v>10728000</v>
      </c>
      <c r="CK42" s="8">
        <f aca="true" t="shared" si="21" ref="CK42:CZ42">SUM(CK32:CK41)</f>
        <v>13992000</v>
      </c>
      <c r="CL42" s="8">
        <f t="shared" si="21"/>
        <v>22619000</v>
      </c>
      <c r="CM42" s="8">
        <f t="shared" si="21"/>
        <v>18545000</v>
      </c>
      <c r="CN42" s="8">
        <f t="shared" si="21"/>
        <v>16124000</v>
      </c>
      <c r="CO42" s="8">
        <f t="shared" si="21"/>
        <v>51678000</v>
      </c>
      <c r="CP42" s="8">
        <f t="shared" si="21"/>
        <v>52619000</v>
      </c>
      <c r="CQ42" s="8">
        <f t="shared" si="21"/>
        <v>53520000</v>
      </c>
      <c r="CR42" s="8">
        <f t="shared" si="21"/>
        <v>55503000</v>
      </c>
      <c r="CS42" s="8">
        <f t="shared" si="21"/>
        <v>58484000</v>
      </c>
      <c r="CT42" s="8">
        <f t="shared" si="21"/>
        <v>58310000</v>
      </c>
      <c r="CU42" s="8">
        <f t="shared" si="21"/>
        <v>62229000</v>
      </c>
      <c r="CV42" s="8">
        <f t="shared" si="21"/>
        <v>84096000</v>
      </c>
      <c r="CW42" s="8">
        <f t="shared" si="21"/>
        <v>42462000</v>
      </c>
      <c r="CX42" s="8">
        <f t="shared" si="21"/>
        <v>50341000</v>
      </c>
      <c r="CY42" s="8">
        <f t="shared" si="21"/>
        <v>83643000</v>
      </c>
      <c r="CZ42" s="8">
        <f t="shared" si="21"/>
        <v>94571000</v>
      </c>
      <c r="DA42" s="8">
        <f aca="true" t="shared" si="22" ref="DA42:DT42">SUM(DA32:DA41)</f>
        <v>106834000</v>
      </c>
      <c r="DB42" s="8">
        <f t="shared" si="22"/>
        <v>123729000</v>
      </c>
      <c r="DC42" s="8">
        <f t="shared" si="22"/>
        <v>114220000</v>
      </c>
      <c r="DD42" s="8">
        <f t="shared" si="22"/>
        <v>126667000</v>
      </c>
      <c r="DE42" s="8">
        <f t="shared" si="22"/>
        <v>178339000</v>
      </c>
      <c r="DF42" s="8">
        <f t="shared" si="22"/>
        <v>179249800</v>
      </c>
      <c r="DG42" s="8">
        <f t="shared" si="22"/>
        <v>237906000</v>
      </c>
      <c r="DH42" s="8">
        <f t="shared" si="22"/>
        <v>247720000</v>
      </c>
      <c r="DI42" s="8">
        <f t="shared" si="22"/>
        <v>262646640.21999997</v>
      </c>
      <c r="DJ42" s="8">
        <f t="shared" si="22"/>
        <v>285014126.28</v>
      </c>
      <c r="DK42" s="8">
        <f t="shared" si="22"/>
        <v>361622731.31</v>
      </c>
      <c r="DL42" s="8">
        <f t="shared" si="22"/>
        <v>280169490.7</v>
      </c>
      <c r="DM42" s="8">
        <f t="shared" si="22"/>
        <v>298078787.9</v>
      </c>
      <c r="DN42" s="8">
        <f t="shared" si="22"/>
        <v>278728769.93</v>
      </c>
      <c r="DO42" s="8">
        <f t="shared" si="22"/>
        <v>280320958.24</v>
      </c>
      <c r="DP42" s="8">
        <f t="shared" si="22"/>
        <v>273444073.48</v>
      </c>
      <c r="DQ42" s="8">
        <f t="shared" si="22"/>
        <v>272766706.78999996</v>
      </c>
      <c r="DR42" s="8">
        <f t="shared" si="22"/>
        <v>244370444.33</v>
      </c>
      <c r="DS42" s="8">
        <f t="shared" si="22"/>
        <v>266368033.54</v>
      </c>
      <c r="DT42" s="8">
        <f t="shared" si="22"/>
        <v>269248701.53000003</v>
      </c>
      <c r="DU42" s="8">
        <f aca="true" t="shared" si="23" ref="DU42:EA42">SUM(DU32:DU41)</f>
        <v>262025476</v>
      </c>
      <c r="DV42" s="8">
        <f t="shared" si="23"/>
        <v>260292693</v>
      </c>
      <c r="DW42" s="8">
        <f t="shared" si="23"/>
        <v>283059684</v>
      </c>
      <c r="DX42" s="8">
        <f t="shared" si="23"/>
        <v>291817531.82</v>
      </c>
      <c r="DY42" s="8">
        <f t="shared" si="23"/>
        <v>275088524.7299999</v>
      </c>
      <c r="DZ42" s="8">
        <f t="shared" si="23"/>
        <v>246041184.45999998</v>
      </c>
      <c r="EA42" s="8">
        <f t="shared" si="23"/>
        <v>259672985.4400002</v>
      </c>
      <c r="EB42" s="8">
        <f aca="true" t="shared" si="24" ref="EB42:EH42">SUM(EB32:EB41)</f>
        <v>231289448.1799999</v>
      </c>
      <c r="EC42" s="8">
        <f t="shared" si="24"/>
        <v>188957327.75</v>
      </c>
      <c r="ED42" s="8">
        <f t="shared" si="24"/>
        <v>182849701.35999995</v>
      </c>
      <c r="EE42" s="8">
        <f t="shared" si="24"/>
        <v>180550815.01</v>
      </c>
      <c r="EF42" s="8">
        <f t="shared" si="24"/>
        <v>191760806.88</v>
      </c>
      <c r="EG42" s="8">
        <f t="shared" si="24"/>
        <v>187803732.71999997</v>
      </c>
      <c r="EH42" s="8">
        <f t="shared" si="24"/>
        <v>199860006.32999998</v>
      </c>
      <c r="EI42" s="8">
        <f>SUM(EI32:EI41)</f>
        <v>184708541.24999997</v>
      </c>
      <c r="EJ42" s="8">
        <f>SUM(EJ32:EJ41)</f>
        <v>196459283.68</v>
      </c>
    </row>
    <row r="43" spans="3:140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3"/>
      <c r="AO43" s="3"/>
      <c r="AP43" s="2"/>
      <c r="AQ43" s="2"/>
      <c r="AR43" s="2"/>
      <c r="AS43" s="2"/>
      <c r="AT43" s="2"/>
      <c r="AU43" s="2"/>
      <c r="AV43" s="3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</row>
    <row r="44" spans="1:140" ht="12.75">
      <c r="A44" t="s">
        <v>151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3"/>
      <c r="AO44" s="3"/>
      <c r="AP44" s="2"/>
      <c r="AQ44" s="2"/>
      <c r="AR44" s="2"/>
      <c r="AS44" s="2"/>
      <c r="AT44" s="2"/>
      <c r="AU44" s="2"/>
      <c r="AV44" s="3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2:140" ht="12.75">
      <c r="B45" s="7" t="s">
        <v>152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>
        <v>43292</v>
      </c>
      <c r="AL45" s="6"/>
      <c r="AM45" s="6"/>
      <c r="AN45" s="9">
        <v>132799</v>
      </c>
      <c r="AO45" s="9">
        <v>151352</v>
      </c>
      <c r="AP45" s="6"/>
      <c r="AQ45" s="6"/>
      <c r="AR45" s="6"/>
      <c r="AS45" s="6"/>
      <c r="AT45" s="6"/>
      <c r="AU45" s="6"/>
      <c r="AV45" s="9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>
        <v>251149</v>
      </c>
      <c r="BP45" s="6">
        <v>467846</v>
      </c>
      <c r="BQ45" s="6">
        <v>533814</v>
      </c>
      <c r="BR45" s="6">
        <v>643510</v>
      </c>
      <c r="BS45" s="6">
        <v>1085600</v>
      </c>
      <c r="BT45" s="6"/>
      <c r="BU45" s="6">
        <v>0</v>
      </c>
      <c r="BV45" s="6">
        <v>1456800</v>
      </c>
      <c r="BW45" s="6">
        <v>273556</v>
      </c>
      <c r="BX45" s="6">
        <v>547776</v>
      </c>
      <c r="BY45" s="6">
        <v>775677</v>
      </c>
      <c r="BZ45" s="6">
        <v>659142</v>
      </c>
      <c r="CA45" s="6">
        <v>2507722</v>
      </c>
      <c r="CB45" s="6">
        <v>1862683</v>
      </c>
      <c r="CC45" s="6">
        <v>1705893</v>
      </c>
      <c r="CD45" s="6">
        <v>1799334</v>
      </c>
      <c r="CE45" s="6">
        <v>2230281</v>
      </c>
      <c r="CF45" s="6">
        <v>2311329</v>
      </c>
      <c r="CG45" s="6">
        <v>3791949</v>
      </c>
      <c r="CH45" s="6">
        <v>8270579</v>
      </c>
      <c r="CI45" s="6">
        <v>9891567</v>
      </c>
      <c r="CJ45" s="6">
        <v>8808000</v>
      </c>
      <c r="CK45" s="6">
        <v>9537000</v>
      </c>
      <c r="CL45" s="6">
        <v>7973000</v>
      </c>
      <c r="CM45" s="6">
        <v>6939000</v>
      </c>
      <c r="CN45" s="6">
        <v>9058000</v>
      </c>
      <c r="CO45" s="6">
        <v>26283000</v>
      </c>
      <c r="CP45" s="6">
        <v>33494000</v>
      </c>
      <c r="CQ45" s="6">
        <v>28989000</v>
      </c>
      <c r="CR45" s="6">
        <v>22429000</v>
      </c>
      <c r="CS45" s="6">
        <v>21436000</v>
      </c>
      <c r="CT45" s="6">
        <v>31137000</v>
      </c>
      <c r="CU45" s="6">
        <v>40245000</v>
      </c>
      <c r="CV45" s="6">
        <v>38980000</v>
      </c>
      <c r="CW45" s="6">
        <v>38583000</v>
      </c>
      <c r="CX45" s="6">
        <v>27640000</v>
      </c>
      <c r="CY45" s="6">
        <v>23895000</v>
      </c>
      <c r="CZ45" s="6">
        <v>21344000</v>
      </c>
      <c r="DA45" s="6">
        <v>23584000</v>
      </c>
      <c r="DB45" s="6">
        <v>19348000</v>
      </c>
      <c r="DC45" s="6">
        <v>16455000</v>
      </c>
      <c r="DD45" s="6">
        <v>12386000</v>
      </c>
      <c r="DE45" s="6">
        <v>14021000</v>
      </c>
      <c r="DF45" s="6">
        <v>11792000</v>
      </c>
      <c r="DG45" s="6">
        <v>9625000</v>
      </c>
      <c r="DH45" s="6">
        <v>6737000</v>
      </c>
      <c r="DI45" s="6">
        <v>7909420.73</v>
      </c>
      <c r="DJ45" s="6">
        <v>17335021.15</v>
      </c>
      <c r="DK45" s="6">
        <v>13465800.69</v>
      </c>
      <c r="DL45" s="6">
        <v>17959326.63</v>
      </c>
      <c r="DM45" s="6">
        <v>30570758.4</v>
      </c>
      <c r="DN45" s="6">
        <v>34059272</v>
      </c>
      <c r="DO45" s="6">
        <v>25973931.41</v>
      </c>
      <c r="DP45" s="6">
        <v>18168087.7</v>
      </c>
      <c r="DQ45" s="6">
        <v>25316415.12</v>
      </c>
      <c r="DR45" s="6">
        <v>18070014.81</v>
      </c>
      <c r="DS45" s="6">
        <v>7559114.7</v>
      </c>
      <c r="DT45" s="6">
        <v>9684860.85</v>
      </c>
      <c r="DU45" s="6">
        <v>17477516</v>
      </c>
      <c r="DV45" s="6">
        <v>28698323</v>
      </c>
      <c r="DW45" s="6">
        <v>25294255</v>
      </c>
      <c r="DX45" s="6">
        <v>14575424.41</v>
      </c>
      <c r="DY45" s="6">
        <v>4028870.85</v>
      </c>
      <c r="DZ45" s="6">
        <v>2989595.28</v>
      </c>
      <c r="EA45" s="6">
        <v>2449416.3200000003</v>
      </c>
      <c r="EB45" s="6">
        <v>2627076.48</v>
      </c>
      <c r="EC45" s="6">
        <v>3375889.4599999995</v>
      </c>
      <c r="ED45" s="6">
        <v>3655765.5999999987</v>
      </c>
      <c r="EE45" s="6">
        <v>4124632.1700000004</v>
      </c>
      <c r="EF45" s="6">
        <v>2261587.14</v>
      </c>
      <c r="EG45" s="6">
        <v>4732392.89</v>
      </c>
      <c r="EH45" s="6">
        <v>8998665.69</v>
      </c>
      <c r="EI45" s="6">
        <v>15098439.05</v>
      </c>
      <c r="EJ45" s="6">
        <v>2539718.04</v>
      </c>
    </row>
    <row r="46" spans="2:140" ht="12.75">
      <c r="B46" t="s">
        <v>153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3"/>
      <c r="AO46" s="3"/>
      <c r="AP46" s="2"/>
      <c r="AQ46" s="2"/>
      <c r="AR46" s="2"/>
      <c r="AS46" s="2"/>
      <c r="AT46" s="2"/>
      <c r="AU46" s="2"/>
      <c r="AV46" s="3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>
        <v>1104940</v>
      </c>
      <c r="BI46" s="2">
        <v>1123406</v>
      </c>
      <c r="BJ46" s="2">
        <v>1186668</v>
      </c>
      <c r="BK46" s="2">
        <v>0</v>
      </c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2:140" ht="12.75">
      <c r="B47" s="7" t="s">
        <v>133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  <c r="AO47" s="9"/>
      <c r="AP47" s="6"/>
      <c r="AQ47" s="6"/>
      <c r="AR47" s="6"/>
      <c r="AS47" s="6"/>
      <c r="AT47" s="6"/>
      <c r="AU47" s="6"/>
      <c r="AV47" s="9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>
        <v>609445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</row>
    <row r="48" spans="2:140" ht="12.75">
      <c r="B48" t="s">
        <v>154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3"/>
      <c r="AO48" s="3"/>
      <c r="AP48" s="2"/>
      <c r="AQ48" s="2"/>
      <c r="AR48" s="2"/>
      <c r="AS48" s="2"/>
      <c r="AT48" s="2"/>
      <c r="AU48" s="2"/>
      <c r="AV48" s="3"/>
      <c r="AW48" s="2"/>
      <c r="AX48" s="2"/>
      <c r="AY48" s="2"/>
      <c r="AZ48" s="2"/>
      <c r="BA48" s="2">
        <v>3243584</v>
      </c>
      <c r="BB48" s="2"/>
      <c r="BC48" s="2"/>
      <c r="BD48" s="2">
        <v>3907487</v>
      </c>
      <c r="BE48" s="2">
        <v>2996010</v>
      </c>
      <c r="BF48" s="2">
        <v>2739542</v>
      </c>
      <c r="BG48" s="2">
        <v>1539258</v>
      </c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</row>
    <row r="49" spans="2:140" ht="12.75">
      <c r="B49" s="7" t="s">
        <v>155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9"/>
      <c r="AO49" s="9"/>
      <c r="AP49" s="6"/>
      <c r="AQ49" s="6"/>
      <c r="AR49" s="6"/>
      <c r="AS49" s="6"/>
      <c r="AT49" s="6"/>
      <c r="AU49" s="6"/>
      <c r="AV49" s="9"/>
      <c r="AW49" s="6"/>
      <c r="AX49" s="6"/>
      <c r="AY49" s="6"/>
      <c r="AZ49" s="6"/>
      <c r="BA49" s="6"/>
      <c r="BB49" s="6"/>
      <c r="BC49" s="6"/>
      <c r="BD49" s="6">
        <v>350000</v>
      </c>
      <c r="BE49" s="6">
        <v>619150</v>
      </c>
      <c r="BF49" s="6">
        <v>747226</v>
      </c>
      <c r="BG49" s="6">
        <v>827043</v>
      </c>
      <c r="BH49" s="6">
        <v>935344</v>
      </c>
      <c r="BI49" s="6">
        <v>753560</v>
      </c>
      <c r="BJ49" s="6">
        <v>725735</v>
      </c>
      <c r="BK49" s="6">
        <v>803002</v>
      </c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</row>
    <row r="50" spans="2:140" ht="12.75">
      <c r="B50" t="s">
        <v>156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3"/>
      <c r="AO50" s="3"/>
      <c r="AP50" s="2"/>
      <c r="AQ50" s="2"/>
      <c r="AR50" s="2"/>
      <c r="AS50" s="2"/>
      <c r="AT50" s="2"/>
      <c r="AU50" s="2"/>
      <c r="AV50" s="3"/>
      <c r="AW50" s="2"/>
      <c r="AX50" s="2"/>
      <c r="AY50" s="2"/>
      <c r="AZ50" s="2"/>
      <c r="BA50" s="2"/>
      <c r="BB50" s="2"/>
      <c r="BC50" s="2"/>
      <c r="BD50" s="2">
        <v>1449250</v>
      </c>
      <c r="BE50" s="2">
        <v>1900000</v>
      </c>
      <c r="BF50" s="2">
        <v>2389953</v>
      </c>
      <c r="BG50" s="2">
        <v>3397940</v>
      </c>
      <c r="BH50" s="2"/>
      <c r="BI50" s="2"/>
      <c r="BJ50" s="2"/>
      <c r="BK50" s="2"/>
      <c r="BL50" s="2">
        <v>3500000</v>
      </c>
      <c r="BM50" s="2">
        <v>3500000</v>
      </c>
      <c r="BN50" s="2">
        <v>3500000</v>
      </c>
      <c r="BO50" s="2">
        <v>5000000</v>
      </c>
      <c r="BP50" s="2">
        <v>3900000</v>
      </c>
      <c r="BQ50" s="2">
        <v>6400000</v>
      </c>
      <c r="BR50" s="2">
        <v>5000000</v>
      </c>
      <c r="BS50" s="2">
        <v>4500000</v>
      </c>
      <c r="BT50" s="2">
        <v>4250000</v>
      </c>
      <c r="BU50" s="2">
        <v>4500000</v>
      </c>
      <c r="BV50" s="2">
        <v>4000000</v>
      </c>
      <c r="BW50" s="2">
        <v>5000000</v>
      </c>
      <c r="BX50" s="2">
        <v>4500000</v>
      </c>
      <c r="BY50" s="2">
        <v>5000000</v>
      </c>
      <c r="BZ50" s="2">
        <v>6550000</v>
      </c>
      <c r="CA50" s="2">
        <v>6550000</v>
      </c>
      <c r="CB50" s="2">
        <v>6500000</v>
      </c>
      <c r="CC50" s="2">
        <v>10750000</v>
      </c>
      <c r="CD50" s="2">
        <v>10550000</v>
      </c>
      <c r="CE50" s="2">
        <v>10975000</v>
      </c>
      <c r="CF50" s="2">
        <v>11853000</v>
      </c>
      <c r="CG50" s="2">
        <v>11969000</v>
      </c>
      <c r="CH50" s="2">
        <v>13350000</v>
      </c>
      <c r="CI50" s="2">
        <v>14200000</v>
      </c>
      <c r="CJ50" s="2">
        <v>12500000</v>
      </c>
      <c r="CK50" s="2">
        <v>15622000</v>
      </c>
      <c r="CL50" s="2">
        <v>19200000</v>
      </c>
      <c r="CM50" s="2">
        <v>18000000</v>
      </c>
      <c r="CN50" s="2">
        <v>18000000</v>
      </c>
      <c r="CO50" s="2">
        <v>19000000</v>
      </c>
      <c r="CP50" s="2">
        <v>20500000</v>
      </c>
      <c r="CQ50" s="2">
        <v>22000000</v>
      </c>
      <c r="CR50" s="2">
        <v>23500000</v>
      </c>
      <c r="CS50" s="2">
        <v>28000000</v>
      </c>
      <c r="CT50" s="2">
        <v>29000000</v>
      </c>
      <c r="CU50" s="2">
        <v>32800000</v>
      </c>
      <c r="CV50" s="2">
        <v>39600000</v>
      </c>
      <c r="CW50" s="2">
        <v>46811000</v>
      </c>
      <c r="CX50" s="2">
        <v>41000000</v>
      </c>
      <c r="CY50" s="2">
        <v>41500000</v>
      </c>
      <c r="CZ50" s="2">
        <v>37572000</v>
      </c>
      <c r="DA50" s="2">
        <v>32400000</v>
      </c>
      <c r="DB50" s="2">
        <v>27106000</v>
      </c>
      <c r="DC50" s="2">
        <v>10905000</v>
      </c>
      <c r="DD50" s="2">
        <v>28315000</v>
      </c>
      <c r="DE50" s="2">
        <v>29487000</v>
      </c>
      <c r="DF50" s="2">
        <v>30604000</v>
      </c>
      <c r="DG50" s="2">
        <v>37260000</v>
      </c>
      <c r="DH50" s="2">
        <v>24253000</v>
      </c>
      <c r="DI50" s="2">
        <f>25500000+9000000</f>
        <v>34500000</v>
      </c>
      <c r="DJ50" s="2">
        <f>26352000+9000000</f>
        <v>35352000</v>
      </c>
      <c r="DK50" s="2">
        <f>28972000+9000000</f>
        <v>37972000</v>
      </c>
      <c r="DL50" s="2">
        <f>28800000+9000000</f>
        <v>37800000</v>
      </c>
      <c r="DM50" s="2">
        <f>31000000+9000000</f>
        <v>40000000</v>
      </c>
      <c r="DN50" s="2">
        <f>9000000+32320000</f>
        <v>41320000</v>
      </c>
      <c r="DO50" s="2">
        <f>36000000+9000000</f>
        <v>45000000</v>
      </c>
      <c r="DP50" s="2">
        <f>9000000+37500000</f>
        <v>46500000</v>
      </c>
      <c r="DQ50" s="2">
        <f>9000000+38500000</f>
        <v>47500000</v>
      </c>
      <c r="DR50" s="2">
        <f>9000000+40000000</f>
        <v>49000000</v>
      </c>
      <c r="DS50" s="2">
        <v>58000000</v>
      </c>
      <c r="DT50" s="2">
        <v>59000000</v>
      </c>
      <c r="DU50" s="2">
        <v>63775081</v>
      </c>
      <c r="DV50" s="2">
        <v>64761653</v>
      </c>
      <c r="DW50" s="2">
        <v>72426822</v>
      </c>
      <c r="DX50" s="2">
        <v>85519798</v>
      </c>
      <c r="DY50" s="2">
        <v>80334586.16</v>
      </c>
      <c r="DZ50" s="2">
        <v>89318243.11</v>
      </c>
      <c r="EA50" s="2">
        <v>94600624.16</v>
      </c>
      <c r="EB50" s="2">
        <v>96048686.22000001</v>
      </c>
      <c r="EC50" s="2">
        <v>96629693.02</v>
      </c>
      <c r="ED50" s="2">
        <v>108397502.04</v>
      </c>
      <c r="EE50" s="2">
        <v>112273052.01000002</v>
      </c>
      <c r="EF50" s="2">
        <v>116041337.79</v>
      </c>
      <c r="EG50" s="2">
        <v>118070850.6</v>
      </c>
      <c r="EH50" s="2">
        <v>125614529.53</v>
      </c>
      <c r="EI50" s="2">
        <v>131908404.01</v>
      </c>
      <c r="EJ50" s="2">
        <v>146413503.23</v>
      </c>
    </row>
    <row r="51" spans="2:140" ht="12.75">
      <c r="B51" s="7" t="s">
        <v>157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9"/>
      <c r="AO51" s="9"/>
      <c r="AP51" s="6"/>
      <c r="AQ51" s="6"/>
      <c r="AR51" s="6"/>
      <c r="AS51" s="6"/>
      <c r="AT51" s="6"/>
      <c r="AU51" s="6"/>
      <c r="AV51" s="9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>
        <v>9000000</v>
      </c>
      <c r="CT51" s="6"/>
      <c r="CU51" s="6">
        <v>4500000</v>
      </c>
      <c r="CV51" s="6">
        <v>2000000</v>
      </c>
      <c r="CW51" s="6">
        <v>6370000</v>
      </c>
      <c r="CX51" s="6">
        <v>1500000</v>
      </c>
      <c r="CY51" s="6">
        <v>3000000</v>
      </c>
      <c r="CZ51" s="6">
        <v>3000000</v>
      </c>
      <c r="DA51" s="6">
        <v>3300000</v>
      </c>
      <c r="DB51" s="6">
        <v>3229000</v>
      </c>
      <c r="DC51" s="6">
        <v>3200000</v>
      </c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</row>
    <row r="52" spans="2:140" ht="12.75">
      <c r="B52" t="s">
        <v>158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>
        <v>-14870000</v>
      </c>
      <c r="CT52" s="3">
        <v>-10130000</v>
      </c>
      <c r="CU52" s="2">
        <v>25000000</v>
      </c>
      <c r="CV52" s="3"/>
      <c r="CW52" s="3"/>
      <c r="CX52" s="2"/>
      <c r="CY52" s="2"/>
      <c r="CZ52" s="2"/>
      <c r="DA52" s="2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</row>
    <row r="53" spans="2:140" ht="12.75">
      <c r="B53" s="7" t="s">
        <v>159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6"/>
      <c r="CV53" s="9"/>
      <c r="CW53" s="9"/>
      <c r="CX53" s="6"/>
      <c r="CY53" s="6">
        <v>3649000</v>
      </c>
      <c r="CZ53" s="6">
        <v>20232000</v>
      </c>
      <c r="DA53" s="6">
        <v>22302000</v>
      </c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</row>
    <row r="54" spans="2:140" ht="12.75">
      <c r="B54" t="s">
        <v>160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2"/>
      <c r="CV54" s="3"/>
      <c r="CW54" s="3"/>
      <c r="CX54" s="2">
        <v>186000</v>
      </c>
      <c r="CY54" s="2"/>
      <c r="CZ54" s="2"/>
      <c r="DA54" s="2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</row>
    <row r="55" spans="2:140" ht="12.75">
      <c r="B55" s="7" t="s">
        <v>161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6"/>
      <c r="CV55" s="9"/>
      <c r="CW55" s="9"/>
      <c r="CX55" s="6">
        <v>2996000</v>
      </c>
      <c r="CY55" s="6"/>
      <c r="CZ55" s="6"/>
      <c r="DA55" s="6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</row>
    <row r="56" spans="2:140" ht="12.75">
      <c r="B56" t="s">
        <v>162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2"/>
      <c r="CV56" s="3"/>
      <c r="CW56" s="3"/>
      <c r="CX56" s="2"/>
      <c r="CY56" s="2"/>
      <c r="CZ56" s="2"/>
      <c r="DA56" s="2">
        <v>6270000</v>
      </c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</row>
    <row r="57" spans="2:140" ht="12.75">
      <c r="B57" s="7" t="s">
        <v>163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6"/>
      <c r="CV57" s="9"/>
      <c r="CW57" s="9"/>
      <c r="CX57" s="6"/>
      <c r="CY57" s="6"/>
      <c r="CZ57" s="6">
        <v>8415000</v>
      </c>
      <c r="DA57" s="6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</row>
    <row r="58" spans="2:140" ht="12.75">
      <c r="B58" t="s">
        <v>164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>
        <v>1737007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2"/>
      <c r="CV58" s="3"/>
      <c r="CW58" s="3"/>
      <c r="CX58" s="2"/>
      <c r="CY58" s="2"/>
      <c r="CZ58" s="2"/>
      <c r="DA58" s="2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</row>
    <row r="59" spans="2:140" ht="12.75">
      <c r="B59" s="7" t="s">
        <v>165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>
        <v>109325</v>
      </c>
      <c r="AL59" s="9"/>
      <c r="AM59" s="9"/>
      <c r="AN59" s="9">
        <v>91880</v>
      </c>
      <c r="AO59" s="9">
        <v>90750</v>
      </c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6"/>
      <c r="CV59" s="9"/>
      <c r="CW59" s="9"/>
      <c r="CX59" s="6"/>
      <c r="CY59" s="6"/>
      <c r="CZ59" s="6"/>
      <c r="DA59" s="6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</row>
    <row r="60" spans="2:140" ht="12.75">
      <c r="B60" t="s">
        <v>118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3"/>
      <c r="AO60" s="3"/>
      <c r="AP60" s="2"/>
      <c r="AQ60" s="2"/>
      <c r="AR60" s="2"/>
      <c r="AS60" s="2"/>
      <c r="AT60" s="2"/>
      <c r="AU60" s="2"/>
      <c r="AV60" s="3"/>
      <c r="AW60" s="2"/>
      <c r="AX60" s="2"/>
      <c r="AY60" s="2"/>
      <c r="AZ60" s="2"/>
      <c r="BA60" s="2"/>
      <c r="BB60" s="2"/>
      <c r="BC60" s="2"/>
      <c r="BD60" s="2">
        <v>2844</v>
      </c>
      <c r="BE60" s="2">
        <v>3606</v>
      </c>
      <c r="BF60" s="2">
        <v>11011</v>
      </c>
      <c r="BG60" s="2">
        <v>117675</v>
      </c>
      <c r="BH60" s="2">
        <v>1074878</v>
      </c>
      <c r="BI60" s="2">
        <v>1010023</v>
      </c>
      <c r="BJ60" s="2">
        <v>1183276</v>
      </c>
      <c r="BK60" s="2">
        <v>2449098</v>
      </c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</row>
    <row r="61" spans="2:140" ht="12.75">
      <c r="B61" s="7" t="s">
        <v>166</v>
      </c>
      <c r="C61" s="8">
        <f aca="true" t="shared" si="25" ref="C61:R61">SUM(C45:C60)</f>
        <v>0</v>
      </c>
      <c r="D61" s="8">
        <f t="shared" si="25"/>
        <v>0</v>
      </c>
      <c r="E61" s="8">
        <f t="shared" si="25"/>
        <v>0</v>
      </c>
      <c r="F61" s="8">
        <f t="shared" si="25"/>
        <v>0</v>
      </c>
      <c r="G61" s="8">
        <f t="shared" si="25"/>
        <v>0</v>
      </c>
      <c r="H61" s="8">
        <f t="shared" si="25"/>
        <v>0</v>
      </c>
      <c r="I61" s="8">
        <f t="shared" si="25"/>
        <v>0</v>
      </c>
      <c r="J61" s="8">
        <f t="shared" si="25"/>
        <v>0</v>
      </c>
      <c r="K61" s="8">
        <f t="shared" si="25"/>
        <v>0</v>
      </c>
      <c r="L61" s="8">
        <f t="shared" si="25"/>
        <v>0</v>
      </c>
      <c r="M61" s="8">
        <f t="shared" si="25"/>
        <v>0</v>
      </c>
      <c r="N61" s="8">
        <f t="shared" si="25"/>
        <v>0</v>
      </c>
      <c r="O61" s="8">
        <f t="shared" si="25"/>
        <v>0</v>
      </c>
      <c r="P61" s="8">
        <f t="shared" si="25"/>
        <v>0</v>
      </c>
      <c r="Q61" s="8">
        <f t="shared" si="25"/>
        <v>0</v>
      </c>
      <c r="R61" s="8">
        <f t="shared" si="25"/>
        <v>0</v>
      </c>
      <c r="S61" s="8">
        <f aca="true" t="shared" si="26" ref="S61:AJ61">SUM(S45:S60)</f>
        <v>0</v>
      </c>
      <c r="T61" s="8">
        <f t="shared" si="26"/>
        <v>0</v>
      </c>
      <c r="U61" s="8">
        <f t="shared" si="26"/>
        <v>0</v>
      </c>
      <c r="V61" s="8">
        <f t="shared" si="26"/>
        <v>0</v>
      </c>
      <c r="W61" s="8">
        <f t="shared" si="26"/>
        <v>0</v>
      </c>
      <c r="X61" s="8">
        <f t="shared" si="26"/>
        <v>0</v>
      </c>
      <c r="Y61" s="8">
        <f t="shared" si="26"/>
        <v>0</v>
      </c>
      <c r="Z61" s="8">
        <f t="shared" si="26"/>
        <v>0</v>
      </c>
      <c r="AA61" s="8">
        <f t="shared" si="26"/>
        <v>0</v>
      </c>
      <c r="AB61" s="8">
        <f t="shared" si="26"/>
        <v>0</v>
      </c>
      <c r="AC61" s="8">
        <f t="shared" si="26"/>
        <v>0</v>
      </c>
      <c r="AD61" s="8">
        <f t="shared" si="26"/>
        <v>0</v>
      </c>
      <c r="AE61" s="8">
        <f t="shared" si="26"/>
        <v>0</v>
      </c>
      <c r="AF61" s="8">
        <f t="shared" si="26"/>
        <v>0</v>
      </c>
      <c r="AG61" s="8">
        <f t="shared" si="26"/>
        <v>0</v>
      </c>
      <c r="AH61" s="8">
        <f t="shared" si="26"/>
        <v>0</v>
      </c>
      <c r="AI61" s="8">
        <f t="shared" si="26"/>
        <v>0</v>
      </c>
      <c r="AJ61" s="8">
        <f t="shared" si="26"/>
        <v>0</v>
      </c>
      <c r="AK61" s="8">
        <f>SUM(AK45:AK60)</f>
        <v>1889624</v>
      </c>
      <c r="AL61" s="8">
        <f>SUM(AL45:AL60)</f>
        <v>0</v>
      </c>
      <c r="AM61" s="8">
        <f>SUM(AM45:AM60)</f>
        <v>0</v>
      </c>
      <c r="AN61" s="8">
        <f>SUM(AN45:AN60)</f>
        <v>224679</v>
      </c>
      <c r="AO61" s="8">
        <f aca="true" t="shared" si="27" ref="AO61:AV61">SUM(AO45:AO60)</f>
        <v>242102</v>
      </c>
      <c r="AP61" s="8">
        <f t="shared" si="27"/>
        <v>0</v>
      </c>
      <c r="AQ61" s="8">
        <f t="shared" si="27"/>
        <v>0</v>
      </c>
      <c r="AR61" s="8">
        <f t="shared" si="27"/>
        <v>0</v>
      </c>
      <c r="AS61" s="8">
        <f t="shared" si="27"/>
        <v>0</v>
      </c>
      <c r="AT61" s="8">
        <f t="shared" si="27"/>
        <v>0</v>
      </c>
      <c r="AU61" s="8">
        <f t="shared" si="27"/>
        <v>0</v>
      </c>
      <c r="AV61" s="8">
        <f t="shared" si="27"/>
        <v>0</v>
      </c>
      <c r="AW61" s="8">
        <f aca="true" t="shared" si="28" ref="AW61:BC61">SUM(AW45:AW60)</f>
        <v>0</v>
      </c>
      <c r="AX61" s="8">
        <f t="shared" si="28"/>
        <v>0</v>
      </c>
      <c r="AY61" s="8">
        <f t="shared" si="28"/>
        <v>0</v>
      </c>
      <c r="AZ61" s="8">
        <f t="shared" si="28"/>
        <v>0</v>
      </c>
      <c r="BA61" s="8">
        <f t="shared" si="28"/>
        <v>3243584</v>
      </c>
      <c r="BB61" s="8">
        <f t="shared" si="28"/>
        <v>0</v>
      </c>
      <c r="BC61" s="8">
        <f t="shared" si="28"/>
        <v>0</v>
      </c>
      <c r="BD61" s="8">
        <f>SUM(BD45:BD60)</f>
        <v>5709581</v>
      </c>
      <c r="BE61" s="8">
        <f aca="true" t="shared" si="29" ref="BE61:BT61">SUM(BE45:BE60)</f>
        <v>5518766</v>
      </c>
      <c r="BF61" s="8">
        <f t="shared" si="29"/>
        <v>5887732</v>
      </c>
      <c r="BG61" s="8">
        <f t="shared" si="29"/>
        <v>6491361</v>
      </c>
      <c r="BH61" s="8">
        <f t="shared" si="29"/>
        <v>3115162</v>
      </c>
      <c r="BI61" s="8">
        <f t="shared" si="29"/>
        <v>2886989</v>
      </c>
      <c r="BJ61" s="8">
        <f t="shared" si="29"/>
        <v>3095679</v>
      </c>
      <c r="BK61" s="8">
        <f t="shared" si="29"/>
        <v>3252100</v>
      </c>
      <c r="BL61" s="8">
        <f t="shared" si="29"/>
        <v>3500000</v>
      </c>
      <c r="BM61" s="8">
        <f t="shared" si="29"/>
        <v>3500000</v>
      </c>
      <c r="BN61" s="8">
        <f t="shared" si="29"/>
        <v>3500000</v>
      </c>
      <c r="BO61" s="8">
        <f t="shared" si="29"/>
        <v>5251149</v>
      </c>
      <c r="BP61" s="8">
        <f t="shared" si="29"/>
        <v>4367846</v>
      </c>
      <c r="BQ61" s="8">
        <f t="shared" si="29"/>
        <v>6933814</v>
      </c>
      <c r="BR61" s="8">
        <f t="shared" si="29"/>
        <v>5643510</v>
      </c>
      <c r="BS61" s="8">
        <f t="shared" si="29"/>
        <v>5585600</v>
      </c>
      <c r="BT61" s="8">
        <f t="shared" si="29"/>
        <v>4250000</v>
      </c>
      <c r="BU61" s="8">
        <f aca="true" t="shared" si="30" ref="BU61:CJ61">SUM(BU45:BU60)</f>
        <v>4500000</v>
      </c>
      <c r="BV61" s="8">
        <f t="shared" si="30"/>
        <v>5456800</v>
      </c>
      <c r="BW61" s="8">
        <f t="shared" si="30"/>
        <v>5273556</v>
      </c>
      <c r="BX61" s="8">
        <f t="shared" si="30"/>
        <v>5047776</v>
      </c>
      <c r="BY61" s="8">
        <f t="shared" si="30"/>
        <v>5775677</v>
      </c>
      <c r="BZ61" s="8">
        <f t="shared" si="30"/>
        <v>7209142</v>
      </c>
      <c r="CA61" s="8">
        <f t="shared" si="30"/>
        <v>9057722</v>
      </c>
      <c r="CB61" s="8">
        <f t="shared" si="30"/>
        <v>8362683</v>
      </c>
      <c r="CC61" s="8">
        <f t="shared" si="30"/>
        <v>12455893</v>
      </c>
      <c r="CD61" s="8">
        <f t="shared" si="30"/>
        <v>12349334</v>
      </c>
      <c r="CE61" s="8">
        <f t="shared" si="30"/>
        <v>13205281</v>
      </c>
      <c r="CF61" s="8">
        <f t="shared" si="30"/>
        <v>14164329</v>
      </c>
      <c r="CG61" s="8">
        <f t="shared" si="30"/>
        <v>15760949</v>
      </c>
      <c r="CH61" s="8">
        <f t="shared" si="30"/>
        <v>21620579</v>
      </c>
      <c r="CI61" s="8">
        <f t="shared" si="30"/>
        <v>24091567</v>
      </c>
      <c r="CJ61" s="8">
        <f t="shared" si="30"/>
        <v>21308000</v>
      </c>
      <c r="CK61" s="8">
        <f aca="true" t="shared" si="31" ref="CK61:CZ61">SUM(CK45:CK60)</f>
        <v>25159000</v>
      </c>
      <c r="CL61" s="8">
        <f t="shared" si="31"/>
        <v>27173000</v>
      </c>
      <c r="CM61" s="8">
        <f t="shared" si="31"/>
        <v>24939000</v>
      </c>
      <c r="CN61" s="8">
        <f t="shared" si="31"/>
        <v>27058000</v>
      </c>
      <c r="CO61" s="8">
        <f t="shared" si="31"/>
        <v>45283000</v>
      </c>
      <c r="CP61" s="8">
        <f t="shared" si="31"/>
        <v>53994000</v>
      </c>
      <c r="CQ61" s="8">
        <f t="shared" si="31"/>
        <v>50989000</v>
      </c>
      <c r="CR61" s="8">
        <f t="shared" si="31"/>
        <v>45929000</v>
      </c>
      <c r="CS61" s="8">
        <f t="shared" si="31"/>
        <v>43566000</v>
      </c>
      <c r="CT61" s="8">
        <f t="shared" si="31"/>
        <v>50007000</v>
      </c>
      <c r="CU61" s="8">
        <f t="shared" si="31"/>
        <v>102545000</v>
      </c>
      <c r="CV61" s="8">
        <f t="shared" si="31"/>
        <v>80580000</v>
      </c>
      <c r="CW61" s="8">
        <f t="shared" si="31"/>
        <v>91764000</v>
      </c>
      <c r="CX61" s="8">
        <f t="shared" si="31"/>
        <v>73322000</v>
      </c>
      <c r="CY61" s="8">
        <f t="shared" si="31"/>
        <v>72044000</v>
      </c>
      <c r="CZ61" s="8">
        <f t="shared" si="31"/>
        <v>90563000</v>
      </c>
      <c r="DA61" s="8">
        <f aca="true" t="shared" si="32" ref="DA61:DT61">SUM(DA45:DA60)</f>
        <v>87856000</v>
      </c>
      <c r="DB61" s="8">
        <f t="shared" si="32"/>
        <v>49683000</v>
      </c>
      <c r="DC61" s="8">
        <f t="shared" si="32"/>
        <v>30560000</v>
      </c>
      <c r="DD61" s="8">
        <f t="shared" si="32"/>
        <v>40701000</v>
      </c>
      <c r="DE61" s="8">
        <f t="shared" si="32"/>
        <v>43508000</v>
      </c>
      <c r="DF61" s="8">
        <f t="shared" si="32"/>
        <v>42396000</v>
      </c>
      <c r="DG61" s="8">
        <f t="shared" si="32"/>
        <v>46885000</v>
      </c>
      <c r="DH61" s="8">
        <f t="shared" si="32"/>
        <v>30990000</v>
      </c>
      <c r="DI61" s="8">
        <f t="shared" si="32"/>
        <v>42409420.730000004</v>
      </c>
      <c r="DJ61" s="8">
        <f t="shared" si="32"/>
        <v>52687021.15</v>
      </c>
      <c r="DK61" s="8">
        <f t="shared" si="32"/>
        <v>51437800.69</v>
      </c>
      <c r="DL61" s="8">
        <f t="shared" si="32"/>
        <v>55759326.629999995</v>
      </c>
      <c r="DM61" s="8">
        <f t="shared" si="32"/>
        <v>70570758.4</v>
      </c>
      <c r="DN61" s="8">
        <f t="shared" si="32"/>
        <v>75379272</v>
      </c>
      <c r="DO61" s="8">
        <f t="shared" si="32"/>
        <v>70973931.41</v>
      </c>
      <c r="DP61" s="8">
        <f t="shared" si="32"/>
        <v>64668087.7</v>
      </c>
      <c r="DQ61" s="8">
        <f t="shared" si="32"/>
        <v>72816415.12</v>
      </c>
      <c r="DR61" s="8">
        <f t="shared" si="32"/>
        <v>67070014.81</v>
      </c>
      <c r="DS61" s="8">
        <f t="shared" si="32"/>
        <v>65559114.7</v>
      </c>
      <c r="DT61" s="8">
        <f t="shared" si="32"/>
        <v>68684860.85</v>
      </c>
      <c r="DU61" s="8">
        <f aca="true" t="shared" si="33" ref="DU61:EH61">SUM(DU45:DU60)</f>
        <v>81252597</v>
      </c>
      <c r="DV61" s="8">
        <f t="shared" si="33"/>
        <v>93459976</v>
      </c>
      <c r="DW61" s="8">
        <f t="shared" si="33"/>
        <v>97721077</v>
      </c>
      <c r="DX61" s="8">
        <f t="shared" si="33"/>
        <v>100095222.41</v>
      </c>
      <c r="DY61" s="8">
        <f t="shared" si="33"/>
        <v>84363457.00999999</v>
      </c>
      <c r="DZ61" s="8">
        <f t="shared" si="33"/>
        <v>92307838.39</v>
      </c>
      <c r="EA61" s="8">
        <f t="shared" si="33"/>
        <v>97050040.47999999</v>
      </c>
      <c r="EB61" s="8">
        <f>SUM(EB45:EB60)</f>
        <v>98675762.70000002</v>
      </c>
      <c r="EC61" s="8">
        <f t="shared" si="33"/>
        <v>100005582.47999999</v>
      </c>
      <c r="ED61" s="8">
        <f t="shared" si="33"/>
        <v>112053267.64</v>
      </c>
      <c r="EE61" s="8">
        <f t="shared" si="33"/>
        <v>116397684.18000002</v>
      </c>
      <c r="EF61" s="8">
        <f t="shared" si="33"/>
        <v>118302924.93</v>
      </c>
      <c r="EG61" s="8">
        <f t="shared" si="33"/>
        <v>122803243.49</v>
      </c>
      <c r="EH61" s="8">
        <f t="shared" si="33"/>
        <v>134613195.22</v>
      </c>
      <c r="EI61" s="8">
        <f>SUM(EI45:EI60)</f>
        <v>147006843.06</v>
      </c>
      <c r="EJ61" s="8">
        <f>SUM(EJ45:EJ60)</f>
        <v>148953221.26999998</v>
      </c>
    </row>
    <row r="62" spans="3:14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3"/>
      <c r="AO62" s="3"/>
      <c r="AP62" s="2"/>
      <c r="AQ62" s="2"/>
      <c r="AR62" s="2"/>
      <c r="AS62" s="2"/>
      <c r="AT62" s="2"/>
      <c r="AU62" s="2"/>
      <c r="AV62" s="3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</row>
    <row r="63" spans="3:14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3"/>
      <c r="AO63" s="3"/>
      <c r="AP63" s="2"/>
      <c r="AQ63" s="2"/>
      <c r="AR63" s="2"/>
      <c r="AS63" s="2"/>
      <c r="AT63" s="2"/>
      <c r="AU63" s="2"/>
      <c r="AV63" s="3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</row>
    <row r="64" spans="2:140" ht="13.5" thickBot="1">
      <c r="B64" t="s">
        <v>167</v>
      </c>
      <c r="C64" s="22">
        <f aca="true" t="shared" si="34" ref="C64:AH64">C61+C42+C29+C7</f>
        <v>76151</v>
      </c>
      <c r="D64" s="22">
        <f t="shared" si="34"/>
        <v>89049</v>
      </c>
      <c r="E64" s="22">
        <f t="shared" si="34"/>
        <v>139682</v>
      </c>
      <c r="F64" s="22">
        <f t="shared" si="34"/>
        <v>126013</v>
      </c>
      <c r="G64" s="22">
        <f t="shared" si="34"/>
        <v>263862</v>
      </c>
      <c r="H64" s="22">
        <f t="shared" si="34"/>
        <v>217263</v>
      </c>
      <c r="I64" s="22">
        <f t="shared" si="34"/>
        <v>763351</v>
      </c>
      <c r="J64" s="22">
        <f t="shared" si="34"/>
        <v>578759</v>
      </c>
      <c r="K64" s="22">
        <f t="shared" si="34"/>
        <v>861261</v>
      </c>
      <c r="L64" s="22">
        <f t="shared" si="34"/>
        <v>869153</v>
      </c>
      <c r="M64" s="22">
        <f t="shared" si="34"/>
        <v>1067819</v>
      </c>
      <c r="N64" s="22">
        <f t="shared" si="34"/>
        <v>1757714</v>
      </c>
      <c r="O64" s="22">
        <f t="shared" si="34"/>
        <v>1769583</v>
      </c>
      <c r="P64" s="22">
        <f t="shared" si="34"/>
        <v>2130343</v>
      </c>
      <c r="Q64" s="22">
        <f t="shared" si="34"/>
        <v>1903530</v>
      </c>
      <c r="R64" s="22">
        <f t="shared" si="34"/>
        <v>1948101</v>
      </c>
      <c r="S64" s="22">
        <f t="shared" si="34"/>
        <v>2101420</v>
      </c>
      <c r="T64" s="22">
        <f t="shared" si="34"/>
        <v>2097033</v>
      </c>
      <c r="U64" s="22">
        <f t="shared" si="34"/>
        <v>2374805</v>
      </c>
      <c r="V64" s="22">
        <f t="shared" si="34"/>
        <v>2461915</v>
      </c>
      <c r="W64" s="22">
        <f t="shared" si="34"/>
        <v>3173885</v>
      </c>
      <c r="X64" s="22">
        <f t="shared" si="34"/>
        <v>3241724</v>
      </c>
      <c r="Y64" s="22">
        <f t="shared" si="34"/>
        <v>3516516</v>
      </c>
      <c r="Z64" s="22">
        <f t="shared" si="34"/>
        <v>3680789</v>
      </c>
      <c r="AA64" s="22">
        <f t="shared" si="34"/>
        <v>3519516</v>
      </c>
      <c r="AB64" s="22">
        <f t="shared" si="34"/>
        <v>4127478</v>
      </c>
      <c r="AC64" s="22">
        <f t="shared" si="34"/>
        <v>5079402</v>
      </c>
      <c r="AD64" s="22">
        <f t="shared" si="34"/>
        <v>5120058</v>
      </c>
      <c r="AE64" s="22">
        <f t="shared" si="34"/>
        <v>6177855</v>
      </c>
      <c r="AF64" s="22">
        <f t="shared" si="34"/>
        <v>6600347</v>
      </c>
      <c r="AG64" s="22">
        <f t="shared" si="34"/>
        <v>3466149</v>
      </c>
      <c r="AH64" s="22">
        <f t="shared" si="34"/>
        <v>7247137</v>
      </c>
      <c r="AI64" s="22">
        <f aca="true" t="shared" si="35" ref="AI64:BN64">AI61+AI42+AI29+AI7</f>
        <v>8388277</v>
      </c>
      <c r="AJ64" s="22">
        <f t="shared" si="35"/>
        <v>9270324</v>
      </c>
      <c r="AK64" s="22">
        <f t="shared" si="35"/>
        <v>11524770</v>
      </c>
      <c r="AL64" s="22">
        <f t="shared" si="35"/>
        <v>14632601</v>
      </c>
      <c r="AM64" s="22">
        <f t="shared" si="35"/>
        <v>20800704</v>
      </c>
      <c r="AN64" s="22">
        <f t="shared" si="35"/>
        <v>33572765</v>
      </c>
      <c r="AO64" s="22">
        <f t="shared" si="35"/>
        <v>46566049</v>
      </c>
      <c r="AP64" s="22">
        <f t="shared" si="35"/>
        <v>29242865</v>
      </c>
      <c r="AQ64" s="22">
        <f t="shared" si="35"/>
        <v>14319630</v>
      </c>
      <c r="AR64" s="22">
        <f t="shared" si="35"/>
        <v>16604977</v>
      </c>
      <c r="AS64" s="22">
        <f t="shared" si="35"/>
        <v>16407850</v>
      </c>
      <c r="AT64" s="22">
        <f t="shared" si="35"/>
        <v>17034734</v>
      </c>
      <c r="AU64" s="22">
        <f t="shared" si="35"/>
        <v>15188442</v>
      </c>
      <c r="AV64" s="22">
        <f t="shared" si="35"/>
        <v>16543175</v>
      </c>
      <c r="AW64" s="22">
        <f t="shared" si="35"/>
        <v>16558687</v>
      </c>
      <c r="AX64" s="22">
        <f t="shared" si="35"/>
        <v>19490250</v>
      </c>
      <c r="AY64" s="22">
        <f t="shared" si="35"/>
        <v>20016621</v>
      </c>
      <c r="AZ64" s="22">
        <f t="shared" si="35"/>
        <v>15735533</v>
      </c>
      <c r="BA64" s="22">
        <f t="shared" si="35"/>
        <v>15095582</v>
      </c>
      <c r="BB64" s="22">
        <f t="shared" si="35"/>
        <v>18389197</v>
      </c>
      <c r="BC64" s="22">
        <f t="shared" si="35"/>
        <v>17774054</v>
      </c>
      <c r="BD64" s="22">
        <f t="shared" si="35"/>
        <v>22879651</v>
      </c>
      <c r="BE64" s="22">
        <f t="shared" si="35"/>
        <v>23540856</v>
      </c>
      <c r="BF64" s="22">
        <f t="shared" si="35"/>
        <v>24888894</v>
      </c>
      <c r="BG64" s="22">
        <f t="shared" si="35"/>
        <v>28284680.8</v>
      </c>
      <c r="BH64" s="22">
        <f t="shared" si="35"/>
        <v>23528968</v>
      </c>
      <c r="BI64" s="22">
        <f t="shared" si="35"/>
        <v>24288798</v>
      </c>
      <c r="BJ64" s="22">
        <f t="shared" si="35"/>
        <v>23151872</v>
      </c>
      <c r="BK64" s="22">
        <f t="shared" si="35"/>
        <v>24884893</v>
      </c>
      <c r="BL64" s="22">
        <f t="shared" si="35"/>
        <v>28207947</v>
      </c>
      <c r="BM64" s="22">
        <f t="shared" si="35"/>
        <v>27811366.8</v>
      </c>
      <c r="BN64" s="22">
        <f t="shared" si="35"/>
        <v>87602795</v>
      </c>
      <c r="BO64" s="22">
        <f aca="true" t="shared" si="36" ref="BO64:CT64">BO61+BO42+BO29+BO7</f>
        <v>176750656</v>
      </c>
      <c r="BP64" s="22">
        <f t="shared" si="36"/>
        <v>104509654</v>
      </c>
      <c r="BQ64" s="22">
        <f t="shared" si="36"/>
        <v>99711855</v>
      </c>
      <c r="BR64" s="22">
        <f t="shared" si="36"/>
        <v>104639575</v>
      </c>
      <c r="BS64" s="22">
        <f t="shared" si="36"/>
        <v>106215226</v>
      </c>
      <c r="BT64" s="22">
        <f t="shared" si="36"/>
        <v>108832523</v>
      </c>
      <c r="BU64" s="22">
        <f t="shared" si="36"/>
        <v>113137951.8</v>
      </c>
      <c r="BV64" s="22">
        <f t="shared" si="36"/>
        <v>115153227.53</v>
      </c>
      <c r="BW64" s="22">
        <f t="shared" si="36"/>
        <v>135676372</v>
      </c>
      <c r="BX64" s="22">
        <f t="shared" si="36"/>
        <v>147437921</v>
      </c>
      <c r="BY64" s="22">
        <f t="shared" si="36"/>
        <v>143286031</v>
      </c>
      <c r="BZ64" s="22">
        <f t="shared" si="36"/>
        <v>153114957</v>
      </c>
      <c r="CA64" s="22">
        <f t="shared" si="36"/>
        <v>165881997</v>
      </c>
      <c r="CB64" s="22">
        <f t="shared" si="36"/>
        <v>169672697</v>
      </c>
      <c r="CC64" s="22">
        <f t="shared" si="36"/>
        <v>177795811</v>
      </c>
      <c r="CD64" s="22">
        <f t="shared" si="36"/>
        <v>189296074</v>
      </c>
      <c r="CE64" s="22">
        <f t="shared" si="36"/>
        <v>202513845</v>
      </c>
      <c r="CF64" s="22">
        <f t="shared" si="36"/>
        <v>216992806</v>
      </c>
      <c r="CG64" s="22">
        <f t="shared" si="36"/>
        <v>295209041</v>
      </c>
      <c r="CH64" s="22">
        <f t="shared" si="36"/>
        <v>330126954</v>
      </c>
      <c r="CI64" s="22">
        <f t="shared" si="36"/>
        <v>394822360</v>
      </c>
      <c r="CJ64" s="22">
        <f t="shared" si="36"/>
        <v>457030000</v>
      </c>
      <c r="CK64" s="22">
        <f t="shared" si="36"/>
        <v>491694000</v>
      </c>
      <c r="CL64" s="22">
        <f t="shared" si="36"/>
        <v>534195000</v>
      </c>
      <c r="CM64" s="22">
        <f t="shared" si="36"/>
        <v>641814000</v>
      </c>
      <c r="CN64" s="22">
        <f t="shared" si="36"/>
        <v>735223000</v>
      </c>
      <c r="CO64" s="22">
        <f t="shared" si="36"/>
        <v>913274000</v>
      </c>
      <c r="CP64" s="22">
        <f t="shared" si="36"/>
        <v>989176000</v>
      </c>
      <c r="CQ64" s="22">
        <f t="shared" si="36"/>
        <v>1095684000</v>
      </c>
      <c r="CR64" s="22">
        <f t="shared" si="36"/>
        <v>1215538000</v>
      </c>
      <c r="CS64" s="22">
        <f t="shared" si="36"/>
        <v>1335017000</v>
      </c>
      <c r="CT64" s="22">
        <f t="shared" si="36"/>
        <v>1536471000</v>
      </c>
      <c r="CU64" s="22">
        <f aca="true" t="shared" si="37" ref="CU64:DW64">CU61+CU42+CU29+CU7</f>
        <v>1692968000</v>
      </c>
      <c r="CV64" s="22">
        <f t="shared" si="37"/>
        <v>1769071000</v>
      </c>
      <c r="CW64" s="22">
        <f t="shared" si="37"/>
        <v>1901144000</v>
      </c>
      <c r="CX64" s="22">
        <f t="shared" si="37"/>
        <v>1899908000</v>
      </c>
      <c r="CY64" s="22">
        <f t="shared" si="37"/>
        <v>2141076000</v>
      </c>
      <c r="CZ64" s="22">
        <f t="shared" si="37"/>
        <v>2267203000</v>
      </c>
      <c r="DA64" s="22">
        <f t="shared" si="37"/>
        <v>2335060000</v>
      </c>
      <c r="DB64" s="22">
        <f t="shared" si="37"/>
        <v>2509680000</v>
      </c>
      <c r="DC64" s="22">
        <f t="shared" si="37"/>
        <v>2620507000</v>
      </c>
      <c r="DD64" s="22">
        <f t="shared" si="37"/>
        <v>2907082000</v>
      </c>
      <c r="DE64" s="22">
        <f t="shared" si="37"/>
        <v>3017001000</v>
      </c>
      <c r="DF64" s="22">
        <f t="shared" si="37"/>
        <v>3158848800</v>
      </c>
      <c r="DG64" s="22">
        <f t="shared" si="37"/>
        <v>3345401000</v>
      </c>
      <c r="DH64" s="22">
        <f t="shared" si="37"/>
        <v>3678460000</v>
      </c>
      <c r="DI64" s="22">
        <f t="shared" si="37"/>
        <v>3931292433.07</v>
      </c>
      <c r="DJ64" s="22">
        <f t="shared" si="37"/>
        <v>4141311528.5999994</v>
      </c>
      <c r="DK64" s="23">
        <f t="shared" si="37"/>
        <v>4467348656.67</v>
      </c>
      <c r="DL64" s="23">
        <f t="shared" si="37"/>
        <v>4603207000.11</v>
      </c>
      <c r="DM64" s="23">
        <f t="shared" si="37"/>
        <v>4832408314.700001</v>
      </c>
      <c r="DN64" s="22">
        <f t="shared" si="37"/>
        <v>4881003314.25</v>
      </c>
      <c r="DO64" s="22">
        <f t="shared" si="37"/>
        <v>5096024828.88</v>
      </c>
      <c r="DP64" s="22">
        <f t="shared" si="37"/>
        <v>5114098827.360001</v>
      </c>
      <c r="DQ64" s="22">
        <f t="shared" si="37"/>
        <v>5007312052.78</v>
      </c>
      <c r="DR64" s="22">
        <f t="shared" si="37"/>
        <v>5046746063.000001</v>
      </c>
      <c r="DS64" s="22">
        <f t="shared" si="37"/>
        <v>5257880127.08</v>
      </c>
      <c r="DT64" s="22">
        <f t="shared" si="37"/>
        <v>5568943446.1900015</v>
      </c>
      <c r="DU64" s="22">
        <f t="shared" si="37"/>
        <v>5770645701</v>
      </c>
      <c r="DV64" s="22">
        <f t="shared" si="37"/>
        <v>6138254092</v>
      </c>
      <c r="DW64" s="22">
        <f t="shared" si="37"/>
        <v>6718329559</v>
      </c>
      <c r="DX64" s="22">
        <f aca="true" t="shared" si="38" ref="DX64:EH64">DX61+DX42+DX29+DX7</f>
        <v>6921493634.840002</v>
      </c>
      <c r="DY64" s="22">
        <f t="shared" si="38"/>
        <v>6711417456.499996</v>
      </c>
      <c r="DZ64" s="22">
        <f t="shared" si="38"/>
        <v>7018496949.239998</v>
      </c>
      <c r="EA64" s="22">
        <f t="shared" si="38"/>
        <v>7372311615.180005</v>
      </c>
      <c r="EB64" s="22">
        <f t="shared" si="38"/>
        <v>7888424530.499998</v>
      </c>
      <c r="EC64" s="22">
        <f t="shared" si="38"/>
        <v>7711959498.65</v>
      </c>
      <c r="ED64" s="22">
        <f t="shared" si="38"/>
        <v>8090921487.389999</v>
      </c>
      <c r="EE64" s="22">
        <f t="shared" si="38"/>
        <v>8262638526.489991</v>
      </c>
      <c r="EF64" s="22">
        <f t="shared" si="38"/>
        <v>8411163869.660001</v>
      </c>
      <c r="EG64" s="22">
        <f t="shared" si="38"/>
        <v>8830801649.9</v>
      </c>
      <c r="EH64" s="23">
        <f t="shared" si="38"/>
        <v>9351604810.900002</v>
      </c>
      <c r="EI64" s="23">
        <f>EI61+EI42+EI29+EI7</f>
        <v>9136117556.06</v>
      </c>
      <c r="EJ64" s="23">
        <f>EJ61+EJ42+EJ29+EJ7</f>
        <v>10625017132.010002</v>
      </c>
    </row>
    <row r="65" spans="3:140" ht="13.5" thickTop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EB65" s="1"/>
      <c r="EC65" s="1"/>
      <c r="ED65" s="1"/>
      <c r="EE65" s="1"/>
      <c r="EF65" s="1"/>
      <c r="EG65" s="1"/>
      <c r="EH65" s="1"/>
      <c r="EI65" s="1"/>
      <c r="EJ65" s="1"/>
    </row>
    <row r="66" spans="2:140" ht="12.75">
      <c r="B66" s="25" t="s">
        <v>207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"/>
      <c r="AO66" s="3"/>
      <c r="AP66" s="2"/>
      <c r="AQ66" s="2"/>
      <c r="AR66" s="2"/>
      <c r="AS66" s="2"/>
      <c r="AT66" s="2"/>
      <c r="AU66" s="2"/>
      <c r="AV66" s="3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1">
        <v>31397000</v>
      </c>
      <c r="CN66" s="1">
        <v>45452000</v>
      </c>
      <c r="CO66" s="1">
        <v>47136000</v>
      </c>
      <c r="CP66" s="1">
        <v>65066000</v>
      </c>
      <c r="CQ66" s="1">
        <v>72039000</v>
      </c>
      <c r="CR66" s="1">
        <v>71320000</v>
      </c>
      <c r="CS66" s="1">
        <v>85776000</v>
      </c>
      <c r="CT66" s="1">
        <v>104212000</v>
      </c>
      <c r="CU66" s="1">
        <v>136690000</v>
      </c>
      <c r="CV66" s="1">
        <v>112300000</v>
      </c>
      <c r="CW66" s="1">
        <v>146826000</v>
      </c>
      <c r="CX66" s="1">
        <v>167887000</v>
      </c>
      <c r="CY66" s="1">
        <v>174990000</v>
      </c>
      <c r="CZ66" s="1">
        <v>194552000</v>
      </c>
      <c r="DA66" s="1">
        <v>183141000</v>
      </c>
      <c r="DB66" s="1">
        <f>999926+5754+228558107+1130445+2177450+664</f>
        <v>232872346</v>
      </c>
      <c r="DC66" s="1">
        <f>790772+6775+218254029+37710+958041</f>
        <v>220047327</v>
      </c>
      <c r="DD66" s="1">
        <f>1045366+7538+240757078+62696+911827+579878</f>
        <v>243364383</v>
      </c>
      <c r="DE66" s="1">
        <f>1197482+4250+216712267+28266+929950</f>
        <v>218872215</v>
      </c>
      <c r="DF66" s="1">
        <f>230533554+5833+3020+1020693</f>
        <v>231563100</v>
      </c>
      <c r="DG66" s="1">
        <f>1173823+7993+235041814+1350+934855</f>
        <v>237159835</v>
      </c>
      <c r="DH66" s="1">
        <v>307840647.22999996</v>
      </c>
      <c r="DI66" s="1">
        <v>407778111.24999875</v>
      </c>
      <c r="DJ66" s="1">
        <v>332118872.2000003</v>
      </c>
      <c r="DK66" s="1">
        <v>373730910.46000004</v>
      </c>
      <c r="DL66" s="1">
        <v>387867748.8900004</v>
      </c>
      <c r="DM66" s="1">
        <v>454149649.64</v>
      </c>
      <c r="DN66" s="1">
        <v>510589803.16</v>
      </c>
      <c r="DO66" s="1">
        <v>523495048.0400004</v>
      </c>
      <c r="DP66" s="1">
        <v>547679731.04</v>
      </c>
      <c r="DQ66" s="1">
        <v>654544018.7899998</v>
      </c>
      <c r="DR66" s="1">
        <v>646106962.4099997</v>
      </c>
      <c r="DS66" s="1">
        <v>703544615.1</v>
      </c>
      <c r="DT66" s="26">
        <v>702851550.7900001</v>
      </c>
      <c r="DU66" s="26">
        <v>592838612.1599998</v>
      </c>
      <c r="DV66" s="26">
        <v>590234166.7700001</v>
      </c>
      <c r="DW66" s="26">
        <v>658925575.7500005</v>
      </c>
      <c r="DX66" s="26">
        <v>1182606525.4300013</v>
      </c>
      <c r="DY66" s="26">
        <v>1207250345.5400007</v>
      </c>
      <c r="DZ66" s="26">
        <v>1185136101.79</v>
      </c>
      <c r="EA66" s="26">
        <v>1249416294.3700001</v>
      </c>
      <c r="EB66" s="26">
        <v>1233522664.1</v>
      </c>
      <c r="EC66" s="26">
        <v>1418500928.1900008</v>
      </c>
      <c r="ED66" s="26">
        <v>1420714068.3999977</v>
      </c>
      <c r="EE66" s="26">
        <v>1485919122.6099987</v>
      </c>
      <c r="EF66" s="26">
        <v>1549136556.7200003</v>
      </c>
      <c r="EG66" s="26">
        <v>1578562203.9700003</v>
      </c>
      <c r="EH66" s="26">
        <v>1620440518.0199997</v>
      </c>
      <c r="EI66" s="26">
        <v>1589229591.75</v>
      </c>
      <c r="EJ66" s="26">
        <v>1671413691.89</v>
      </c>
    </row>
    <row r="67" spans="3:14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3"/>
      <c r="AO67" s="3"/>
      <c r="AP67" s="2"/>
      <c r="AQ67" s="2"/>
      <c r="AR67" s="2"/>
      <c r="AS67" s="2"/>
      <c r="AT67" s="2"/>
      <c r="AU67" s="2"/>
      <c r="AV67" s="3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</row>
    <row r="68" spans="2:140" ht="12.75">
      <c r="B68" t="s">
        <v>193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3"/>
      <c r="AO68" s="3"/>
      <c r="AP68" s="2"/>
      <c r="AQ68" s="2"/>
      <c r="AR68" s="2"/>
      <c r="AS68" s="2"/>
      <c r="AT68" s="2"/>
      <c r="AU68" s="2"/>
      <c r="AV68" s="3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>
        <f aca="true" t="shared" si="39" ref="CM68:DV68">CM64-CM66</f>
        <v>610417000</v>
      </c>
      <c r="CN68" s="2">
        <f t="shared" si="39"/>
        <v>689771000</v>
      </c>
      <c r="CO68" s="2">
        <f t="shared" si="39"/>
        <v>866138000</v>
      </c>
      <c r="CP68" s="2">
        <f t="shared" si="39"/>
        <v>924110000</v>
      </c>
      <c r="CQ68" s="2">
        <f t="shared" si="39"/>
        <v>1023645000</v>
      </c>
      <c r="CR68" s="2">
        <f t="shared" si="39"/>
        <v>1144218000</v>
      </c>
      <c r="CS68" s="2">
        <f t="shared" si="39"/>
        <v>1249241000</v>
      </c>
      <c r="CT68" s="2">
        <f t="shared" si="39"/>
        <v>1432259000</v>
      </c>
      <c r="CU68" s="2">
        <f t="shared" si="39"/>
        <v>1556278000</v>
      </c>
      <c r="CV68" s="2">
        <f t="shared" si="39"/>
        <v>1656771000</v>
      </c>
      <c r="CW68" s="2">
        <f t="shared" si="39"/>
        <v>1754318000</v>
      </c>
      <c r="CX68" s="2">
        <f t="shared" si="39"/>
        <v>1732021000</v>
      </c>
      <c r="CY68" s="2">
        <f t="shared" si="39"/>
        <v>1966086000</v>
      </c>
      <c r="CZ68" s="2">
        <f t="shared" si="39"/>
        <v>2072651000</v>
      </c>
      <c r="DA68" s="2">
        <f t="shared" si="39"/>
        <v>2151919000</v>
      </c>
      <c r="DB68" s="2">
        <f t="shared" si="39"/>
        <v>2276807654</v>
      </c>
      <c r="DC68" s="2">
        <f t="shared" si="39"/>
        <v>2400459673</v>
      </c>
      <c r="DD68" s="2">
        <f t="shared" si="39"/>
        <v>2663717617</v>
      </c>
      <c r="DE68" s="2">
        <f t="shared" si="39"/>
        <v>2798128785</v>
      </c>
      <c r="DF68" s="2">
        <f t="shared" si="39"/>
        <v>2927285700</v>
      </c>
      <c r="DG68" s="2">
        <f t="shared" si="39"/>
        <v>3108241165</v>
      </c>
      <c r="DH68" s="2">
        <f t="shared" si="39"/>
        <v>3370619352.77</v>
      </c>
      <c r="DI68" s="2">
        <f t="shared" si="39"/>
        <v>3523514321.8200016</v>
      </c>
      <c r="DJ68" s="2">
        <f t="shared" si="39"/>
        <v>3809192656.399999</v>
      </c>
      <c r="DK68" s="2">
        <f t="shared" si="39"/>
        <v>4093617746.21</v>
      </c>
      <c r="DL68" s="2">
        <f t="shared" si="39"/>
        <v>4215339251.2199993</v>
      </c>
      <c r="DM68" s="2">
        <f t="shared" si="39"/>
        <v>4378258665.06</v>
      </c>
      <c r="DN68" s="2">
        <f t="shared" si="39"/>
        <v>4370413511.09</v>
      </c>
      <c r="DO68" s="2">
        <f t="shared" si="39"/>
        <v>4572529780.84</v>
      </c>
      <c r="DP68" s="2">
        <f t="shared" si="39"/>
        <v>4566419096.320001</v>
      </c>
      <c r="DQ68" s="2">
        <f t="shared" si="39"/>
        <v>4352768033.99</v>
      </c>
      <c r="DR68" s="2">
        <f t="shared" si="39"/>
        <v>4400639100.590001</v>
      </c>
      <c r="DS68" s="2">
        <f t="shared" si="39"/>
        <v>4554335511.98</v>
      </c>
      <c r="DT68" s="2">
        <f t="shared" si="39"/>
        <v>4866091895.400002</v>
      </c>
      <c r="DU68" s="2">
        <f t="shared" si="39"/>
        <v>5177807088.84</v>
      </c>
      <c r="DV68" s="2">
        <f t="shared" si="39"/>
        <v>5548019925.23</v>
      </c>
      <c r="DW68" s="2">
        <f aca="true" t="shared" si="40" ref="DW68:EH68">DW64-DW66</f>
        <v>6059403983.25</v>
      </c>
      <c r="DX68" s="2">
        <f t="shared" si="40"/>
        <v>5738887109.410001</v>
      </c>
      <c r="DY68" s="2">
        <f t="shared" si="40"/>
        <v>5504167110.959995</v>
      </c>
      <c r="DZ68" s="2">
        <f t="shared" si="40"/>
        <v>5833360847.449998</v>
      </c>
      <c r="EA68" s="2">
        <f t="shared" si="40"/>
        <v>6122895320.810005</v>
      </c>
      <c r="EB68" s="2">
        <f t="shared" si="40"/>
        <v>6654901866.399998</v>
      </c>
      <c r="EC68" s="2">
        <f t="shared" si="40"/>
        <v>6293458570.459999</v>
      </c>
      <c r="ED68" s="2">
        <f t="shared" si="40"/>
        <v>6670207418.990002</v>
      </c>
      <c r="EE68" s="2">
        <f t="shared" si="40"/>
        <v>6776719403.8799925</v>
      </c>
      <c r="EF68" s="2">
        <f t="shared" si="40"/>
        <v>6862027312.940001</v>
      </c>
      <c r="EG68" s="2">
        <f t="shared" si="40"/>
        <v>7252239445.929999</v>
      </c>
      <c r="EH68" s="14">
        <f t="shared" si="40"/>
        <v>7731164292.880002</v>
      </c>
      <c r="EI68" s="14">
        <f>EI64-EI66</f>
        <v>7546887964.309999</v>
      </c>
      <c r="EJ68" s="14">
        <f>EJ64-EJ66</f>
        <v>8953603440.120003</v>
      </c>
    </row>
    <row r="69" spans="3:14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3"/>
      <c r="AO69" s="3"/>
      <c r="AP69" s="2"/>
      <c r="AQ69" s="2"/>
      <c r="AR69" s="2"/>
      <c r="AS69" s="2"/>
      <c r="AT69" s="2"/>
      <c r="AU69" s="2"/>
      <c r="AV69" s="3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</row>
    <row r="70" spans="2:140" ht="12.75">
      <c r="B70" t="s">
        <v>177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3"/>
      <c r="AO70" s="3"/>
      <c r="AP70" s="2"/>
      <c r="AQ70" s="2"/>
      <c r="AR70" s="2"/>
      <c r="AS70" s="2"/>
      <c r="AT70" s="2"/>
      <c r="AU70" s="2"/>
      <c r="AV70" s="3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>
        <v>54500000</v>
      </c>
      <c r="DH70" s="2">
        <v>56600000</v>
      </c>
      <c r="DI70" s="2">
        <v>46801174.8</v>
      </c>
      <c r="DJ70" s="2">
        <v>81799663.04</v>
      </c>
      <c r="DK70" s="2">
        <v>43132202.84</v>
      </c>
      <c r="DL70" s="2">
        <v>46229938.93</v>
      </c>
      <c r="DM70" s="2">
        <v>40122380.09</v>
      </c>
      <c r="DN70" s="2">
        <v>38772186.36</v>
      </c>
      <c r="DO70" s="2">
        <v>41558865.52</v>
      </c>
      <c r="DP70" s="2">
        <v>108545551.17</v>
      </c>
      <c r="DQ70" s="2">
        <v>305770726.53</v>
      </c>
      <c r="DR70" s="2">
        <v>128945597.92</v>
      </c>
      <c r="DS70" s="2">
        <v>57509207.37</v>
      </c>
      <c r="DT70" s="2">
        <v>88428694.05</v>
      </c>
      <c r="DU70" s="2">
        <v>143975938.08</v>
      </c>
      <c r="DV70" s="2">
        <v>68547477.45</v>
      </c>
      <c r="DW70" s="2">
        <v>64920189.52</v>
      </c>
      <c r="DX70" s="2">
        <v>107361814.61000004</v>
      </c>
      <c r="DY70" s="2">
        <v>206091906.35999995</v>
      </c>
      <c r="DZ70" s="2">
        <v>86473448.19</v>
      </c>
      <c r="EA70" s="2">
        <v>92541055.89</v>
      </c>
      <c r="EB70" s="2">
        <v>116886037.67</v>
      </c>
      <c r="EC70" s="2">
        <v>178965052.78000003</v>
      </c>
      <c r="ED70" s="2">
        <v>132225099.52</v>
      </c>
      <c r="EE70" s="2">
        <v>107100640.91</v>
      </c>
      <c r="EF70" s="2">
        <v>280774277.68</v>
      </c>
      <c r="EG70" s="2">
        <v>118285145</v>
      </c>
      <c r="EH70" s="2">
        <v>118540098.78</v>
      </c>
      <c r="EI70" s="2">
        <v>113897088.02</v>
      </c>
      <c r="EJ70" s="2">
        <v>114605060.89</v>
      </c>
    </row>
    <row r="71" spans="3:14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3"/>
      <c r="AP71" s="2"/>
      <c r="AQ71" s="2"/>
      <c r="AR71" s="2"/>
      <c r="AS71" s="2"/>
      <c r="AT71" s="2"/>
      <c r="AU71" s="2"/>
      <c r="AV71" s="3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</row>
    <row r="72" spans="2:140" ht="12.75">
      <c r="B72" t="s">
        <v>194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3"/>
      <c r="AO72" s="3"/>
      <c r="AP72" s="2"/>
      <c r="AQ72" s="2"/>
      <c r="AR72" s="2"/>
      <c r="AS72" s="2"/>
      <c r="AT72" s="2"/>
      <c r="AU72" s="2"/>
      <c r="AV72" s="3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15"/>
      <c r="DC72" s="15"/>
      <c r="DD72" s="16"/>
      <c r="DE72" s="15"/>
      <c r="DF72" s="15"/>
      <c r="DG72" s="15">
        <f aca="true" t="shared" si="41" ref="DG72:DV72">DG68+DG70</f>
        <v>3162741165</v>
      </c>
      <c r="DH72" s="15">
        <f t="shared" si="41"/>
        <v>3427219352.77</v>
      </c>
      <c r="DI72" s="15">
        <f t="shared" si="41"/>
        <v>3570315496.620002</v>
      </c>
      <c r="DJ72" s="15">
        <f t="shared" si="41"/>
        <v>3890992319.439999</v>
      </c>
      <c r="DK72" s="15">
        <f t="shared" si="41"/>
        <v>4136749949.05</v>
      </c>
      <c r="DL72" s="15">
        <f t="shared" si="41"/>
        <v>4261569190.149999</v>
      </c>
      <c r="DM72" s="15">
        <f t="shared" si="41"/>
        <v>4418381045.150001</v>
      </c>
      <c r="DN72" s="15">
        <f t="shared" si="41"/>
        <v>4409185697.45</v>
      </c>
      <c r="DO72" s="15">
        <f t="shared" si="41"/>
        <v>4614088646.360001</v>
      </c>
      <c r="DP72" s="15">
        <f t="shared" si="41"/>
        <v>4674964647.490001</v>
      </c>
      <c r="DQ72" s="15">
        <f t="shared" si="41"/>
        <v>4658538760.5199995</v>
      </c>
      <c r="DR72" s="15">
        <f t="shared" si="41"/>
        <v>4529584698.510001</v>
      </c>
      <c r="DS72" s="15">
        <f t="shared" si="41"/>
        <v>4611844719.349999</v>
      </c>
      <c r="DT72" s="15">
        <f t="shared" si="41"/>
        <v>4954520589.450002</v>
      </c>
      <c r="DU72" s="15">
        <f t="shared" si="41"/>
        <v>5321783026.92</v>
      </c>
      <c r="DV72" s="15">
        <f t="shared" si="41"/>
        <v>5616567402.679999</v>
      </c>
      <c r="DW72" s="15">
        <f aca="true" t="shared" si="42" ref="DW72:EH72">DW68+DW70</f>
        <v>6124324172.77</v>
      </c>
      <c r="DX72" s="15">
        <f t="shared" si="42"/>
        <v>5846248924.02</v>
      </c>
      <c r="DY72" s="15">
        <f t="shared" si="42"/>
        <v>5710259017.319995</v>
      </c>
      <c r="DZ72" s="15">
        <f t="shared" si="42"/>
        <v>5919834295.6399975</v>
      </c>
      <c r="EA72" s="15">
        <f t="shared" si="42"/>
        <v>6215436376.700006</v>
      </c>
      <c r="EB72" s="15">
        <f t="shared" si="42"/>
        <v>6771787904.069998</v>
      </c>
      <c r="EC72" s="15">
        <f t="shared" si="42"/>
        <v>6472423623.239999</v>
      </c>
      <c r="ED72" s="15">
        <f t="shared" si="42"/>
        <v>6802432518.510002</v>
      </c>
      <c r="EE72" s="15">
        <f t="shared" si="42"/>
        <v>6883820044.789992</v>
      </c>
      <c r="EF72" s="15">
        <f t="shared" si="42"/>
        <v>7142801590.620001</v>
      </c>
      <c r="EG72" s="15">
        <f t="shared" si="42"/>
        <v>7370524590.929999</v>
      </c>
      <c r="EH72" s="15">
        <f t="shared" si="42"/>
        <v>7849704391.660002</v>
      </c>
      <c r="EI72" s="15">
        <f>EI68+EI70</f>
        <v>7660785052.33</v>
      </c>
      <c r="EJ72" s="15">
        <f>EJ68+EJ70</f>
        <v>9068208501.010002</v>
      </c>
    </row>
    <row r="73" spans="3:131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16"/>
      <c r="DC73" s="17"/>
      <c r="DD73" s="17"/>
      <c r="DE73" s="16"/>
      <c r="DF73" s="17"/>
      <c r="DG73" s="17"/>
      <c r="DH73" s="17"/>
      <c r="DI73" s="17"/>
      <c r="DJ73" s="17"/>
      <c r="DK73" s="17"/>
      <c r="DL73" s="17"/>
      <c r="DM73" s="17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</row>
    <row r="74" spans="2:140" ht="12.75">
      <c r="B74" s="25" t="s">
        <v>199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16"/>
      <c r="DC74" s="17"/>
      <c r="DD74" s="17"/>
      <c r="DE74" s="16"/>
      <c r="DF74" s="17"/>
      <c r="DG74" s="17"/>
      <c r="DH74" s="17"/>
      <c r="DI74" s="17"/>
      <c r="DJ74" s="17"/>
      <c r="DK74" s="17"/>
      <c r="DL74" s="17"/>
      <c r="DM74" s="17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</row>
    <row r="75" spans="3:131" ht="12.75">
      <c r="C75" t="s">
        <v>168</v>
      </c>
      <c r="D75" s="3"/>
      <c r="E75" s="3" t="s">
        <v>169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16"/>
      <c r="DC75" s="17"/>
      <c r="DD75" s="17"/>
      <c r="DE75" s="16"/>
      <c r="DF75" s="17"/>
      <c r="DG75" s="17"/>
      <c r="DH75" s="17"/>
      <c r="DI75" s="17"/>
      <c r="DJ75" s="17"/>
      <c r="DK75" s="17"/>
      <c r="DL75" s="17"/>
      <c r="DM75" s="17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</row>
    <row r="76" spans="3:140" ht="12.75">
      <c r="C76"/>
      <c r="D76" s="3"/>
      <c r="E76" s="3" t="s">
        <v>170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/>
      <c r="DA76"/>
      <c r="DB76" s="16"/>
      <c r="DC76" s="16"/>
      <c r="DD76" s="17"/>
      <c r="DE76" s="16"/>
      <c r="DF76" s="19"/>
      <c r="DG76" s="16"/>
      <c r="DH76" s="19"/>
      <c r="DI76" s="19"/>
      <c r="DJ76" s="19"/>
      <c r="DK76" s="19"/>
      <c r="DL76" s="19"/>
      <c r="DM76" s="17"/>
      <c r="DN76" s="19"/>
      <c r="DO76" s="19"/>
      <c r="DP76" s="19"/>
      <c r="DQ76" s="19"/>
      <c r="DR76" s="19"/>
      <c r="DS76" s="19"/>
      <c r="DT76" s="19"/>
      <c r="DU76" s="19"/>
      <c r="DV76" s="19"/>
      <c r="DW76" s="24"/>
      <c r="DX76" s="24"/>
      <c r="DY76" s="24"/>
      <c r="DZ76" s="24"/>
      <c r="EA76" s="24"/>
      <c r="ED76" s="3"/>
      <c r="EE76" s="3"/>
      <c r="EF76" s="3"/>
      <c r="EG76" s="3"/>
      <c r="EH76" s="3"/>
      <c r="EI76" s="3"/>
      <c r="EJ76" s="3"/>
    </row>
    <row r="77" spans="3:131" ht="12.75">
      <c r="C77"/>
      <c r="D77"/>
      <c r="E77" t="s">
        <v>171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P77"/>
      <c r="AQ77"/>
      <c r="AR77"/>
      <c r="AS77"/>
      <c r="AT77"/>
      <c r="AU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 s="3"/>
      <c r="DA77" s="3"/>
      <c r="DB77" s="16"/>
      <c r="DC77" s="17"/>
      <c r="DD77" s="17"/>
      <c r="DE77" s="16"/>
      <c r="DF77" s="17"/>
      <c r="DG77" s="17"/>
      <c r="DH77" s="17"/>
      <c r="DI77" s="17"/>
      <c r="DJ77" s="17"/>
      <c r="DK77" s="17"/>
      <c r="DL77" s="17"/>
      <c r="DM77" s="17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</row>
    <row r="78" spans="3:131" ht="12.75">
      <c r="C78"/>
      <c r="D78"/>
      <c r="E78" t="s">
        <v>180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P78"/>
      <c r="AQ78"/>
      <c r="AR78"/>
      <c r="AS78"/>
      <c r="AT78"/>
      <c r="AU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 s="16"/>
      <c r="DC78" s="16"/>
      <c r="DD78" s="16"/>
      <c r="DE78" s="16"/>
      <c r="DF78" s="16"/>
      <c r="DG78" s="16"/>
      <c r="DH78" s="16"/>
      <c r="DI78" s="20"/>
      <c r="DJ78" s="20"/>
      <c r="DK78" s="20"/>
      <c r="DL78" s="20"/>
      <c r="DM78" s="20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</row>
    <row r="79" spans="3:131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P79"/>
      <c r="AQ79"/>
      <c r="AR79"/>
      <c r="AS79"/>
      <c r="AT79"/>
      <c r="AU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 s="19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</row>
    <row r="80" spans="3:131" ht="12.75">
      <c r="C80" t="s">
        <v>172</v>
      </c>
      <c r="D80" t="s">
        <v>173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P80"/>
      <c r="AQ80"/>
      <c r="AR80"/>
      <c r="AS80"/>
      <c r="AT80"/>
      <c r="AU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</row>
    <row r="81" spans="3:131" ht="12.75">
      <c r="C81"/>
      <c r="D81" s="1" t="s">
        <v>185</v>
      </c>
      <c r="DB81" s="16"/>
      <c r="DC81" s="19"/>
      <c r="DD81" s="19"/>
      <c r="DE81" s="19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</row>
    <row r="82" spans="3:131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P82"/>
      <c r="AQ82"/>
      <c r="AR82"/>
      <c r="AS82"/>
      <c r="AT82"/>
      <c r="AU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7"/>
      <c r="EA82" s="19"/>
    </row>
    <row r="83" spans="106:131" ht="12.75">
      <c r="DB83" s="16"/>
      <c r="DC83" s="19"/>
      <c r="DD83" s="19"/>
      <c r="DE83" s="19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9"/>
    </row>
    <row r="84" spans="106:131" ht="12.75">
      <c r="DB84" s="16"/>
      <c r="DC84" s="19"/>
      <c r="DD84" s="19"/>
      <c r="DE84" s="19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9"/>
    </row>
    <row r="85" spans="106:131" ht="12.75">
      <c r="DB85" s="16"/>
      <c r="DC85" s="19"/>
      <c r="DD85" s="19"/>
      <c r="DE85" s="19"/>
      <c r="DF85" s="16"/>
      <c r="DG85" s="16"/>
      <c r="DH85" s="16"/>
      <c r="DI85" s="16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19"/>
    </row>
    <row r="86" spans="106:131" ht="12.75">
      <c r="DB86" s="16"/>
      <c r="DC86" s="19"/>
      <c r="DD86" s="19"/>
      <c r="DE86" s="19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</row>
    <row r="87" spans="106:131" ht="12.75">
      <c r="DB87" s="16"/>
      <c r="DC87" s="19"/>
      <c r="DD87" s="19"/>
      <c r="DE87" s="19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</row>
    <row r="88" spans="106:131" ht="12.75">
      <c r="DB88" s="16"/>
      <c r="DC88" s="19"/>
      <c r="DD88" s="19"/>
      <c r="DE88" s="19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</row>
    <row r="89" spans="107:109" ht="12.75">
      <c r="DC89"/>
      <c r="DD89"/>
      <c r="DE89"/>
    </row>
    <row r="90" spans="107:109" ht="12.75">
      <c r="DC90"/>
      <c r="DD90"/>
      <c r="DE90"/>
    </row>
    <row r="91" spans="107:109" ht="12.75">
      <c r="DC91"/>
      <c r="DD91"/>
      <c r="DE91"/>
    </row>
    <row r="92" spans="107:109" ht="12.75">
      <c r="DC92"/>
      <c r="DD92"/>
      <c r="DE92"/>
    </row>
    <row r="97" ht="12.75">
      <c r="DM97" s="12"/>
    </row>
    <row r="99" spans="107:117" ht="12.75"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</row>
    <row r="101" spans="109:131" ht="12.75"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</row>
    <row r="104" spans="109:131" ht="12.75"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</row>
    <row r="110" spans="109:131" ht="12.75">
      <c r="DE110" s="10"/>
      <c r="DF110" s="10"/>
      <c r="DG110" s="10"/>
      <c r="DH110" s="10"/>
      <c r="DI110" s="10"/>
      <c r="DJ110" s="10"/>
      <c r="DK110" s="10"/>
      <c r="DL110" s="10"/>
      <c r="DM110" s="10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</row>
    <row r="111" spans="109:131" ht="12.75"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</row>
    <row r="112" spans="109:131" ht="12.75"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</row>
    <row r="114" spans="104:131" ht="12.75">
      <c r="CZ114" s="10" t="s">
        <v>102</v>
      </c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</row>
    <row r="115" spans="103:131" ht="12.75">
      <c r="CY115" t="s">
        <v>121</v>
      </c>
      <c r="CZ115" s="11">
        <f>CZ10/CZ64</f>
        <v>0.4312825097708498</v>
      </c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</row>
    <row r="116" spans="103:131" ht="12.75">
      <c r="CY116" s="7" t="s">
        <v>122</v>
      </c>
      <c r="CZ116" s="11">
        <f>CZ11/CZ64</f>
        <v>0.25856220197309193</v>
      </c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</row>
    <row r="117" spans="103:131" ht="12.75">
      <c r="CY117" t="s">
        <v>123</v>
      </c>
      <c r="CZ117" s="11">
        <f>CZ13/CZ64</f>
        <v>0.08273321797827543</v>
      </c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</row>
  </sheetData>
  <sheetProtection/>
  <printOptions/>
  <pageMargins left="0.2" right="0.26" top="0.32" bottom="0.38" header="0.17" footer="0.21"/>
  <pageSetup fitToWidth="17" fitToHeight="1" horizontalDpi="300" verticalDpi="300" orientation="landscape" paperSize="5" scale="58" r:id="rId3"/>
  <headerFooter alignWithMargins="0">
    <oddHeader>&amp;C&amp;12Revenues From 1847 to Present&amp;10
</oddHeader>
    <oddFooter>&amp;RLFB
&amp;D
&amp;F
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181</v>
      </c>
    </row>
    <row r="3" ht="12.75">
      <c r="A3" t="s">
        <v>182</v>
      </c>
    </row>
    <row r="4" ht="12.75">
      <c r="A4" t="s">
        <v>183</v>
      </c>
    </row>
    <row r="6" ht="12.75">
      <c r="A6" t="s">
        <v>184</v>
      </c>
    </row>
    <row r="8" ht="12.75">
      <c r="A8" s="25" t="s">
        <v>208</v>
      </c>
    </row>
    <row r="10" ht="12.75">
      <c r="A10" s="25" t="s">
        <v>209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Iowa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Iowa Legislature</dc:creator>
  <cp:keywords/>
  <dc:description/>
  <cp:lastModifiedBy>Robinson, Jeff [LEGIS]</cp:lastModifiedBy>
  <cp:lastPrinted>2005-12-27T21:28:47Z</cp:lastPrinted>
  <dcterms:created xsi:type="dcterms:W3CDTF">1998-07-21T15:57:09Z</dcterms:created>
  <dcterms:modified xsi:type="dcterms:W3CDTF">2021-11-05T15:53:19Z</dcterms:modified>
  <cp:category/>
  <cp:version/>
  <cp:contentType/>
  <cp:contentStatus/>
</cp:coreProperties>
</file>